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p.loc\root\ГПТЭ_МО\obmen\ТАРИФЫ\Реестры шаблоны\PP108.OPEN.INFO.PRICE.HOTVSNA.EIAS\2024\"/>
    </mc:Choice>
  </mc:AlternateContent>
  <bookViews>
    <workbookView xWindow="0" yWindow="0" windowWidth="13290" windowHeight="11430" tabRatio="894" activeTab="29"/>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state="hidden" r:id="rId38"/>
    <sheet name="ИП" sheetId="39" state="hidden" r:id="rId39"/>
    <sheet name="ИП. Детализация" sheetId="40" state="hidden" r:id="rId40"/>
    <sheet name="ИП. Финансовый план" sheetId="41" state="hidden" r:id="rId41"/>
    <sheet name="ИП. КНЭ" sheetId="42" state="hidden" r:id="rId42"/>
    <sheet name="ТП" sheetId="43" state="hidden" r:id="rId43"/>
    <sheet name="Договоры" sheetId="44" state="hidden" r:id="rId44"/>
    <sheet name="Порядок ТП" sheetId="45" state="hidden"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Т-гор.вода'!$285:$286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Т-гор.вода'!$287:$288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тарифов'!$100:$155</definedName>
    <definedName name="BLOCK_PT_VOTV">'Перечень тарифов'!$157:$171</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территорий'!$E$30:$I$30</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REESTR_DS!$B$2:$B$7</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тарифов'!$Z$12:$Z$173</definedName>
    <definedName name="DIFFERENTIATION_TARIFF_VD_ID">'Перечень тарифов'!$AB$12:$AB$173</definedName>
    <definedName name="DIFFERENTIATION_TARIFF_VTAR_ID">'Перечень тарифов'!$AA$12:$AA$173</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территорий'!$C$12:$C$30</definedName>
    <definedName name="pDel_LT_MO">'Список территорий'!$D$11:$D$30</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территорий'!$G$30</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Т-гор.вода'!$T$284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Т-гор.вода'!$BC$37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30">'ГВС. Т-гор.вода'!$58:$69</definedName>
    <definedName name="pt_cs_31">'ГВС. Т-гор.вода'!$70:$81</definedName>
    <definedName name="pt_cs_32">'ГВС. Т-гор.вода'!$84:$95</definedName>
    <definedName name="pt_cs_33">'ГВС. Т-гор.вода'!$96:$107</definedName>
    <definedName name="pt_cs_34">'ГВС. Т-гор.вода'!$110:$121</definedName>
    <definedName name="pt_cs_35">'ГВС. Т-гор.вода'!$122:$133</definedName>
    <definedName name="pt_cs_36">'ГВС. Т-гор.вода'!$134:$145</definedName>
    <definedName name="pt_cs_37">'ГВС. Т-гор.вода'!$146:$157</definedName>
    <definedName name="pt_cs_38">'ГВС. Т-гор.вода'!$158:$169</definedName>
    <definedName name="pt_cs_39">'ГВС. Т-гор.вода'!$170:$181</definedName>
    <definedName name="pt_cs_4">'ТС. Т-гор.вода'!$51:$62</definedName>
    <definedName name="pt_cs_40">'ГВС. Т-гор.вода'!$182:$193</definedName>
    <definedName name="pt_cs_41">'ГВС. Т-гор.вода'!$208:$219</definedName>
    <definedName name="pt_cs_42">'ГВС. Т-гор.вода'!$222:$233</definedName>
    <definedName name="pt_cs_43">'ГВС. Т-гор.вода'!$234:$245</definedName>
    <definedName name="pt_cs_44">'ГВС. Т-гор.вода'!$246:$257</definedName>
    <definedName name="pt_cs_45">'ГВС. Т-гор.вода'!$258:$269</definedName>
    <definedName name="pt_cs_46">'ГВС. Т-гор.вода'!$270:$281</definedName>
    <definedName name="pt_cs_47">'ГВС. Т-гор.вода'!$194:$205</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тарифов'!$AL$12:$AL$173</definedName>
    <definedName name="PT_DIFFERENTIATION_CS_ID">'Перечень тарифов'!$AF$12:$AF$173</definedName>
    <definedName name="PT_DIFFERENTIATION_IST_TE">'Перечень тарифов'!$AM$12:$AM$173</definedName>
    <definedName name="PT_DIFFERENTIATION_IST_TE_ID">'Перечень тарифов'!$AG$12:$AG$173</definedName>
    <definedName name="PT_DIFFERENTIATION_NTAR">'Перечень тарифов'!$AJ$12:$AJ$173</definedName>
    <definedName name="PT_DIFFERENTIATION_NTAR_ID">'Перечень тарифов'!$AD$12:$AD$173</definedName>
    <definedName name="PT_DIFFERENTIATION_NUM_CS">'Перечень тарифов'!$AP$12:$AP$173</definedName>
    <definedName name="PT_DIFFERENTIATION_NUM_IST_TE">'Перечень тарифов'!$AQ$12:$AQ$173</definedName>
    <definedName name="PT_DIFFERENTIATION_NUM_NTAR">'Перечень тарифов'!$AN$12:$AN$173</definedName>
    <definedName name="PT_DIFFERENTIATION_NUM_TER">'Перечень тарифов'!$AO$12:$AO$173</definedName>
    <definedName name="PT_DIFFERENTIATION_TER">'Перечень тарифов'!$AK$12:$AK$173</definedName>
    <definedName name="PT_DIFFERENTIATION_TER_ID">'Перечень тарифов'!$AE$12:$AE$173</definedName>
    <definedName name="PT_DIFFERENTIATION_VDET">'Перечень тарифов'!$AI$12:$AI$173</definedName>
    <definedName name="PT_DIFFERENTIATION_VTAR">'Перечень тарифов'!$AH$12:$AH$173</definedName>
    <definedName name="PT_DIFFERENTIATION_VTAR_ID">'Перечень тарифов'!$AC$12:$AC$173</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Т-гор.вода'!$42:$283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Т-гор.вода'!$43:$56</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30">'ГВС. Т-гор.вода'!$57:$82</definedName>
    <definedName name="pt_ter_31">'ГВС. Т-гор.вода'!$83:$108</definedName>
    <definedName name="pt_ter_32">'ГВС. Т-гор.вода'!$109:$206</definedName>
    <definedName name="pt_ter_33">'ГВС. Т-гор.вода'!$207:$220</definedName>
    <definedName name="pt_ter_34">'ГВС. Т-гор.вода'!$221:$282</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6">'Список территорий'!$G$16:$I$16</definedName>
    <definedName name="ter_57">'Список территорий'!$G$19:$I$19</definedName>
    <definedName name="ter_58">'Список территорий'!$G$22:$I$22</definedName>
    <definedName name="ter_59">'Список территорий'!$G$25:$I$25</definedName>
    <definedName name="ter_60">'Список территорий'!$G$28:$I$28</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территорий'!$E$11:$I$30</definedName>
    <definedName name="TERRITORY_ID">TEHSHEET!$E$56</definedName>
    <definedName name="TERRITORY_LIST_ID">'Список территорий'!$F$11:$F$30</definedName>
    <definedName name="TERRITORY_MO_LIST">'Список территорий'!$H$11:$H$30</definedName>
    <definedName name="TERRITORY_MR_LIST">'Список территорий'!$G$11:$G$30</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Q18" i="62"/>
  <c r="R18" i="62" s="1"/>
  <c r="S18" i="62" s="1"/>
  <c r="T18" i="62" s="1"/>
  <c r="V18" i="62" s="1"/>
  <c r="W18" i="62" s="1"/>
  <c r="X18" i="62" s="1"/>
  <c r="N18" i="62"/>
  <c r="O18" i="62" s="1"/>
  <c r="O11" i="62"/>
  <c r="O10" i="62"/>
  <c r="O9" i="62"/>
  <c r="O8" i="62"/>
  <c r="L6" i="62"/>
  <c r="N101" i="61"/>
  <c r="K101" i="61"/>
  <c r="J101" i="61"/>
  <c r="M101" i="61" s="1"/>
  <c r="I101" i="61"/>
  <c r="L101" i="61" s="1"/>
  <c r="M100" i="61"/>
  <c r="L100" i="61"/>
  <c r="K100" i="61"/>
  <c r="N100" i="61" s="1"/>
  <c r="J100" i="61"/>
  <c r="I100" i="61"/>
  <c r="N99" i="61"/>
  <c r="K99" i="61"/>
  <c r="J99" i="61"/>
  <c r="M99" i="61" s="1"/>
  <c r="I99" i="61"/>
  <c r="L99" i="61" s="1"/>
  <c r="M98" i="61"/>
  <c r="L98" i="61"/>
  <c r="K98" i="61"/>
  <c r="N98" i="61" s="1"/>
  <c r="J98" i="61"/>
  <c r="I98" i="61"/>
  <c r="N97" i="61"/>
  <c r="K97" i="61"/>
  <c r="J97" i="61"/>
  <c r="M97" i="61" s="1"/>
  <c r="I97" i="61"/>
  <c r="L97" i="61" s="1"/>
  <c r="M96" i="61"/>
  <c r="L96" i="61"/>
  <c r="K96" i="61"/>
  <c r="N96" i="61" s="1"/>
  <c r="J96" i="61"/>
  <c r="I96" i="61"/>
  <c r="N95" i="61"/>
  <c r="K95" i="61"/>
  <c r="J95" i="61"/>
  <c r="M95" i="61" s="1"/>
  <c r="I95" i="61"/>
  <c r="L95" i="61" s="1"/>
  <c r="M94" i="61"/>
  <c r="L94" i="61"/>
  <c r="K94" i="61"/>
  <c r="N94" i="61" s="1"/>
  <c r="J94" i="61"/>
  <c r="I94" i="61"/>
  <c r="N93" i="61"/>
  <c r="K93" i="61"/>
  <c r="J93" i="61"/>
  <c r="M93" i="61" s="1"/>
  <c r="I93" i="61"/>
  <c r="L93" i="61" s="1"/>
  <c r="M92" i="61"/>
  <c r="L92" i="61"/>
  <c r="K92" i="61"/>
  <c r="N92" i="61" s="1"/>
  <c r="J92" i="61"/>
  <c r="I92" i="61"/>
  <c r="N91" i="61"/>
  <c r="K91" i="61"/>
  <c r="J91" i="61"/>
  <c r="M91" i="61" s="1"/>
  <c r="I91" i="61"/>
  <c r="L91" i="61" s="1"/>
  <c r="M90" i="61"/>
  <c r="L90" i="61"/>
  <c r="K90" i="61"/>
  <c r="N90" i="61" s="1"/>
  <c r="J90" i="61"/>
  <c r="I90" i="61"/>
  <c r="N89" i="61"/>
  <c r="K89" i="61"/>
  <c r="J89" i="61"/>
  <c r="M89" i="61" s="1"/>
  <c r="I89" i="61"/>
  <c r="L89" i="61" s="1"/>
  <c r="M88" i="61"/>
  <c r="L88" i="61"/>
  <c r="K88" i="61"/>
  <c r="N88" i="61" s="1"/>
  <c r="J88" i="61"/>
  <c r="I88" i="61"/>
  <c r="N87" i="61"/>
  <c r="K87" i="61"/>
  <c r="J87" i="61"/>
  <c r="M87" i="61" s="1"/>
  <c r="I87" i="61"/>
  <c r="L87" i="61" s="1"/>
  <c r="M86" i="61"/>
  <c r="L86" i="61"/>
  <c r="K86" i="61"/>
  <c r="N86" i="61" s="1"/>
  <c r="J86" i="61"/>
  <c r="I86" i="61"/>
  <c r="N85" i="61"/>
  <c r="K85" i="61"/>
  <c r="J85" i="61"/>
  <c r="M85" i="61" s="1"/>
  <c r="I85" i="61"/>
  <c r="L85" i="61" s="1"/>
  <c r="M84" i="61"/>
  <c r="L84" i="61"/>
  <c r="K84" i="61"/>
  <c r="N84" i="61" s="1"/>
  <c r="J84" i="61"/>
  <c r="I84" i="61"/>
  <c r="N83" i="61"/>
  <c r="K83" i="61"/>
  <c r="J83" i="61"/>
  <c r="M83" i="61" s="1"/>
  <c r="I83" i="61"/>
  <c r="L83" i="61" s="1"/>
  <c r="M82" i="61"/>
  <c r="L82" i="61"/>
  <c r="K82" i="61"/>
  <c r="N82" i="61" s="1"/>
  <c r="J82" i="61"/>
  <c r="I82" i="61"/>
  <c r="N81" i="61"/>
  <c r="K81" i="61"/>
  <c r="J81" i="61"/>
  <c r="M81" i="61" s="1"/>
  <c r="I81" i="61"/>
  <c r="L81" i="61" s="1"/>
  <c r="M80" i="61"/>
  <c r="L80" i="61"/>
  <c r="K80" i="61"/>
  <c r="N80" i="61" s="1"/>
  <c r="J80" i="61"/>
  <c r="I80" i="61"/>
  <c r="N79" i="61"/>
  <c r="K79" i="61"/>
  <c r="J79" i="61"/>
  <c r="M79" i="61" s="1"/>
  <c r="I79" i="61"/>
  <c r="L79" i="61" s="1"/>
  <c r="M78" i="61"/>
  <c r="L78" i="61"/>
  <c r="K78" i="61"/>
  <c r="N78" i="61" s="1"/>
  <c r="J78" i="61"/>
  <c r="I78" i="61"/>
  <c r="N77" i="61"/>
  <c r="K77" i="61"/>
  <c r="J77" i="61"/>
  <c r="M77" i="61" s="1"/>
  <c r="I77" i="61"/>
  <c r="L77" i="61" s="1"/>
  <c r="M76" i="61"/>
  <c r="L76" i="61"/>
  <c r="K76" i="61"/>
  <c r="N76" i="61" s="1"/>
  <c r="J76" i="61"/>
  <c r="I76" i="61"/>
  <c r="N75" i="61"/>
  <c r="K75" i="61"/>
  <c r="J75" i="61"/>
  <c r="M75" i="61" s="1"/>
  <c r="I75" i="61"/>
  <c r="L75" i="61" s="1"/>
  <c r="M74" i="61"/>
  <c r="L74" i="61"/>
  <c r="K74" i="61"/>
  <c r="N74" i="61" s="1"/>
  <c r="J74" i="61"/>
  <c r="I74" i="61"/>
  <c r="N73" i="61"/>
  <c r="K73" i="61"/>
  <c r="J73" i="61"/>
  <c r="M73" i="61" s="1"/>
  <c r="I73" i="61"/>
  <c r="L73" i="61" s="1"/>
  <c r="M72" i="61"/>
  <c r="L72" i="61"/>
  <c r="K72" i="61"/>
  <c r="N72" i="61" s="1"/>
  <c r="J72" i="61"/>
  <c r="I72" i="61"/>
  <c r="N71" i="61"/>
  <c r="K71" i="61"/>
  <c r="J71" i="61"/>
  <c r="M71" i="61" s="1"/>
  <c r="I71" i="61"/>
  <c r="L71" i="61" s="1"/>
  <c r="M70" i="61"/>
  <c r="L70" i="61"/>
  <c r="K70" i="61"/>
  <c r="N70" i="61" s="1"/>
  <c r="J70" i="61"/>
  <c r="I70" i="61"/>
  <c r="N69" i="61"/>
  <c r="K69" i="61"/>
  <c r="J69" i="61"/>
  <c r="M69" i="61" s="1"/>
  <c r="I69" i="61"/>
  <c r="L69" i="61" s="1"/>
  <c r="M68" i="61"/>
  <c r="L68" i="61"/>
  <c r="K68" i="61"/>
  <c r="N68" i="61" s="1"/>
  <c r="J68" i="61"/>
  <c r="I68" i="61"/>
  <c r="N67" i="61"/>
  <c r="K67" i="61"/>
  <c r="J67" i="61"/>
  <c r="M67" i="61" s="1"/>
  <c r="I67" i="61"/>
  <c r="L67" i="61" s="1"/>
  <c r="M66" i="61"/>
  <c r="L66" i="61"/>
  <c r="K66" i="61"/>
  <c r="N66" i="61" s="1"/>
  <c r="J66" i="61"/>
  <c r="I66" i="61"/>
  <c r="N65" i="61"/>
  <c r="K65" i="61"/>
  <c r="J65" i="61"/>
  <c r="M65" i="61" s="1"/>
  <c r="I65" i="61"/>
  <c r="L65" i="61" s="1"/>
  <c r="M64" i="61"/>
  <c r="L64" i="61"/>
  <c r="K64" i="61"/>
  <c r="N64" i="61" s="1"/>
  <c r="J64" i="61"/>
  <c r="I64" i="61"/>
  <c r="N63" i="61"/>
  <c r="K63" i="61"/>
  <c r="J63" i="61"/>
  <c r="M63" i="61" s="1"/>
  <c r="I63" i="61"/>
  <c r="L63" i="61" s="1"/>
  <c r="M62" i="61"/>
  <c r="L62" i="61"/>
  <c r="K62" i="61"/>
  <c r="N62" i="61" s="1"/>
  <c r="J62" i="61"/>
  <c r="I62" i="61"/>
  <c r="N61" i="61"/>
  <c r="K61" i="61"/>
  <c r="J61" i="61"/>
  <c r="M61" i="61" s="1"/>
  <c r="I61" i="61"/>
  <c r="L61" i="61" s="1"/>
  <c r="M60" i="61"/>
  <c r="L60" i="61"/>
  <c r="K60" i="61"/>
  <c r="N60" i="61" s="1"/>
  <c r="J60" i="61"/>
  <c r="I60" i="61"/>
  <c r="N59" i="61"/>
  <c r="M59" i="61"/>
  <c r="K59" i="61"/>
  <c r="J59" i="61"/>
  <c r="I59" i="61"/>
  <c r="L59" i="61" s="1"/>
  <c r="M58" i="61"/>
  <c r="L58" i="61"/>
  <c r="K58" i="61"/>
  <c r="N58" i="61" s="1"/>
  <c r="J58" i="61"/>
  <c r="I58" i="61"/>
  <c r="N57" i="61"/>
  <c r="K57" i="61"/>
  <c r="J57" i="61"/>
  <c r="M57" i="61" s="1"/>
  <c r="F78" i="33" s="1"/>
  <c r="I57" i="61"/>
  <c r="L57" i="61" s="1"/>
  <c r="M56" i="61"/>
  <c r="L56" i="61"/>
  <c r="K56" i="61"/>
  <c r="N56" i="61" s="1"/>
  <c r="J56" i="61"/>
  <c r="I56" i="61"/>
  <c r="N55" i="61"/>
  <c r="M55" i="61"/>
  <c r="K55" i="61"/>
  <c r="J55" i="61"/>
  <c r="I55" i="61"/>
  <c r="L55" i="61" s="1"/>
  <c r="M54" i="61"/>
  <c r="L54" i="61"/>
  <c r="K54" i="61"/>
  <c r="N54" i="61" s="1"/>
  <c r="J54" i="61"/>
  <c r="I54" i="61"/>
  <c r="N53" i="61"/>
  <c r="K53" i="61"/>
  <c r="J53" i="61"/>
  <c r="M53" i="61" s="1"/>
  <c r="I53" i="61"/>
  <c r="L53" i="61" s="1"/>
  <c r="M52" i="61"/>
  <c r="K52" i="61"/>
  <c r="N52" i="61" s="1"/>
  <c r="J52" i="61"/>
  <c r="I52" i="61"/>
  <c r="L52" i="61" s="1"/>
  <c r="E73" i="33" s="1"/>
  <c r="N51" i="61"/>
  <c r="M51" i="61"/>
  <c r="K51" i="61"/>
  <c r="J51" i="61"/>
  <c r="I51" i="61"/>
  <c r="L51" i="61" s="1"/>
  <c r="M50" i="61"/>
  <c r="K50" i="61"/>
  <c r="N50" i="61" s="1"/>
  <c r="J50" i="61"/>
  <c r="I50" i="61"/>
  <c r="L50" i="61" s="1"/>
  <c r="K49" i="61"/>
  <c r="N49" i="61" s="1"/>
  <c r="J49" i="61"/>
  <c r="M49" i="61" s="1"/>
  <c r="I49" i="61"/>
  <c r="L49" i="61" s="1"/>
  <c r="M48" i="61"/>
  <c r="K48" i="61"/>
  <c r="N48" i="61" s="1"/>
  <c r="J48" i="61"/>
  <c r="I48" i="61"/>
  <c r="L48" i="61" s="1"/>
  <c r="E67" i="33" s="1"/>
  <c r="K67" i="33" s="1"/>
  <c r="N47" i="61"/>
  <c r="M47" i="61"/>
  <c r="K47" i="61"/>
  <c r="J47" i="61"/>
  <c r="I47" i="61"/>
  <c r="L47" i="61" s="1"/>
  <c r="M46" i="61"/>
  <c r="K46" i="61"/>
  <c r="N46" i="61" s="1"/>
  <c r="J46" i="61"/>
  <c r="I46" i="61"/>
  <c r="L46" i="61" s="1"/>
  <c r="K45" i="61"/>
  <c r="N45" i="61" s="1"/>
  <c r="J45" i="61"/>
  <c r="M45" i="61" s="1"/>
  <c r="I45" i="61"/>
  <c r="L45" i="61" s="1"/>
  <c r="M44" i="61"/>
  <c r="K44" i="61"/>
  <c r="N44" i="61" s="1"/>
  <c r="J44" i="61"/>
  <c r="I44" i="61"/>
  <c r="L44" i="61" s="1"/>
  <c r="E63" i="33" s="1"/>
  <c r="M43" i="61"/>
  <c r="K43" i="61"/>
  <c r="N43" i="61" s="1"/>
  <c r="J43" i="61"/>
  <c r="I43" i="61"/>
  <c r="L43" i="61" s="1"/>
  <c r="M42" i="61"/>
  <c r="K42" i="61"/>
  <c r="N42" i="61" s="1"/>
  <c r="J42" i="61"/>
  <c r="I42" i="61"/>
  <c r="L42" i="61" s="1"/>
  <c r="E61" i="33" s="1"/>
  <c r="K41" i="61"/>
  <c r="N41" i="61" s="1"/>
  <c r="J41" i="61"/>
  <c r="M41" i="61" s="1"/>
  <c r="I41" i="61"/>
  <c r="L41" i="61" s="1"/>
  <c r="M40" i="61"/>
  <c r="K40" i="61"/>
  <c r="N40" i="61" s="1"/>
  <c r="J40" i="61"/>
  <c r="I40" i="61"/>
  <c r="L40" i="61" s="1"/>
  <c r="N39" i="61"/>
  <c r="M39" i="61"/>
  <c r="K39" i="61"/>
  <c r="J39" i="61"/>
  <c r="I39" i="61"/>
  <c r="L39" i="61" s="1"/>
  <c r="M38" i="61"/>
  <c r="K38" i="61"/>
  <c r="N38" i="61" s="1"/>
  <c r="J38" i="61"/>
  <c r="I38" i="61"/>
  <c r="L38" i="61" s="1"/>
  <c r="E57" i="33" s="1"/>
  <c r="K37" i="61"/>
  <c r="N37" i="61" s="1"/>
  <c r="J37" i="61"/>
  <c r="M37" i="61" s="1"/>
  <c r="I37" i="61"/>
  <c r="L37" i="61" s="1"/>
  <c r="M36" i="61"/>
  <c r="K36" i="61"/>
  <c r="N36" i="61" s="1"/>
  <c r="J36" i="61"/>
  <c r="I36" i="61"/>
  <c r="L36" i="61" s="1"/>
  <c r="N35" i="61"/>
  <c r="M35" i="61"/>
  <c r="K35" i="61"/>
  <c r="J35" i="61"/>
  <c r="I35" i="61"/>
  <c r="L35" i="61" s="1"/>
  <c r="M34" i="61"/>
  <c r="K34" i="61"/>
  <c r="N34" i="61" s="1"/>
  <c r="J34" i="61"/>
  <c r="I34" i="61"/>
  <c r="L34" i="61" s="1"/>
  <c r="E53" i="33" s="1"/>
  <c r="K33" i="61"/>
  <c r="N33" i="61" s="1"/>
  <c r="J33" i="61"/>
  <c r="M33" i="61" s="1"/>
  <c r="I33" i="61"/>
  <c r="L33" i="61" s="1"/>
  <c r="M32" i="61"/>
  <c r="K32" i="61"/>
  <c r="N32" i="61" s="1"/>
  <c r="J32" i="61"/>
  <c r="I32" i="61"/>
  <c r="L32" i="61" s="1"/>
  <c r="N31" i="61"/>
  <c r="M31" i="61"/>
  <c r="K31" i="61"/>
  <c r="J31" i="61"/>
  <c r="I31" i="61"/>
  <c r="L31" i="61" s="1"/>
  <c r="M30" i="61"/>
  <c r="K30" i="61"/>
  <c r="N30" i="61" s="1"/>
  <c r="J30" i="61"/>
  <c r="I30" i="61"/>
  <c r="L30" i="61" s="1"/>
  <c r="E49" i="33" s="1"/>
  <c r="K29" i="61"/>
  <c r="N29" i="61" s="1"/>
  <c r="J29" i="61"/>
  <c r="M29" i="61" s="1"/>
  <c r="I29" i="61"/>
  <c r="L29" i="61" s="1"/>
  <c r="M28" i="61"/>
  <c r="K28" i="61"/>
  <c r="N28" i="61" s="1"/>
  <c r="J28" i="61"/>
  <c r="I28" i="61"/>
  <c r="L28" i="61" s="1"/>
  <c r="N27" i="61"/>
  <c r="M27" i="61"/>
  <c r="K27" i="61"/>
  <c r="J27" i="61"/>
  <c r="I27" i="61"/>
  <c r="L27" i="61" s="1"/>
  <c r="M26" i="61"/>
  <c r="K26" i="61"/>
  <c r="N26" i="61" s="1"/>
  <c r="J26" i="61"/>
  <c r="I26" i="61"/>
  <c r="L26" i="61" s="1"/>
  <c r="E45" i="33" s="1"/>
  <c r="K25" i="61"/>
  <c r="N25" i="61" s="1"/>
  <c r="J25" i="61"/>
  <c r="M25" i="61" s="1"/>
  <c r="I25" i="61"/>
  <c r="L25" i="61" s="1"/>
  <c r="M24" i="61"/>
  <c r="K24" i="61"/>
  <c r="N24" i="61" s="1"/>
  <c r="J24" i="61"/>
  <c r="I24" i="61"/>
  <c r="L24" i="61" s="1"/>
  <c r="N23" i="61"/>
  <c r="M23" i="61"/>
  <c r="K23" i="61"/>
  <c r="J23" i="61"/>
  <c r="I23" i="61"/>
  <c r="L23" i="61" s="1"/>
  <c r="M22" i="61"/>
  <c r="K22" i="61"/>
  <c r="N22" i="61" s="1"/>
  <c r="J22" i="61"/>
  <c r="I22" i="61"/>
  <c r="L22" i="61" s="1"/>
  <c r="E41" i="33" s="1"/>
  <c r="M21" i="61"/>
  <c r="K21" i="61"/>
  <c r="N21" i="61" s="1"/>
  <c r="J21" i="61"/>
  <c r="I21" i="61"/>
  <c r="L21" i="61" s="1"/>
  <c r="E33" i="33" s="1"/>
  <c r="B34" i="33" s="1"/>
  <c r="M20" i="61"/>
  <c r="K20" i="61"/>
  <c r="N20" i="61" s="1"/>
  <c r="J20" i="61"/>
  <c r="I20" i="61"/>
  <c r="L20" i="61" s="1"/>
  <c r="E32" i="33" s="1"/>
  <c r="K32" i="33" s="1"/>
  <c r="M19" i="61"/>
  <c r="K19" i="61"/>
  <c r="N19" i="61" s="1"/>
  <c r="J19" i="61"/>
  <c r="I19" i="61"/>
  <c r="L19" i="61" s="1"/>
  <c r="E31" i="33" s="1"/>
  <c r="M18" i="61"/>
  <c r="K18" i="61"/>
  <c r="N18" i="61" s="1"/>
  <c r="J18" i="61"/>
  <c r="I18" i="61"/>
  <c r="L18" i="61" s="1"/>
  <c r="E30" i="33" s="1"/>
  <c r="N14" i="61"/>
  <c r="M13" i="61"/>
  <c r="M12" i="61"/>
  <c r="M11" i="61"/>
  <c r="N3" i="61"/>
  <c r="C34" i="60"/>
  <c r="C8" i="60"/>
  <c r="C7" i="60"/>
  <c r="C2" i="60"/>
  <c r="V202" i="59"/>
  <c r="N187" i="59"/>
  <c r="N182" i="59"/>
  <c r="N176" i="59"/>
  <c r="N165" i="59"/>
  <c r="N160" i="59"/>
  <c r="N154" i="59"/>
  <c r="R139" i="59"/>
  <c r="Q139" i="59"/>
  <c r="Q130" i="59"/>
  <c r="H129" i="59"/>
  <c r="H128" i="59"/>
  <c r="H127" i="59"/>
  <c r="Q121" i="59"/>
  <c r="Q118" i="59"/>
  <c r="H117" i="59"/>
  <c r="H116" i="59"/>
  <c r="H115" i="59"/>
  <c r="F109" i="59"/>
  <c r="AD103" i="59"/>
  <c r="AD97" i="59"/>
  <c r="AD92" i="59"/>
  <c r="AD84" i="59"/>
  <c r="F81" i="59"/>
  <c r="P72" i="59"/>
  <c r="D47" i="59"/>
  <c r="D51" i="59" s="1"/>
  <c r="I29" i="59"/>
  <c r="I23" i="59"/>
  <c r="O19" i="59"/>
  <c r="M19" i="59" a="1"/>
  <c r="M19" i="59" s="1"/>
  <c r="F19" i="59"/>
  <c r="O14" i="59"/>
  <c r="M14" i="59" a="1"/>
  <c r="M14" i="59" s="1"/>
  <c r="F14" i="59"/>
  <c r="E14" i="59"/>
  <c r="G13" i="59"/>
  <c r="E13" i="59"/>
  <c r="F13" i="54"/>
  <c r="E7" i="54"/>
  <c r="F2" i="54"/>
  <c r="P10" i="53" a="1"/>
  <c r="P10" i="53" s="1"/>
  <c r="L10" i="53"/>
  <c r="R10" i="53" s="1"/>
  <c r="K8" i="53"/>
  <c r="E5" i="53"/>
  <c r="R2" i="53"/>
  <c r="P2" i="53" a="1"/>
  <c r="P2" i="53" s="1"/>
  <c r="P10" i="52" a="1"/>
  <c r="P10" i="52"/>
  <c r="K8" i="52"/>
  <c r="J8" i="52"/>
  <c r="L10" i="52" s="1"/>
  <c r="R10" i="52" s="1"/>
  <c r="G8" i="52"/>
  <c r="F8" i="52"/>
  <c r="E5" i="52"/>
  <c r="R2" i="52"/>
  <c r="P2" i="52" a="1"/>
  <c r="P2" i="52" s="1"/>
  <c r="N9" i="51" a="1"/>
  <c r="N9" i="51"/>
  <c r="J9" i="51"/>
  <c r="P9" i="51" s="1"/>
  <c r="E5" i="51"/>
  <c r="P2" i="51"/>
  <c r="N2" i="51" a="1"/>
  <c r="N2" i="51" s="1"/>
  <c r="G24" i="50"/>
  <c r="E24" i="50"/>
  <c r="G12" i="50"/>
  <c r="F12" i="50"/>
  <c r="F2" i="53" s="1"/>
  <c r="E12" i="50"/>
  <c r="D6" i="50"/>
  <c r="D5" i="50"/>
  <c r="BA115" i="49"/>
  <c r="BA114" i="49"/>
  <c r="BA113" i="49"/>
  <c r="BA102" i="49"/>
  <c r="BA100" i="49"/>
  <c r="BA99" i="49"/>
  <c r="I53" i="49"/>
  <c r="H53" i="49"/>
  <c r="G53" i="49"/>
  <c r="I52" i="49"/>
  <c r="H52" i="49"/>
  <c r="F29" i="49" s="1"/>
  <c r="G52" i="49"/>
  <c r="E29" i="49" s="1"/>
  <c r="I51" i="49"/>
  <c r="H51" i="49"/>
  <c r="G51" i="49"/>
  <c r="I50" i="49"/>
  <c r="H50" i="49"/>
  <c r="G50" i="49"/>
  <c r="I49" i="49"/>
  <c r="H49" i="49"/>
  <c r="G49" i="49"/>
  <c r="I48" i="49"/>
  <c r="H48" i="49"/>
  <c r="G48" i="49"/>
  <c r="J47" i="49"/>
  <c r="I47" i="49"/>
  <c r="H47" i="49"/>
  <c r="G47" i="49"/>
  <c r="J46" i="49"/>
  <c r="I46" i="49"/>
  <c r="K45" i="49"/>
  <c r="I45" i="49"/>
  <c r="G36" i="49"/>
  <c r="E31" i="60" s="1"/>
  <c r="C31" i="60" s="1"/>
  <c r="F36" i="49"/>
  <c r="U148" i="61" s="1"/>
  <c r="M148" i="61" s="1"/>
  <c r="F32" i="49"/>
  <c r="E32" i="49"/>
  <c r="L6" i="49"/>
  <c r="L5" i="49"/>
  <c r="L4" i="49"/>
  <c r="L3" i="49"/>
  <c r="I14" i="48"/>
  <c r="G14" i="48"/>
  <c r="G11" i="48"/>
  <c r="G10" i="48"/>
  <c r="G9" i="48"/>
  <c r="D6" i="48"/>
  <c r="E13" i="47"/>
  <c r="H12" i="47"/>
  <c r="E12" i="47"/>
  <c r="E11" i="47"/>
  <c r="E10" i="47"/>
  <c r="D6" i="47"/>
  <c r="M258" i="46"/>
  <c r="F257" i="46"/>
  <c r="M200" i="46"/>
  <c r="F199" i="46"/>
  <c r="M142" i="46"/>
  <c r="F141" i="46"/>
  <c r="M84" i="46"/>
  <c r="F81" i="46"/>
  <c r="M24" i="46"/>
  <c r="F23" i="46"/>
  <c r="G17" i="46"/>
  <c r="F17" i="46"/>
  <c r="G16" i="46"/>
  <c r="F16" i="46"/>
  <c r="E14" i="46"/>
  <c r="N7" i="46"/>
  <c r="N4" i="46"/>
  <c r="N1" i="46"/>
  <c r="E42" i="45"/>
  <c r="E38" i="45"/>
  <c r="E35" i="45"/>
  <c r="E32" i="45"/>
  <c r="E31" i="45"/>
  <c r="E28" i="45"/>
  <c r="E25" i="45"/>
  <c r="E24" i="45"/>
  <c r="D15" i="45"/>
  <c r="G17" i="44"/>
  <c r="E16" i="44"/>
  <c r="G14" i="44"/>
  <c r="E13" i="44"/>
  <c r="E12" i="44"/>
  <c r="D6" i="44"/>
  <c r="F21" i="43"/>
  <c r="H19" i="43"/>
  <c r="G19" i="43"/>
  <c r="F19" i="43"/>
  <c r="I18" i="43"/>
  <c r="E17" i="43"/>
  <c r="E16" i="43"/>
  <c r="E15" i="43"/>
  <c r="H14" i="43"/>
  <c r="G14" i="43"/>
  <c r="G11" i="43"/>
  <c r="G10" i="43"/>
  <c r="G9" i="43"/>
  <c r="D6" i="43"/>
  <c r="F2" i="43"/>
  <c r="F6" i="42"/>
  <c r="H57" i="41"/>
  <c r="H56" i="41"/>
  <c r="H55" i="41"/>
  <c r="I54" i="41"/>
  <c r="H54" i="41" s="1"/>
  <c r="H53" i="41"/>
  <c r="H52" i="41"/>
  <c r="H51" i="41"/>
  <c r="H50" i="41"/>
  <c r="I49" i="41"/>
  <c r="H47" i="41"/>
  <c r="H46" i="41"/>
  <c r="H45" i="41"/>
  <c r="I44" i="41"/>
  <c r="H44" i="41"/>
  <c r="H43" i="41"/>
  <c r="H42" i="41"/>
  <c r="H41" i="41"/>
  <c r="H40" i="41"/>
  <c r="I39" i="41"/>
  <c r="H39" i="41"/>
  <c r="I38" i="41"/>
  <c r="H38" i="41"/>
  <c r="H35" i="41"/>
  <c r="H34" i="41"/>
  <c r="H33" i="41"/>
  <c r="I32" i="41"/>
  <c r="H32" i="41" s="1"/>
  <c r="H31" i="41"/>
  <c r="H30" i="41"/>
  <c r="H29" i="41"/>
  <c r="I28" i="41"/>
  <c r="H28" i="41"/>
  <c r="H27" i="41"/>
  <c r="H26" i="41"/>
  <c r="H25" i="41"/>
  <c r="H24" i="41"/>
  <c r="H23" i="41"/>
  <c r="H22" i="41"/>
  <c r="H21" i="41"/>
  <c r="H20" i="41"/>
  <c r="H19" i="41"/>
  <c r="H18" i="41"/>
  <c r="H17" i="41"/>
  <c r="H16" i="41"/>
  <c r="I15" i="41"/>
  <c r="H15" i="41"/>
  <c r="H11" i="41"/>
  <c r="F6" i="41"/>
  <c r="F6" i="40"/>
  <c r="H15" i="39"/>
  <c r="F6" i="39"/>
  <c r="G28" i="38"/>
  <c r="G27" i="38"/>
  <c r="G26" i="38"/>
  <c r="D23" i="38"/>
  <c r="D22" i="38"/>
  <c r="D14" i="38"/>
  <c r="D13" i="38"/>
  <c r="D11" i="38"/>
  <c r="D10" i="38"/>
  <c r="D9" i="38"/>
  <c r="D7" i="38"/>
  <c r="D6" i="38"/>
  <c r="D4" i="38"/>
  <c r="D3" i="38"/>
  <c r="J12" i="37"/>
  <c r="I12" i="37"/>
  <c r="H12" i="37"/>
  <c r="G12" i="37"/>
  <c r="G9" i="37"/>
  <c r="G8" i="37"/>
  <c r="G7" i="37"/>
  <c r="D4" i="37"/>
  <c r="D3" i="37"/>
  <c r="E28" i="36"/>
  <c r="I27" i="36"/>
  <c r="H27" i="36"/>
  <c r="I16" i="36"/>
  <c r="H16" i="36"/>
  <c r="H12" i="36"/>
  <c r="H11" i="36"/>
  <c r="H10" i="36"/>
  <c r="E7" i="36"/>
  <c r="E33" i="35"/>
  <c r="I32" i="35"/>
  <c r="H32" i="35"/>
  <c r="I16" i="35"/>
  <c r="H16" i="35"/>
  <c r="H12" i="35"/>
  <c r="H11" i="35"/>
  <c r="H10" i="35"/>
  <c r="E7"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E78" i="33"/>
  <c r="J77" i="33"/>
  <c r="F77" i="33"/>
  <c r="E77" i="33"/>
  <c r="J76" i="33"/>
  <c r="F76" i="33"/>
  <c r="E76" i="33"/>
  <c r="J75" i="33"/>
  <c r="F75" i="33"/>
  <c r="E75" i="33"/>
  <c r="J74" i="33"/>
  <c r="F74" i="33"/>
  <c r="E74" i="33"/>
  <c r="J73" i="33"/>
  <c r="F73" i="33"/>
  <c r="J72" i="33"/>
  <c r="F72" i="33"/>
  <c r="E72" i="33"/>
  <c r="E70" i="33"/>
  <c r="K70" i="33" s="1"/>
  <c r="K69" i="33"/>
  <c r="J69" i="33"/>
  <c r="I69" i="33"/>
  <c r="H69" i="33"/>
  <c r="F69" i="33"/>
  <c r="E69" i="33"/>
  <c r="J68" i="33"/>
  <c r="L68" i="33" s="1"/>
  <c r="F68" i="33"/>
  <c r="E68" i="33"/>
  <c r="K68" i="33" s="1"/>
  <c r="J67" i="33"/>
  <c r="F67" i="33"/>
  <c r="L66" i="33"/>
  <c r="K66" i="33"/>
  <c r="J66" i="33"/>
  <c r="F66" i="33"/>
  <c r="E66" i="33"/>
  <c r="K65" i="33"/>
  <c r="J65" i="33"/>
  <c r="F65" i="33"/>
  <c r="E65" i="33"/>
  <c r="K64" i="33"/>
  <c r="J64" i="33"/>
  <c r="F64" i="33"/>
  <c r="E64" i="33"/>
  <c r="K63" i="33"/>
  <c r="J63" i="33"/>
  <c r="F63" i="33"/>
  <c r="K62" i="33"/>
  <c r="J62" i="33"/>
  <c r="F62" i="33"/>
  <c r="E62" i="33"/>
  <c r="K61" i="33"/>
  <c r="J61" i="33"/>
  <c r="F61" i="33"/>
  <c r="K60" i="33"/>
  <c r="J60" i="33"/>
  <c r="F60" i="33"/>
  <c r="E60" i="33"/>
  <c r="K59" i="33"/>
  <c r="J59" i="33"/>
  <c r="F59" i="33"/>
  <c r="E59" i="33"/>
  <c r="K58" i="33"/>
  <c r="J58" i="33"/>
  <c r="F58" i="33"/>
  <c r="E58" i="33"/>
  <c r="K57" i="33"/>
  <c r="J57" i="33"/>
  <c r="F57" i="33"/>
  <c r="K56" i="33"/>
  <c r="J56" i="33"/>
  <c r="F56" i="33"/>
  <c r="E56" i="33"/>
  <c r="K55" i="33"/>
  <c r="J55" i="33"/>
  <c r="F55" i="33"/>
  <c r="E55" i="33"/>
  <c r="K54" i="33"/>
  <c r="J54" i="33"/>
  <c r="F54" i="33"/>
  <c r="E54" i="33"/>
  <c r="K53" i="33"/>
  <c r="J53" i="33"/>
  <c r="F53" i="33"/>
  <c r="K52" i="33"/>
  <c r="J52" i="33"/>
  <c r="F52" i="33"/>
  <c r="E52" i="33"/>
  <c r="K51" i="33"/>
  <c r="J51" i="33"/>
  <c r="F51" i="33"/>
  <c r="E51" i="33"/>
  <c r="K50" i="33"/>
  <c r="J50" i="33"/>
  <c r="F50" i="33"/>
  <c r="E50" i="33"/>
  <c r="K49" i="33"/>
  <c r="J49" i="33"/>
  <c r="F49" i="33"/>
  <c r="K48" i="33"/>
  <c r="J48" i="33"/>
  <c r="F48" i="33"/>
  <c r="E48" i="33"/>
  <c r="K47" i="33"/>
  <c r="J47" i="33"/>
  <c r="F47" i="33"/>
  <c r="E47" i="33"/>
  <c r="K46" i="33"/>
  <c r="J46" i="33"/>
  <c r="F46" i="33"/>
  <c r="E46" i="33"/>
  <c r="K45" i="33"/>
  <c r="J45" i="33"/>
  <c r="F45" i="33"/>
  <c r="K44" i="33"/>
  <c r="J44" i="33"/>
  <c r="F44" i="33"/>
  <c r="E44" i="33"/>
  <c r="K43" i="33"/>
  <c r="J43" i="33"/>
  <c r="F43" i="33"/>
  <c r="E43" i="33"/>
  <c r="K42" i="33"/>
  <c r="J42" i="33"/>
  <c r="F42" i="33"/>
  <c r="E42" i="33"/>
  <c r="K41" i="33"/>
  <c r="J41" i="33"/>
  <c r="F41" i="33"/>
  <c r="K40" i="33"/>
  <c r="K39" i="33"/>
  <c r="K38" i="33"/>
  <c r="K37" i="33"/>
  <c r="K36" i="33"/>
  <c r="K35" i="33"/>
  <c r="K34" i="33"/>
  <c r="K33" i="33"/>
  <c r="I31" i="33" s="1"/>
  <c r="I136" i="33" s="1"/>
  <c r="J33" i="33"/>
  <c r="I33" i="33"/>
  <c r="H33" i="33"/>
  <c r="F33" i="33"/>
  <c r="J32" i="33"/>
  <c r="F32" i="33"/>
  <c r="J31" i="33"/>
  <c r="H31" i="33"/>
  <c r="H136" i="33" s="1"/>
  <c r="F31" i="33"/>
  <c r="J30" i="33"/>
  <c r="F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BC45" i="32"/>
  <c r="AX45" i="32"/>
  <c r="AY45" i="32" s="1"/>
  <c r="BA45" i="32" s="1"/>
  <c r="BB45" i="32" s="1"/>
  <c r="AW45" i="32"/>
  <c r="AA45" i="32"/>
  <c r="AC45" i="32" s="1"/>
  <c r="AD45" i="32" s="1"/>
  <c r="W45" i="32"/>
  <c r="X45" i="32" s="1"/>
  <c r="Y45" i="32" s="1"/>
  <c r="Z45" i="32" s="1"/>
  <c r="U45" i="32"/>
  <c r="V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F41" i="31"/>
  <c r="AG41" i="31" s="1"/>
  <c r="AB41" i="31"/>
  <c r="AC41" i="31" s="1"/>
  <c r="AD41" i="31" s="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S5" i="31" s="1"/>
  <c r="AV3" i="31"/>
  <c r="AG3" i="31"/>
  <c r="S3" i="31"/>
  <c r="AV2" i="31"/>
  <c r="AS2" i="31"/>
  <c r="AG2" i="31"/>
  <c r="S2" i="31"/>
  <c r="BG284" i="30"/>
  <c r="BG283" i="30"/>
  <c r="BG282" i="30"/>
  <c r="BG281" i="30"/>
  <c r="BG280" i="30"/>
  <c r="BG279" i="30"/>
  <c r="BG278" i="30"/>
  <c r="BG277" i="30"/>
  <c r="BD277" i="30"/>
  <c r="BG276" i="30"/>
  <c r="BG275" i="30"/>
  <c r="BG274" i="30"/>
  <c r="BG273" i="30"/>
  <c r="BD273" i="30"/>
  <c r="BG272" i="30"/>
  <c r="BG271" i="30"/>
  <c r="BG270" i="30"/>
  <c r="BG269" i="30"/>
  <c r="BG268" i="30"/>
  <c r="BG267" i="30"/>
  <c r="BG266" i="30"/>
  <c r="BG265" i="30"/>
  <c r="BD265" i="30"/>
  <c r="BG264" i="30"/>
  <c r="BG263" i="30"/>
  <c r="BG262" i="30"/>
  <c r="BG261" i="30"/>
  <c r="BD261" i="30"/>
  <c r="BG260" i="30"/>
  <c r="BG259" i="30"/>
  <c r="BG258" i="30"/>
  <c r="BG257" i="30"/>
  <c r="BG256" i="30"/>
  <c r="BG255" i="30"/>
  <c r="BG254" i="30"/>
  <c r="BG253" i="30"/>
  <c r="BD253" i="30"/>
  <c r="BG252" i="30"/>
  <c r="BG251" i="30"/>
  <c r="BG250" i="30"/>
  <c r="BG249" i="30"/>
  <c r="BD249" i="30"/>
  <c r="BG248" i="30"/>
  <c r="BG247" i="30"/>
  <c r="BG246" i="30"/>
  <c r="BG245" i="30"/>
  <c r="BG244" i="30"/>
  <c r="BG243" i="30"/>
  <c r="BG242" i="30"/>
  <c r="BG241" i="30"/>
  <c r="BD241" i="30"/>
  <c r="BG240" i="30"/>
  <c r="BG239" i="30"/>
  <c r="BG238" i="30"/>
  <c r="BG237" i="30"/>
  <c r="BD237" i="30"/>
  <c r="BG236" i="30"/>
  <c r="BG235" i="30"/>
  <c r="BG234" i="30"/>
  <c r="BG233" i="30"/>
  <c r="BG232" i="30"/>
  <c r="BG231" i="30"/>
  <c r="BG230" i="30"/>
  <c r="BG229" i="30"/>
  <c r="BD229" i="30"/>
  <c r="BG228" i="30"/>
  <c r="BG227" i="30"/>
  <c r="BG226" i="30"/>
  <c r="BG225" i="30"/>
  <c r="BD225" i="30"/>
  <c r="BG224" i="30"/>
  <c r="BG223" i="30"/>
  <c r="BG222" i="30"/>
  <c r="BG221" i="30"/>
  <c r="BG220" i="30"/>
  <c r="BG219" i="30"/>
  <c r="BG218" i="30"/>
  <c r="BG217" i="30"/>
  <c r="BG216" i="30"/>
  <c r="BG215" i="30"/>
  <c r="BD215" i="30"/>
  <c r="BG214" i="30"/>
  <c r="BG213" i="30"/>
  <c r="BG212" i="30"/>
  <c r="BG211" i="30"/>
  <c r="BD211" i="30"/>
  <c r="BG210" i="30"/>
  <c r="BG209" i="30"/>
  <c r="BG208" i="30"/>
  <c r="BG207" i="30"/>
  <c r="BG206" i="30"/>
  <c r="BG205" i="30"/>
  <c r="BG204" i="30"/>
  <c r="BG203" i="30"/>
  <c r="BG202" i="30"/>
  <c r="BG201" i="30"/>
  <c r="BD201" i="30"/>
  <c r="BG200" i="30"/>
  <c r="BG199" i="30"/>
  <c r="BG198" i="30"/>
  <c r="BG197" i="30"/>
  <c r="BD197" i="30"/>
  <c r="BG196" i="30"/>
  <c r="BG195" i="30"/>
  <c r="BG194" i="30"/>
  <c r="BG193" i="30"/>
  <c r="BG192" i="30"/>
  <c r="BG191" i="30"/>
  <c r="BG190" i="30"/>
  <c r="BG189" i="30"/>
  <c r="BD189" i="30"/>
  <c r="BG188" i="30"/>
  <c r="BG187" i="30"/>
  <c r="BG186" i="30"/>
  <c r="BG185" i="30"/>
  <c r="BD185" i="30"/>
  <c r="BG184" i="30"/>
  <c r="BG183" i="30"/>
  <c r="BG182" i="30"/>
  <c r="BG181" i="30"/>
  <c r="BG180" i="30"/>
  <c r="BG179" i="30"/>
  <c r="BG178" i="30"/>
  <c r="BG177" i="30"/>
  <c r="BD177" i="30"/>
  <c r="BG176" i="30"/>
  <c r="BG175" i="30"/>
  <c r="BG174" i="30"/>
  <c r="BG173" i="30"/>
  <c r="BD173" i="30"/>
  <c r="BG172" i="30"/>
  <c r="BG171" i="30"/>
  <c r="BG170" i="30"/>
  <c r="BG169" i="30"/>
  <c r="BG168" i="30"/>
  <c r="BG167" i="30"/>
  <c r="BG166" i="30"/>
  <c r="BG165" i="30"/>
  <c r="BD165" i="30"/>
  <c r="BG164" i="30"/>
  <c r="BG163" i="30"/>
  <c r="BG162" i="30"/>
  <c r="BG161" i="30"/>
  <c r="BD161" i="30"/>
  <c r="BG160" i="30"/>
  <c r="BG159" i="30"/>
  <c r="BG158" i="30"/>
  <c r="BG157" i="30"/>
  <c r="BG156" i="30"/>
  <c r="BG155" i="30"/>
  <c r="BG154" i="30"/>
  <c r="BG153" i="30"/>
  <c r="BD153" i="30"/>
  <c r="BG152" i="30"/>
  <c r="BG151" i="30"/>
  <c r="BG150" i="30"/>
  <c r="BG149" i="30"/>
  <c r="BD149" i="30"/>
  <c r="BG148" i="30"/>
  <c r="BG147" i="30"/>
  <c r="BG146" i="30"/>
  <c r="BG145" i="30"/>
  <c r="BG144" i="30"/>
  <c r="BG143" i="30"/>
  <c r="BG142" i="30"/>
  <c r="BG141" i="30"/>
  <c r="BD141" i="30"/>
  <c r="BG140" i="30"/>
  <c r="BG139" i="30"/>
  <c r="BG138" i="30"/>
  <c r="BG137" i="30"/>
  <c r="BD137" i="30"/>
  <c r="BG136" i="30"/>
  <c r="BG135" i="30"/>
  <c r="BG134" i="30"/>
  <c r="BG133" i="30"/>
  <c r="BG132" i="30"/>
  <c r="BG131" i="30"/>
  <c r="BG130" i="30"/>
  <c r="BG129" i="30"/>
  <c r="BD129" i="30"/>
  <c r="BG128" i="30"/>
  <c r="BG127" i="30"/>
  <c r="BG126" i="30"/>
  <c r="BG125" i="30"/>
  <c r="BD125" i="30"/>
  <c r="BG124" i="30"/>
  <c r="BG123" i="30"/>
  <c r="BG122" i="30"/>
  <c r="BG121" i="30"/>
  <c r="BG120" i="30"/>
  <c r="BG119" i="30"/>
  <c r="BG118" i="30"/>
  <c r="BG117" i="30"/>
  <c r="BD117" i="30"/>
  <c r="BG116" i="30"/>
  <c r="BG115" i="30"/>
  <c r="BG114" i="30"/>
  <c r="BG113" i="30"/>
  <c r="BD113" i="30"/>
  <c r="BG112" i="30"/>
  <c r="J112" i="30"/>
  <c r="BG111" i="30"/>
  <c r="BG110" i="30"/>
  <c r="BG109" i="30"/>
  <c r="BG108" i="30"/>
  <c r="BG107" i="30"/>
  <c r="BG106" i="30"/>
  <c r="BG105" i="30"/>
  <c r="BG104" i="30"/>
  <c r="BG103" i="30"/>
  <c r="BD103" i="30"/>
  <c r="BG102" i="30"/>
  <c r="BG101" i="30"/>
  <c r="BG100" i="30"/>
  <c r="BG99" i="30"/>
  <c r="BD99" i="30"/>
  <c r="BG98" i="30"/>
  <c r="BG97" i="30"/>
  <c r="BG96" i="30"/>
  <c r="BG95" i="30"/>
  <c r="BG94" i="30"/>
  <c r="BG93" i="30"/>
  <c r="BG92" i="30"/>
  <c r="BG91" i="30"/>
  <c r="BD91" i="30"/>
  <c r="BG90" i="30"/>
  <c r="BG89" i="30"/>
  <c r="BG88" i="30"/>
  <c r="BG87" i="30"/>
  <c r="BD87" i="30"/>
  <c r="BG86" i="30"/>
  <c r="BG85" i="30"/>
  <c r="BG84" i="30"/>
  <c r="BG83" i="30"/>
  <c r="BG82" i="30"/>
  <c r="BG81" i="30"/>
  <c r="BG80" i="30"/>
  <c r="BG79" i="30"/>
  <c r="BG78" i="30"/>
  <c r="BG77" i="30"/>
  <c r="BD77" i="30"/>
  <c r="BG76" i="30"/>
  <c r="BG75" i="30"/>
  <c r="BG74" i="30"/>
  <c r="BG73" i="30"/>
  <c r="BD73" i="30"/>
  <c r="BG72" i="30"/>
  <c r="BG71" i="30"/>
  <c r="BG70" i="30"/>
  <c r="BG69" i="30"/>
  <c r="BG68" i="30"/>
  <c r="BG67" i="30"/>
  <c r="BG66" i="30"/>
  <c r="BG65" i="30"/>
  <c r="BD65" i="30"/>
  <c r="BG64" i="30"/>
  <c r="BG63" i="30"/>
  <c r="BG62" i="30"/>
  <c r="BG61" i="30"/>
  <c r="BD61" i="30"/>
  <c r="BG60" i="30"/>
  <c r="BG59" i="30"/>
  <c r="BG58" i="30"/>
  <c r="BG57" i="30"/>
  <c r="BG56" i="30"/>
  <c r="BG55" i="30"/>
  <c r="BG54" i="30"/>
  <c r="BG53" i="30"/>
  <c r="BG52" i="30"/>
  <c r="BG51" i="30"/>
  <c r="BD51" i="30"/>
  <c r="BG50" i="30"/>
  <c r="BG49" i="30"/>
  <c r="BG48" i="30"/>
  <c r="BG47" i="30"/>
  <c r="BD47" i="30"/>
  <c r="BG46" i="30"/>
  <c r="BG45" i="30"/>
  <c r="BG44" i="30"/>
  <c r="BG43" i="30"/>
  <c r="BG42" i="30"/>
  <c r="BD42" i="30"/>
  <c r="BC41" i="30"/>
  <c r="BD41" i="30" s="1"/>
  <c r="BB41" i="30"/>
  <c r="AZ41" i="30"/>
  <c r="AY41" i="30"/>
  <c r="AM41" i="30"/>
  <c r="AN41" i="30" s="1"/>
  <c r="AO41" i="30" s="1"/>
  <c r="AQ41" i="30" s="1"/>
  <c r="AR41" i="30" s="1"/>
  <c r="AG41" i="30"/>
  <c r="AF41" i="30"/>
  <c r="AC41" i="30"/>
  <c r="AD41" i="30" s="1"/>
  <c r="U41" i="30"/>
  <c r="V41" i="30" s="1"/>
  <c r="AR33" i="30"/>
  <c r="AG33" i="30"/>
  <c r="V33" i="30"/>
  <c r="AR32" i="30"/>
  <c r="AG32" i="30"/>
  <c r="V32" i="30"/>
  <c r="AR30" i="30"/>
  <c r="AG30" i="30"/>
  <c r="V30" i="30"/>
  <c r="AR29" i="30"/>
  <c r="AG29" i="30"/>
  <c r="V29" i="30"/>
  <c r="AR28" i="30"/>
  <c r="AG28" i="30"/>
  <c r="V28" i="30"/>
  <c r="AR27" i="30"/>
  <c r="AG27" i="30"/>
  <c r="V27" i="30"/>
  <c r="S25" i="30"/>
  <c r="S24" i="30"/>
  <c r="BG13" i="30"/>
  <c r="BG12" i="30"/>
  <c r="BG11" i="30"/>
  <c r="BG10" i="30"/>
  <c r="BG9" i="30"/>
  <c r="BG8" i="30"/>
  <c r="BG7" i="30"/>
  <c r="BD7" i="30"/>
  <c r="K7" i="30"/>
  <c r="S7" i="30" s="1"/>
  <c r="BG6" i="30"/>
  <c r="J6" i="30"/>
  <c r="S6" i="30" s="1"/>
  <c r="BG5" i="30"/>
  <c r="S5" i="30"/>
  <c r="BG4" i="30"/>
  <c r="AG4" i="30"/>
  <c r="S4" i="30"/>
  <c r="I5" i="30" s="1"/>
  <c r="BG3" i="30"/>
  <c r="AG3" i="30"/>
  <c r="S3" i="30"/>
  <c r="BG2" i="30"/>
  <c r="BD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W45" i="29"/>
  <c r="X45" i="29" s="1"/>
  <c r="Y45" i="29" s="1"/>
  <c r="Z45" i="29" s="1"/>
  <c r="AA45" i="29" s="1"/>
  <c r="AC45" i="29" s="1"/>
  <c r="AD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W45" i="26"/>
  <c r="X45" i="26" s="1"/>
  <c r="Y45" i="26" s="1"/>
  <c r="Z45" i="26" s="1"/>
  <c r="AA45" i="26" s="1"/>
  <c r="AC45" i="26" s="1"/>
  <c r="AD45" i="26" s="1"/>
  <c r="V45" i="26"/>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N50" i="25"/>
  <c r="J50" i="25"/>
  <c r="AN49" i="25"/>
  <c r="AN48" i="25"/>
  <c r="AN47" i="25"/>
  <c r="AN46" i="25"/>
  <c r="AN45" i="25"/>
  <c r="AK45" i="25"/>
  <c r="AE44" i="25"/>
  <c r="AF44" i="25" s="1"/>
  <c r="AG44" i="25" s="1"/>
  <c r="AI44" i="25" s="1"/>
  <c r="AJ44" i="25" s="1"/>
  <c r="AK44" i="25" s="1"/>
  <c r="AD44" i="25"/>
  <c r="X44" i="25"/>
  <c r="Y44" i="25" s="1"/>
  <c r="AA44" i="25" s="1"/>
  <c r="U44" i="25"/>
  <c r="V44" i="25" s="1"/>
  <c r="W44" i="25" s="1"/>
  <c r="V36" i="25"/>
  <c r="V35" i="25"/>
  <c r="V33" i="25"/>
  <c r="V32" i="25"/>
  <c r="V31" i="25"/>
  <c r="V30" i="25"/>
  <c r="S28" i="25"/>
  <c r="S27" i="25"/>
  <c r="AN17" i="25"/>
  <c r="AN16" i="25"/>
  <c r="AN15" i="25"/>
  <c r="AN14" i="25"/>
  <c r="AN13" i="25"/>
  <c r="AN12" i="25"/>
  <c r="AN11" i="25"/>
  <c r="AE11" i="25"/>
  <c r="W11" i="25"/>
  <c r="AN8" i="25"/>
  <c r="S8" i="25"/>
  <c r="K8" i="25"/>
  <c r="AN7" i="25"/>
  <c r="AN6" i="25"/>
  <c r="I6" i="25"/>
  <c r="AN5" i="25"/>
  <c r="S5" i="25"/>
  <c r="J7" i="25" s="1"/>
  <c r="AN4" i="25"/>
  <c r="S4" i="25"/>
  <c r="AN3" i="25"/>
  <c r="S3" i="25"/>
  <c r="AN2" i="25"/>
  <c r="S2" i="25"/>
  <c r="AN53" i="24"/>
  <c r="AN52" i="24"/>
  <c r="AN51" i="24"/>
  <c r="AN50" i="24"/>
  <c r="AN49" i="24"/>
  <c r="AN48" i="24"/>
  <c r="AN47" i="24"/>
  <c r="AE47" i="24"/>
  <c r="X47" i="24"/>
  <c r="AN46" i="24"/>
  <c r="AK46" i="24"/>
  <c r="AN45" i="24"/>
  <c r="AN44" i="24"/>
  <c r="AN43" i="24"/>
  <c r="AN42" i="24"/>
  <c r="AN41" i="24"/>
  <c r="AK41" i="24"/>
  <c r="W40" i="24"/>
  <c r="X40" i="24" s="1"/>
  <c r="Y40" i="24" s="1"/>
  <c r="Z40" i="24" s="1"/>
  <c r="AB40" i="24" s="1"/>
  <c r="AC40" i="24" s="1"/>
  <c r="AD40" i="24" s="1"/>
  <c r="AE40" i="24" s="1"/>
  <c r="AF40" i="24" s="1"/>
  <c r="AG40" i="24" s="1"/>
  <c r="AI40" i="24" s="1"/>
  <c r="AJ40" i="24" s="1"/>
  <c r="AK40" i="24" s="1"/>
  <c r="V40" i="24"/>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S6" i="23"/>
  <c r="AN5" i="23"/>
  <c r="I5" i="23"/>
  <c r="J6" i="23" s="1"/>
  <c r="K7" i="23" s="1"/>
  <c r="S7"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S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J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S6" i="21" s="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I49" i="20"/>
  <c r="AX48" i="20"/>
  <c r="AX47" i="20"/>
  <c r="AX46" i="20"/>
  <c r="AX45" i="20"/>
  <c r="AU45" i="20"/>
  <c r="AQ44" i="20"/>
  <c r="AS44" i="20" s="1"/>
  <c r="AT44" i="20" s="1"/>
  <c r="AU44" i="20" s="1"/>
  <c r="AN44" i="20"/>
  <c r="AO44" i="20" s="1"/>
  <c r="AP44" i="20" s="1"/>
  <c r="W44" i="20"/>
  <c r="X44" i="20" s="1"/>
  <c r="Y44" i="20" s="1"/>
  <c r="AA44" i="20" s="1"/>
  <c r="AB44" i="20" s="1"/>
  <c r="U44" i="20"/>
  <c r="V44" i="20" s="1"/>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AT51" i="19"/>
  <c r="AT50" i="19"/>
  <c r="AT49" i="19"/>
  <c r="AQ49" i="19"/>
  <c r="AK48" i="19"/>
  <c r="AL48" i="19" s="1"/>
  <c r="AM48" i="19" s="1"/>
  <c r="AO48" i="19" s="1"/>
  <c r="AP48" i="19" s="1"/>
  <c r="AQ48" i="19" s="1"/>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K8" i="19"/>
  <c r="U8" i="19" s="1"/>
  <c r="AT7" i="19"/>
  <c r="AT6" i="19"/>
  <c r="I6" i="19"/>
  <c r="J7" i="19" s="1"/>
  <c r="U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S48" i="18"/>
  <c r="AP47" i="18"/>
  <c r="AP46" i="18"/>
  <c r="AP45" i="18"/>
  <c r="AP44" i="18"/>
  <c r="S44" i="18"/>
  <c r="AP43" i="18"/>
  <c r="AM43" i="18"/>
  <c r="S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S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S44" i="15"/>
  <c r="AP43" i="15"/>
  <c r="AM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AP45" i="14"/>
  <c r="AP44" i="14"/>
  <c r="AP43" i="14"/>
  <c r="AM43" i="14"/>
  <c r="AG42" i="14"/>
  <c r="AH42" i="14" s="1"/>
  <c r="AI42" i="14" s="1"/>
  <c r="AK42" i="14" s="1"/>
  <c r="AL42" i="14" s="1"/>
  <c r="AM42" i="14" s="1"/>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S44" i="13"/>
  <c r="AP43" i="13"/>
  <c r="AM43" i="13"/>
  <c r="S43" i="13"/>
  <c r="AF42" i="13"/>
  <c r="AG42" i="13" s="1"/>
  <c r="AH42" i="13" s="1"/>
  <c r="AI42" i="13" s="1"/>
  <c r="AK42" i="13" s="1"/>
  <c r="AL42" i="13" s="1"/>
  <c r="AM42" i="13" s="1"/>
  <c r="Y42" i="13"/>
  <c r="Z42" i="13" s="1"/>
  <c r="AA42" i="13" s="1"/>
  <c r="AC42" i="13" s="1"/>
  <c r="AD42" i="13" s="1"/>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S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19" i="7"/>
  <c r="D21" i="7" s="1"/>
  <c r="E18" i="7"/>
  <c r="G17" i="7"/>
  <c r="E17" i="7"/>
  <c r="G16" i="7"/>
  <c r="E16" i="7"/>
  <c r="F15" i="7"/>
  <c r="F14" i="7"/>
  <c r="G13" i="7"/>
  <c r="E13" i="7"/>
  <c r="E12" i="7"/>
  <c r="F11" i="7"/>
  <c r="D5" i="7"/>
  <c r="D5" i="6"/>
  <c r="AQ167" i="5"/>
  <c r="AP167" i="5"/>
  <c r="S48" i="29" s="1"/>
  <c r="K52" i="29" s="1"/>
  <c r="S52" i="29" s="1"/>
  <c r="AO167" i="5"/>
  <c r="S47" i="29" s="1"/>
  <c r="AN167" i="5"/>
  <c r="S46" i="29" s="1"/>
  <c r="AM167" i="5"/>
  <c r="AL167" i="5"/>
  <c r="AD48" i="29" s="1"/>
  <c r="AK167" i="5"/>
  <c r="AD47" i="29" s="1"/>
  <c r="AJ167" i="5"/>
  <c r="AI167" i="5"/>
  <c r="AH167" i="5"/>
  <c r="AQ162" i="5"/>
  <c r="AP162" i="5"/>
  <c r="S43" i="28" s="1"/>
  <c r="I44" i="28" s="1"/>
  <c r="AO162" i="5"/>
  <c r="S42" i="28" s="1"/>
  <c r="AN162" i="5"/>
  <c r="S41" i="28" s="1"/>
  <c r="AM162" i="5"/>
  <c r="AL162" i="5"/>
  <c r="AC43" i="28" s="1"/>
  <c r="AK162" i="5"/>
  <c r="AC42" i="28" s="1"/>
  <c r="AJ162" i="5"/>
  <c r="AI162" i="5"/>
  <c r="AH162" i="5"/>
  <c r="AQ157" i="5"/>
  <c r="AP157" i="5"/>
  <c r="S43" i="27" s="1"/>
  <c r="I44" i="27" s="1"/>
  <c r="AO157" i="5"/>
  <c r="S42" i="27" s="1"/>
  <c r="AN157" i="5"/>
  <c r="S41" i="27" s="1"/>
  <c r="AM157" i="5"/>
  <c r="AL157" i="5"/>
  <c r="AC43" i="27" s="1"/>
  <c r="AK157" i="5"/>
  <c r="AC42" i="27" s="1"/>
  <c r="AJ157" i="5"/>
  <c r="AC41" i="27" s="1"/>
  <c r="AI157" i="5"/>
  <c r="AH157" i="5"/>
  <c r="AQ151" i="5"/>
  <c r="AP151" i="5"/>
  <c r="S48" i="32" s="1"/>
  <c r="K52" i="32" s="1"/>
  <c r="S52" i="32" s="1"/>
  <c r="AO151" i="5"/>
  <c r="S47" i="32" s="1"/>
  <c r="AN151" i="5"/>
  <c r="S46" i="32" s="1"/>
  <c r="AM151" i="5"/>
  <c r="AL151" i="5"/>
  <c r="AD48" i="32" s="1"/>
  <c r="AK151" i="5"/>
  <c r="AD47" i="32" s="1"/>
  <c r="AJ151" i="5"/>
  <c r="AI151" i="5"/>
  <c r="AH151" i="5"/>
  <c r="AQ146" i="5"/>
  <c r="AP146" i="5"/>
  <c r="S44" i="31" s="1"/>
  <c r="I45" i="31" s="1"/>
  <c r="AO146" i="5"/>
  <c r="S43" i="31" s="1"/>
  <c r="AN146" i="5"/>
  <c r="S42" i="31" s="1"/>
  <c r="AM146" i="5"/>
  <c r="AL146" i="5"/>
  <c r="AG44" i="31" s="1"/>
  <c r="AK146" i="5"/>
  <c r="AG43" i="31" s="1"/>
  <c r="AJ146" i="5"/>
  <c r="AI146" i="5"/>
  <c r="AH146" i="5"/>
  <c r="AP141" i="5"/>
  <c r="S270" i="30" s="1"/>
  <c r="I271" i="30" s="1"/>
  <c r="AO141" i="5"/>
  <c r="AN141" i="5"/>
  <c r="AL141" i="5"/>
  <c r="AG270" i="30" s="1"/>
  <c r="AJ141" i="5"/>
  <c r="AH141" i="5"/>
  <c r="AP139" i="5"/>
  <c r="S258" i="30" s="1"/>
  <c r="I259" i="30" s="1"/>
  <c r="AO139" i="5"/>
  <c r="AN139" i="5"/>
  <c r="AL139" i="5"/>
  <c r="AG258" i="30" s="1"/>
  <c r="AJ139" i="5"/>
  <c r="AH139" i="5"/>
  <c r="AP137" i="5"/>
  <c r="S246" i="30" s="1"/>
  <c r="I247" i="30" s="1"/>
  <c r="AO137" i="5"/>
  <c r="AN137" i="5"/>
  <c r="AL137" i="5"/>
  <c r="AG246" i="30" s="1"/>
  <c r="AJ137" i="5"/>
  <c r="AH137" i="5"/>
  <c r="AP135" i="5"/>
  <c r="S234" i="30" s="1"/>
  <c r="I235" i="30" s="1"/>
  <c r="AO135" i="5"/>
  <c r="AN135" i="5"/>
  <c r="AL135" i="5"/>
  <c r="AG234" i="30" s="1"/>
  <c r="AJ135" i="5"/>
  <c r="AH135" i="5"/>
  <c r="AP133" i="5"/>
  <c r="S222" i="30" s="1"/>
  <c r="I223" i="30" s="1"/>
  <c r="AO133" i="5"/>
  <c r="S221" i="30" s="1"/>
  <c r="AN133" i="5"/>
  <c r="AL133" i="5"/>
  <c r="AG222" i="30" s="1"/>
  <c r="AJ133" i="5"/>
  <c r="AH133" i="5"/>
  <c r="N133" i="5"/>
  <c r="AK135" i="5" s="1"/>
  <c r="AP130" i="5"/>
  <c r="S208" i="30" s="1"/>
  <c r="I209" i="30" s="1"/>
  <c r="AO130" i="5"/>
  <c r="S207" i="30" s="1"/>
  <c r="AN130" i="5"/>
  <c r="AL130" i="5"/>
  <c r="AG208" i="30" s="1"/>
  <c r="AJ130" i="5"/>
  <c r="AH130" i="5"/>
  <c r="N130" i="5"/>
  <c r="AK130" i="5" s="1"/>
  <c r="AG207" i="30" s="1"/>
  <c r="AP127" i="5"/>
  <c r="S194" i="30" s="1"/>
  <c r="I195" i="30" s="1"/>
  <c r="AO127" i="5"/>
  <c r="AN127" i="5"/>
  <c r="AL127" i="5"/>
  <c r="AG194" i="30" s="1"/>
  <c r="AJ127" i="5"/>
  <c r="AH127" i="5"/>
  <c r="AP125" i="5"/>
  <c r="S182" i="30" s="1"/>
  <c r="I183" i="30" s="1"/>
  <c r="AO125" i="5"/>
  <c r="AN125" i="5"/>
  <c r="AL125" i="5"/>
  <c r="AG182" i="30" s="1"/>
  <c r="AJ125" i="5"/>
  <c r="AH125" i="5"/>
  <c r="AP123" i="5"/>
  <c r="S170" i="30" s="1"/>
  <c r="I171" i="30" s="1"/>
  <c r="J176" i="30" s="1"/>
  <c r="AO123" i="5"/>
  <c r="AN123" i="5"/>
  <c r="AL123" i="5"/>
  <c r="AG170" i="30" s="1"/>
  <c r="AJ123" i="5"/>
  <c r="AH123" i="5"/>
  <c r="AP121" i="5"/>
  <c r="S158" i="30" s="1"/>
  <c r="I159" i="30" s="1"/>
  <c r="AO121" i="5"/>
  <c r="AN121" i="5"/>
  <c r="AL121" i="5"/>
  <c r="AG158" i="30" s="1"/>
  <c r="AJ121" i="5"/>
  <c r="AH121" i="5"/>
  <c r="AP119" i="5"/>
  <c r="S146" i="30" s="1"/>
  <c r="I147" i="30" s="1"/>
  <c r="AO119" i="5"/>
  <c r="AN119" i="5"/>
  <c r="AL119" i="5"/>
  <c r="AG146" i="30" s="1"/>
  <c r="AJ119" i="5"/>
  <c r="AH119" i="5"/>
  <c r="AP117" i="5"/>
  <c r="S134" i="30" s="1"/>
  <c r="I135" i="30" s="1"/>
  <c r="AO117" i="5"/>
  <c r="AN117" i="5"/>
  <c r="AL117" i="5"/>
  <c r="AG134" i="30" s="1"/>
  <c r="AJ117" i="5"/>
  <c r="AH117" i="5"/>
  <c r="AP115" i="5"/>
  <c r="S122" i="30" s="1"/>
  <c r="I123" i="30" s="1"/>
  <c r="AO115" i="5"/>
  <c r="AN115" i="5"/>
  <c r="AL115" i="5"/>
  <c r="AG122" i="30" s="1"/>
  <c r="AJ115" i="5"/>
  <c r="AH115" i="5"/>
  <c r="AP113" i="5"/>
  <c r="S110" i="30" s="1"/>
  <c r="I111" i="30" s="1"/>
  <c r="AO113" i="5"/>
  <c r="S109" i="30" s="1"/>
  <c r="AN113" i="5"/>
  <c r="AL113" i="5"/>
  <c r="AG110" i="30" s="1"/>
  <c r="AJ113" i="5"/>
  <c r="AH113" i="5"/>
  <c r="N113" i="5"/>
  <c r="AK127" i="5" s="1"/>
  <c r="AP110" i="5"/>
  <c r="S96" i="30" s="1"/>
  <c r="I97" i="30" s="1"/>
  <c r="AO110" i="5"/>
  <c r="AN110" i="5"/>
  <c r="AL110" i="5"/>
  <c r="AG96" i="30" s="1"/>
  <c r="AJ110" i="5"/>
  <c r="AH110" i="5"/>
  <c r="AP108" i="5"/>
  <c r="S84" i="30" s="1"/>
  <c r="I85" i="30" s="1"/>
  <c r="AO108" i="5"/>
  <c r="S83" i="30" s="1"/>
  <c r="AN108" i="5"/>
  <c r="AL108" i="5"/>
  <c r="AG84" i="30" s="1"/>
  <c r="AJ108" i="5"/>
  <c r="AH108" i="5"/>
  <c r="N108" i="5"/>
  <c r="AK108" i="5" s="1"/>
  <c r="AG83" i="30" s="1"/>
  <c r="AP105" i="5"/>
  <c r="S70" i="30" s="1"/>
  <c r="I71" i="30" s="1"/>
  <c r="AO105" i="5"/>
  <c r="AN105" i="5"/>
  <c r="AL105" i="5"/>
  <c r="AG70" i="30" s="1"/>
  <c r="AJ105" i="5"/>
  <c r="AH105" i="5"/>
  <c r="AP103" i="5"/>
  <c r="S58" i="30" s="1"/>
  <c r="I59" i="30" s="1"/>
  <c r="AO103" i="5"/>
  <c r="S57" i="30" s="1"/>
  <c r="AN103" i="5"/>
  <c r="AL103" i="5"/>
  <c r="AG58" i="30" s="1"/>
  <c r="AJ103" i="5"/>
  <c r="AH103" i="5"/>
  <c r="N103" i="5"/>
  <c r="AK103" i="5" s="1"/>
  <c r="AG57" i="30" s="1"/>
  <c r="AQ100" i="5"/>
  <c r="AP100" i="5"/>
  <c r="S44" i="30" s="1"/>
  <c r="I45" i="30" s="1"/>
  <c r="J46" i="30" s="1"/>
  <c r="AO100" i="5"/>
  <c r="S43" i="30" s="1"/>
  <c r="AN100" i="5"/>
  <c r="S42" i="30" s="1"/>
  <c r="AM100" i="5"/>
  <c r="AL100" i="5"/>
  <c r="AG44" i="30" s="1"/>
  <c r="AJ100" i="5"/>
  <c r="AH100" i="5"/>
  <c r="N100" i="5"/>
  <c r="AK100" i="5" s="1"/>
  <c r="AG43" i="30" s="1"/>
  <c r="G100" i="5"/>
  <c r="AI110" i="5" s="1"/>
  <c r="AQ94" i="5"/>
  <c r="AP94" i="5"/>
  <c r="S48" i="26" s="1"/>
  <c r="K52" i="26" s="1"/>
  <c r="S52" i="26" s="1"/>
  <c r="AO94" i="5"/>
  <c r="S47" i="26" s="1"/>
  <c r="AN94" i="5"/>
  <c r="S46" i="26" s="1"/>
  <c r="AM94" i="5"/>
  <c r="AL94" i="5"/>
  <c r="AD48" i="26" s="1"/>
  <c r="AK94" i="5"/>
  <c r="AD47" i="26"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AN79" i="5"/>
  <c r="S41" i="22" s="1"/>
  <c r="AM79" i="5"/>
  <c r="AL79" i="5"/>
  <c r="AC43" i="22" s="1"/>
  <c r="AK79" i="5"/>
  <c r="AC42" i="22" s="1"/>
  <c r="AJ79" i="5"/>
  <c r="AI79" i="5"/>
  <c r="AH79" i="5"/>
  <c r="AQ74" i="5"/>
  <c r="AP74" i="5"/>
  <c r="S43" i="21" s="1"/>
  <c r="I44" i="21" s="1"/>
  <c r="S44" i="21" s="1"/>
  <c r="AO74" i="5"/>
  <c r="S42" i="21" s="1"/>
  <c r="AN74" i="5"/>
  <c r="S41" i="21" s="1"/>
  <c r="AM74" i="5"/>
  <c r="AL74" i="5"/>
  <c r="AC43" i="21" s="1"/>
  <c r="AK74" i="5"/>
  <c r="AJ74" i="5"/>
  <c r="AC41" i="21" s="1"/>
  <c r="AI74" i="5"/>
  <c r="AH74" i="5"/>
  <c r="AQ58" i="5"/>
  <c r="S46" i="13" s="1"/>
  <c r="I47" i="13" s="1"/>
  <c r="AP58" i="5"/>
  <c r="S45" i="13" s="1"/>
  <c r="AO58" i="5"/>
  <c r="S44" i="14" s="1"/>
  <c r="AN58" i="5"/>
  <c r="S43" i="14" s="1"/>
  <c r="AM58" i="5"/>
  <c r="AD46" i="13" s="1"/>
  <c r="AL58" i="5"/>
  <c r="AD45" i="14" s="1"/>
  <c r="AK58" i="5"/>
  <c r="AD44" i="14" s="1"/>
  <c r="AJ58" i="5"/>
  <c r="AD43" i="14" s="1"/>
  <c r="AI58" i="5"/>
  <c r="AH58" i="5"/>
  <c r="AQ53" i="5"/>
  <c r="S48" i="25" s="1"/>
  <c r="AP53" i="5"/>
  <c r="S47" i="25" s="1"/>
  <c r="AO53" i="5"/>
  <c r="S46" i="25" s="1"/>
  <c r="AN53" i="5"/>
  <c r="S45" i="25" s="1"/>
  <c r="AM53" i="5"/>
  <c r="AL53" i="5"/>
  <c r="AK53" i="5"/>
  <c r="AJ53" i="5"/>
  <c r="AI53" i="5"/>
  <c r="AH53" i="5"/>
  <c r="AQ48" i="5"/>
  <c r="S48" i="20" s="1"/>
  <c r="J50" i="20" s="1"/>
  <c r="AP48" i="5"/>
  <c r="S47" i="20" s="1"/>
  <c r="AO48" i="5"/>
  <c r="S46" i="20" s="1"/>
  <c r="AN48" i="5"/>
  <c r="S45" i="20" s="1"/>
  <c r="AM48" i="5"/>
  <c r="AB48" i="20" s="1"/>
  <c r="AL48" i="5"/>
  <c r="AB47" i="20" s="1"/>
  <c r="AK48" i="5"/>
  <c r="AB46" i="20" s="1"/>
  <c r="AJ48" i="5"/>
  <c r="AI48" i="5"/>
  <c r="AH48" i="5"/>
  <c r="AQ43" i="5"/>
  <c r="S46" i="15" s="1"/>
  <c r="I47" i="15" s="1"/>
  <c r="AP43" i="5"/>
  <c r="S45" i="15" s="1"/>
  <c r="AO43" i="5"/>
  <c r="AN43" i="5"/>
  <c r="S43" i="15" s="1"/>
  <c r="AM43" i="5"/>
  <c r="AD46" i="15" s="1"/>
  <c r="AL43" i="5"/>
  <c r="AK43" i="5"/>
  <c r="AD44" i="15" s="1"/>
  <c r="AJ43" i="5"/>
  <c r="AI43" i="5"/>
  <c r="AH43" i="5"/>
  <c r="AQ38" i="5"/>
  <c r="S46" i="18" s="1"/>
  <c r="J48" i="18" s="1"/>
  <c r="K49" i="18" s="1"/>
  <c r="S49" i="18" s="1"/>
  <c r="AP38" i="5"/>
  <c r="S45" i="18" s="1"/>
  <c r="AO38" i="5"/>
  <c r="AN38" i="5"/>
  <c r="AM38" i="5"/>
  <c r="AD46" i="18" s="1"/>
  <c r="AL38" i="5"/>
  <c r="AD45" i="18" s="1"/>
  <c r="AK38" i="5"/>
  <c r="AD44" i="18" s="1"/>
  <c r="AJ38" i="5"/>
  <c r="AD43" i="18" s="1"/>
  <c r="AI38" i="5"/>
  <c r="AH38" i="5"/>
  <c r="AQ33" i="5"/>
  <c r="S46" i="17" s="1"/>
  <c r="I47" i="17" s="1"/>
  <c r="AP33" i="5"/>
  <c r="S45" i="17" s="1"/>
  <c r="AO33" i="5"/>
  <c r="S44" i="17" s="1"/>
  <c r="AN33" i="5"/>
  <c r="S43" i="17" s="1"/>
  <c r="AM33" i="5"/>
  <c r="AD46" i="17" s="1"/>
  <c r="AL33" i="5"/>
  <c r="AD45" i="17" s="1"/>
  <c r="AK33" i="5"/>
  <c r="AJ33" i="5"/>
  <c r="AI33" i="5"/>
  <c r="AH33" i="5"/>
  <c r="AQ28" i="5"/>
  <c r="U52" i="19" s="1"/>
  <c r="I53" i="19" s="1"/>
  <c r="J54" i="19" s="1"/>
  <c r="AP28" i="5"/>
  <c r="U51" i="19" s="1"/>
  <c r="AO28" i="5"/>
  <c r="U50" i="19" s="1"/>
  <c r="AN28" i="5"/>
  <c r="U49" i="19" s="1"/>
  <c r="AM28" i="5"/>
  <c r="AL28" i="5"/>
  <c r="AG51" i="19" s="1"/>
  <c r="AK28" i="5"/>
  <c r="AG50" i="19" s="1"/>
  <c r="AJ28" i="5"/>
  <c r="AI28" i="5"/>
  <c r="AH28" i="5"/>
  <c r="AQ23" i="5"/>
  <c r="L22" i="62" s="1"/>
  <c r="F23" i="62" s="1"/>
  <c r="AP23" i="5"/>
  <c r="L21" i="62" s="1"/>
  <c r="AO23" i="5"/>
  <c r="L20" i="62" s="1"/>
  <c r="AN23" i="5"/>
  <c r="L19" i="62" s="1"/>
  <c r="AM23" i="5"/>
  <c r="O22" i="62" s="1"/>
  <c r="AL23" i="5"/>
  <c r="O21" i="62" s="1"/>
  <c r="AK23" i="5"/>
  <c r="O20" i="62" s="1"/>
  <c r="AJ23" i="5"/>
  <c r="AI23" i="5"/>
  <c r="AH23" i="5"/>
  <c r="AQ18" i="5"/>
  <c r="AP18" i="5"/>
  <c r="S45" i="12" s="1"/>
  <c r="AO18" i="5"/>
  <c r="S44" i="12" s="1"/>
  <c r="AN18" i="5"/>
  <c r="S43" i="12" s="1"/>
  <c r="AM18" i="5"/>
  <c r="AD46" i="12" s="1"/>
  <c r="AL18" i="5"/>
  <c r="AD45" i="12" s="1"/>
  <c r="AK18" i="5"/>
  <c r="AD44" i="12" s="1"/>
  <c r="AJ18" i="5"/>
  <c r="AI18" i="5"/>
  <c r="AH18" i="5"/>
  <c r="AQ13" i="5"/>
  <c r="S46" i="11" s="1"/>
  <c r="I47" i="11" s="1"/>
  <c r="AP13" i="5"/>
  <c r="S45" i="11" s="1"/>
  <c r="AO13" i="5"/>
  <c r="AN13" i="5"/>
  <c r="S43" i="11" s="1"/>
  <c r="AM13" i="5"/>
  <c r="AD46" i="11" s="1"/>
  <c r="AL13" i="5"/>
  <c r="AK13" i="5"/>
  <c r="AD44" i="11" s="1"/>
  <c r="AJ13" i="5"/>
  <c r="AD43" i="11" s="1"/>
  <c r="AI13" i="5"/>
  <c r="AH13" i="5"/>
  <c r="D6" i="5"/>
  <c r="D5" i="5"/>
  <c r="R13" i="4"/>
  <c r="P13" i="4"/>
  <c r="I13" i="4"/>
  <c r="Q13" i="4" s="1"/>
  <c r="E7" i="4"/>
  <c r="D5" i="4"/>
  <c r="O28" i="3"/>
  <c r="M28" i="3" a="1"/>
  <c r="M28" i="3"/>
  <c r="E28" i="3"/>
  <c r="E27" i="3"/>
  <c r="O25" i="3"/>
  <c r="M25" i="3" a="1"/>
  <c r="M25" i="3"/>
  <c r="E25" i="3"/>
  <c r="E24" i="3"/>
  <c r="O22" i="3"/>
  <c r="M22" i="3" a="1"/>
  <c r="M22" i="3"/>
  <c r="E22" i="3"/>
  <c r="E21" i="3"/>
  <c r="O19" i="3"/>
  <c r="M19" i="3" a="1"/>
  <c r="M19" i="3" s="1"/>
  <c r="E19" i="3"/>
  <c r="E18" i="3"/>
  <c r="O16" i="3"/>
  <c r="M16" i="3" a="1"/>
  <c r="M16" i="3"/>
  <c r="E16" i="3"/>
  <c r="E15" i="3"/>
  <c r="O13" i="3"/>
  <c r="M13" i="3" a="1"/>
  <c r="M13" i="3"/>
  <c r="E13" i="3"/>
  <c r="E12" i="3"/>
  <c r="E4" i="3"/>
  <c r="E59" i="2"/>
  <c r="E49" i="2"/>
  <c r="E41" i="2"/>
  <c r="E31" i="2"/>
  <c r="E27" i="2"/>
  <c r="E26" i="2"/>
  <c r="F25" i="2"/>
  <c r="E22" i="2"/>
  <c r="E21" i="2"/>
  <c r="F20" i="2"/>
  <c r="E19" i="2"/>
  <c r="I9" i="2"/>
  <c r="E3" i="2"/>
  <c r="E2" i="2"/>
  <c r="Y25" i="62"/>
  <c r="M10" i="53"/>
  <c r="M2" i="53"/>
  <c r="M2" i="52"/>
  <c r="M10" i="52"/>
  <c r="AT47" i="31"/>
  <c r="BE249" i="30"/>
  <c r="BE241" i="30"/>
  <c r="BE197" i="30"/>
  <c r="BE189" i="30"/>
  <c r="BE149" i="30"/>
  <c r="BE141" i="30"/>
  <c r="BE99" i="30"/>
  <c r="BE91" i="30"/>
  <c r="BE47" i="30"/>
  <c r="AL46" i="27"/>
  <c r="AL46" i="22"/>
  <c r="AT7" i="31"/>
  <c r="BE261" i="30"/>
  <c r="BE253" i="30"/>
  <c r="BE211" i="30"/>
  <c r="BE201" i="30"/>
  <c r="BE161" i="30"/>
  <c r="BE153" i="30"/>
  <c r="BE113" i="30"/>
  <c r="BE103" i="30"/>
  <c r="BE61" i="30"/>
  <c r="BE273" i="30"/>
  <c r="BE265" i="30"/>
  <c r="BE225" i="30"/>
  <c r="BE215" i="30"/>
  <c r="BE229" i="30"/>
  <c r="BE129" i="30"/>
  <c r="BE117" i="30"/>
  <c r="BE77" i="30"/>
  <c r="BE65" i="30"/>
  <c r="AL7" i="28"/>
  <c r="BE185" i="30"/>
  <c r="BE137" i="30"/>
  <c r="BE125" i="30"/>
  <c r="BE73" i="30"/>
  <c r="BE51" i="30"/>
  <c r="AL8" i="25"/>
  <c r="BE177" i="30"/>
  <c r="BE165" i="30"/>
  <c r="BE87" i="30"/>
  <c r="AL51" i="25"/>
  <c r="AL7" i="21"/>
  <c r="AV51" i="20"/>
  <c r="AR8" i="19"/>
  <c r="BE237" i="30"/>
  <c r="AL46" i="28"/>
  <c r="AL46" i="21"/>
  <c r="AR56" i="19"/>
  <c r="AR55" i="19"/>
  <c r="BE7" i="30"/>
  <c r="AL7" i="27"/>
  <c r="AL46" i="24"/>
  <c r="AL7" i="24"/>
  <c r="AL46" i="23"/>
  <c r="AL7" i="23"/>
  <c r="AN8" i="15"/>
  <c r="AN49" i="14"/>
  <c r="AN8" i="13"/>
  <c r="AN49" i="12"/>
  <c r="AN8" i="11"/>
  <c r="AV8" i="20"/>
  <c r="AN49" i="18"/>
  <c r="AN8" i="18"/>
  <c r="AN8" i="16"/>
  <c r="BE277" i="30"/>
  <c r="BE173" i="30"/>
  <c r="AN49" i="17"/>
  <c r="AN49" i="16"/>
  <c r="AN49" i="15"/>
  <c r="AN8" i="14"/>
  <c r="AN49" i="13"/>
  <c r="AN8" i="12"/>
  <c r="AN49" i="11"/>
  <c r="AL7" i="22"/>
  <c r="AN8" i="17"/>
  <c r="J13" i="3"/>
  <c r="S44" i="22" l="1"/>
  <c r="J45" i="22"/>
  <c r="K47" i="30"/>
  <c r="S47" i="30" s="1"/>
  <c r="S46" i="30"/>
  <c r="J124" i="30"/>
  <c r="J130" i="30"/>
  <c r="J131" i="30"/>
  <c r="J128" i="30"/>
  <c r="J129" i="30"/>
  <c r="S123" i="30"/>
  <c r="K8" i="16"/>
  <c r="S8" i="16" s="1"/>
  <c r="S7" i="16"/>
  <c r="U54" i="19"/>
  <c r="K55" i="19"/>
  <c r="J7" i="13"/>
  <c r="S6" i="13"/>
  <c r="I10" i="48"/>
  <c r="I11" i="36"/>
  <c r="I27" i="38"/>
  <c r="H15" i="34"/>
  <c r="I8" i="37"/>
  <c r="I11" i="35"/>
  <c r="H10" i="43"/>
  <c r="I26" i="33"/>
  <c r="J48" i="12"/>
  <c r="S47" i="12"/>
  <c r="J45" i="24"/>
  <c r="S44" i="24"/>
  <c r="S176" i="30"/>
  <c r="K177" i="30"/>
  <c r="S177" i="30" s="1"/>
  <c r="S47" i="13"/>
  <c r="J48" i="13"/>
  <c r="J7" i="11"/>
  <c r="S6" i="11"/>
  <c r="J48" i="14"/>
  <c r="S47" i="14"/>
  <c r="J7" i="15"/>
  <c r="S6" i="15"/>
  <c r="S47" i="11"/>
  <c r="J48" i="11"/>
  <c r="S47" i="15"/>
  <c r="J48" i="15"/>
  <c r="D35" i="7"/>
  <c r="D36" i="7"/>
  <c r="D37" i="7"/>
  <c r="D38" i="7" s="1"/>
  <c r="D39" i="7" s="1"/>
  <c r="D34" i="7"/>
  <c r="K8" i="17"/>
  <c r="S8" i="17" s="1"/>
  <c r="S7" i="17"/>
  <c r="O19" i="62"/>
  <c r="G264" i="46"/>
  <c r="G206" i="46"/>
  <c r="G148" i="46"/>
  <c r="G90" i="46"/>
  <c r="G30" i="46"/>
  <c r="F267" i="46"/>
  <c r="F209" i="46"/>
  <c r="F151" i="46"/>
  <c r="F93" i="46"/>
  <c r="F33" i="46"/>
  <c r="G270" i="46"/>
  <c r="G212" i="46"/>
  <c r="G154" i="46"/>
  <c r="G96" i="46"/>
  <c r="G36" i="46"/>
  <c r="F273" i="46"/>
  <c r="F215" i="46"/>
  <c r="F157" i="46"/>
  <c r="F99" i="46"/>
  <c r="F39" i="46"/>
  <c r="G276" i="46"/>
  <c r="G218" i="46"/>
  <c r="G160" i="46"/>
  <c r="G102" i="46"/>
  <c r="G42" i="46"/>
  <c r="F285" i="46"/>
  <c r="F227" i="46"/>
  <c r="F169" i="46"/>
  <c r="F111" i="46"/>
  <c r="F51" i="46"/>
  <c r="G123" i="46"/>
  <c r="G297" i="46"/>
  <c r="G63" i="46"/>
  <c r="G239" i="46"/>
  <c r="G181" i="46"/>
  <c r="AG42" i="30"/>
  <c r="J72" i="30"/>
  <c r="J78" i="30"/>
  <c r="J79" i="30"/>
  <c r="J76" i="30"/>
  <c r="J77" i="30"/>
  <c r="S71" i="30"/>
  <c r="AI127" i="5"/>
  <c r="J224" i="30"/>
  <c r="J230" i="30"/>
  <c r="J228" i="30"/>
  <c r="S223" i="30"/>
  <c r="J231" i="30"/>
  <c r="J229" i="30"/>
  <c r="J243" i="30"/>
  <c r="J241" i="30"/>
  <c r="J236" i="30"/>
  <c r="J242" i="30"/>
  <c r="J240" i="30"/>
  <c r="S235" i="30"/>
  <c r="AK137" i="5"/>
  <c r="J252" i="30"/>
  <c r="S247" i="30"/>
  <c r="J255" i="30"/>
  <c r="J253" i="30"/>
  <c r="J248" i="30"/>
  <c r="J254" i="30"/>
  <c r="AK139" i="5"/>
  <c r="J266" i="30"/>
  <c r="J264" i="30"/>
  <c r="S259" i="30"/>
  <c r="J267" i="30"/>
  <c r="J265" i="30"/>
  <c r="J260" i="30"/>
  <c r="AK141" i="5"/>
  <c r="J272" i="30"/>
  <c r="J278" i="30"/>
  <c r="J276" i="30"/>
  <c r="S271" i="30"/>
  <c r="J279" i="30"/>
  <c r="J277" i="30"/>
  <c r="AD45" i="13"/>
  <c r="AD43" i="17"/>
  <c r="K46" i="21"/>
  <c r="S46" i="21" s="1"/>
  <c r="S45" i="21"/>
  <c r="I26" i="38"/>
  <c r="I9" i="48"/>
  <c r="I10" i="36"/>
  <c r="I10" i="35"/>
  <c r="H9" i="43"/>
  <c r="I25" i="33"/>
  <c r="I7" i="37"/>
  <c r="H14" i="34"/>
  <c r="J93" i="30"/>
  <c r="J91" i="30"/>
  <c r="J86" i="30"/>
  <c r="J90" i="30"/>
  <c r="S85" i="30"/>
  <c r="J92" i="30"/>
  <c r="AK110" i="5"/>
  <c r="AI130" i="5"/>
  <c r="S45" i="31"/>
  <c r="J46" i="31"/>
  <c r="S44" i="27"/>
  <c r="J45" i="27"/>
  <c r="G309" i="46"/>
  <c r="G251" i="46"/>
  <c r="G193" i="46"/>
  <c r="G135" i="46"/>
  <c r="G75" i="46"/>
  <c r="AC41" i="28"/>
  <c r="D23" i="7"/>
  <c r="S7" i="12"/>
  <c r="AD43" i="13"/>
  <c r="S7" i="14"/>
  <c r="S45" i="14"/>
  <c r="AD46" i="14"/>
  <c r="AD43" i="15"/>
  <c r="S43" i="16"/>
  <c r="S44" i="16"/>
  <c r="AD45" i="16"/>
  <c r="J48" i="17"/>
  <c r="K8" i="18"/>
  <c r="S8" i="18" s="1"/>
  <c r="S6" i="22"/>
  <c r="K7" i="22"/>
  <c r="S7" i="22" s="1"/>
  <c r="K7" i="24"/>
  <c r="S7" i="24" s="1"/>
  <c r="S6" i="24"/>
  <c r="J6" i="31"/>
  <c r="G258" i="46"/>
  <c r="G200" i="46"/>
  <c r="G142" i="46"/>
  <c r="G84" i="46"/>
  <c r="G24" i="46"/>
  <c r="G2" i="46"/>
  <c r="G5" i="46"/>
  <c r="F279" i="46"/>
  <c r="F221" i="46"/>
  <c r="F163" i="46"/>
  <c r="F105" i="46"/>
  <c r="F45" i="46"/>
  <c r="G282" i="46"/>
  <c r="G224" i="46"/>
  <c r="G166" i="46"/>
  <c r="G108" i="46"/>
  <c r="G48" i="46"/>
  <c r="G288" i="46"/>
  <c r="G230" i="46"/>
  <c r="G172" i="46"/>
  <c r="G114" i="46"/>
  <c r="G54" i="46"/>
  <c r="AC41" i="23"/>
  <c r="F291" i="46"/>
  <c r="F233" i="46"/>
  <c r="F175" i="46"/>
  <c r="F117" i="46"/>
  <c r="F57" i="46"/>
  <c r="G294" i="46"/>
  <c r="G236" i="46"/>
  <c r="G178" i="46"/>
  <c r="G120" i="46"/>
  <c r="G60" i="46"/>
  <c r="AD46" i="26"/>
  <c r="J66" i="30"/>
  <c r="J64" i="30"/>
  <c r="S59" i="30"/>
  <c r="J67" i="30"/>
  <c r="J65" i="30"/>
  <c r="J60" i="30"/>
  <c r="AK105" i="5"/>
  <c r="AK133" i="5"/>
  <c r="AG221" i="30" s="1"/>
  <c r="K113" i="30"/>
  <c r="S113" i="30" s="1"/>
  <c r="S112" i="30"/>
  <c r="J102" i="30"/>
  <c r="S97" i="30"/>
  <c r="J105" i="30"/>
  <c r="J103" i="30"/>
  <c r="J104" i="30"/>
  <c r="J98" i="30"/>
  <c r="AD46" i="32"/>
  <c r="G303" i="46"/>
  <c r="G245" i="46"/>
  <c r="G187" i="46"/>
  <c r="G129" i="46"/>
  <c r="G69" i="46"/>
  <c r="F264" i="46"/>
  <c r="F206" i="46"/>
  <c r="F148" i="46"/>
  <c r="F90" i="46"/>
  <c r="F30" i="46"/>
  <c r="G267" i="46"/>
  <c r="G209" i="46"/>
  <c r="G151" i="46"/>
  <c r="G93" i="46"/>
  <c r="G33" i="46"/>
  <c r="AG49" i="19"/>
  <c r="F270" i="46"/>
  <c r="F212" i="46"/>
  <c r="F154" i="46"/>
  <c r="F96" i="46"/>
  <c r="F36" i="46"/>
  <c r="G157" i="46"/>
  <c r="G99" i="46"/>
  <c r="G273" i="46"/>
  <c r="G39" i="46"/>
  <c r="G215" i="46"/>
  <c r="F288" i="46"/>
  <c r="F230" i="46"/>
  <c r="F172" i="46"/>
  <c r="F114" i="46"/>
  <c r="F54" i="46"/>
  <c r="F294" i="46"/>
  <c r="F236" i="46"/>
  <c r="F178" i="46"/>
  <c r="F120" i="46"/>
  <c r="F60" i="46"/>
  <c r="F297" i="46"/>
  <c r="F239" i="46"/>
  <c r="F181" i="46"/>
  <c r="F123" i="46"/>
  <c r="F63" i="46"/>
  <c r="J50" i="30"/>
  <c r="S45" i="30"/>
  <c r="J51" i="30"/>
  <c r="J53" i="30"/>
  <c r="J52" i="30"/>
  <c r="AI103" i="5"/>
  <c r="AI105" i="5"/>
  <c r="AK113" i="5"/>
  <c r="AG109" i="30" s="1"/>
  <c r="J118" i="30"/>
  <c r="J116" i="30"/>
  <c r="S111" i="30"/>
  <c r="J119" i="30"/>
  <c r="AK115" i="5"/>
  <c r="AK117" i="5"/>
  <c r="J143" i="30"/>
  <c r="J141" i="30"/>
  <c r="J136" i="30"/>
  <c r="J140" i="30"/>
  <c r="J142" i="30"/>
  <c r="S135" i="30"/>
  <c r="AK119" i="5"/>
  <c r="J152" i="30"/>
  <c r="S147" i="30"/>
  <c r="J155" i="30"/>
  <c r="J153" i="30"/>
  <c r="J154" i="30"/>
  <c r="J148" i="30"/>
  <c r="AK121" i="5"/>
  <c r="J166" i="30"/>
  <c r="J164" i="30"/>
  <c r="S159" i="30"/>
  <c r="J165" i="30"/>
  <c r="J160" i="30"/>
  <c r="J167" i="30"/>
  <c r="AK123" i="5"/>
  <c r="J172" i="30"/>
  <c r="J178" i="30"/>
  <c r="S171" i="30"/>
  <c r="J177" i="30"/>
  <c r="J179" i="30"/>
  <c r="AK125" i="5"/>
  <c r="J191" i="30"/>
  <c r="J189" i="30"/>
  <c r="J184" i="30"/>
  <c r="J190" i="30"/>
  <c r="J188" i="30"/>
  <c r="S183" i="30"/>
  <c r="J200" i="30"/>
  <c r="S195" i="30"/>
  <c r="J203" i="30"/>
  <c r="J201" i="30"/>
  <c r="J196" i="30"/>
  <c r="J202" i="30"/>
  <c r="AI133" i="5"/>
  <c r="AI135" i="5"/>
  <c r="AI137" i="5"/>
  <c r="AI139" i="5"/>
  <c r="AI141" i="5"/>
  <c r="D20" i="7"/>
  <c r="AD43" i="16"/>
  <c r="AD44" i="16"/>
  <c r="I47" i="18"/>
  <c r="K7" i="21"/>
  <c r="S7" i="21" s="1"/>
  <c r="J6" i="27"/>
  <c r="S5" i="27"/>
  <c r="F261" i="46"/>
  <c r="F203" i="46"/>
  <c r="F145" i="46"/>
  <c r="F87" i="46"/>
  <c r="F27" i="46"/>
  <c r="AI113" i="5"/>
  <c r="AI115" i="5"/>
  <c r="AI117" i="5"/>
  <c r="AI119" i="5"/>
  <c r="AI121" i="5"/>
  <c r="AI123" i="5"/>
  <c r="AI125" i="5"/>
  <c r="F300" i="46"/>
  <c r="F242" i="46"/>
  <c r="F184" i="46"/>
  <c r="F126" i="46"/>
  <c r="F66" i="46"/>
  <c r="F306" i="46"/>
  <c r="F248" i="46"/>
  <c r="F190" i="46"/>
  <c r="F132" i="46"/>
  <c r="F72" i="46"/>
  <c r="F312" i="46"/>
  <c r="F254" i="46"/>
  <c r="F196" i="46"/>
  <c r="F138" i="46"/>
  <c r="F78" i="46"/>
  <c r="F258" i="46"/>
  <c r="F24" i="46"/>
  <c r="F200" i="46"/>
  <c r="F142" i="46"/>
  <c r="F84" i="46"/>
  <c r="G261" i="46"/>
  <c r="G203" i="46"/>
  <c r="G145" i="46"/>
  <c r="G87" i="46"/>
  <c r="G27" i="46"/>
  <c r="F276" i="46"/>
  <c r="F218" i="46"/>
  <c r="F160" i="46"/>
  <c r="F102" i="46"/>
  <c r="F42" i="46"/>
  <c r="G279" i="46"/>
  <c r="G221" i="46"/>
  <c r="G163" i="46"/>
  <c r="G105" i="46"/>
  <c r="G45" i="46"/>
  <c r="F282" i="46"/>
  <c r="F224" i="46"/>
  <c r="F166" i="46"/>
  <c r="F108" i="46"/>
  <c r="F48" i="46"/>
  <c r="G285" i="46"/>
  <c r="G227" i="46"/>
  <c r="G169" i="46"/>
  <c r="G111" i="46"/>
  <c r="G51" i="46"/>
  <c r="AC41" i="22"/>
  <c r="S44" i="23"/>
  <c r="J45" i="23"/>
  <c r="G291" i="46"/>
  <c r="G233" i="46"/>
  <c r="G175" i="46"/>
  <c r="G117" i="46"/>
  <c r="G57" i="46"/>
  <c r="AC41" i="24"/>
  <c r="I28" i="38"/>
  <c r="I11" i="48"/>
  <c r="I12" i="36"/>
  <c r="I12" i="35"/>
  <c r="H11" i="43"/>
  <c r="H16" i="34"/>
  <c r="I27" i="33"/>
  <c r="I9" i="37"/>
  <c r="L23" i="62"/>
  <c r="G24" i="62"/>
  <c r="K51" i="25"/>
  <c r="S51" i="25" s="1"/>
  <c r="I49" i="25"/>
  <c r="AI100" i="5"/>
  <c r="AI108" i="5"/>
  <c r="J216" i="30"/>
  <c r="J214" i="30"/>
  <c r="S209" i="30"/>
  <c r="J217" i="30"/>
  <c r="J215" i="30"/>
  <c r="J210" i="30"/>
  <c r="G300" i="46"/>
  <c r="G242" i="46"/>
  <c r="G184" i="46"/>
  <c r="G126" i="46"/>
  <c r="G66" i="46"/>
  <c r="AG42" i="31"/>
  <c r="F303" i="46"/>
  <c r="F245" i="46"/>
  <c r="F187" i="46"/>
  <c r="F129" i="46"/>
  <c r="F69" i="46"/>
  <c r="G306" i="46"/>
  <c r="G248" i="46"/>
  <c r="G190" i="46"/>
  <c r="G132" i="46"/>
  <c r="G72" i="46"/>
  <c r="F309" i="46"/>
  <c r="F251" i="46"/>
  <c r="F193" i="46"/>
  <c r="F135" i="46"/>
  <c r="F75" i="46"/>
  <c r="J45" i="28"/>
  <c r="S44" i="28"/>
  <c r="G312" i="46"/>
  <c r="G254" i="46"/>
  <c r="G196" i="46"/>
  <c r="G138" i="46"/>
  <c r="G78" i="46"/>
  <c r="AD46" i="29"/>
  <c r="AD43" i="12"/>
  <c r="S46" i="16"/>
  <c r="L9" i="19"/>
  <c r="U9" i="19" s="1"/>
  <c r="K8" i="20"/>
  <c r="S8" i="20" s="1"/>
  <c r="I6" i="20"/>
  <c r="J7" i="20"/>
  <c r="AB45" i="20"/>
  <c r="K51" i="20"/>
  <c r="S51" i="20" s="1"/>
  <c r="S6" i="28"/>
  <c r="K7" i="28"/>
  <c r="S7" i="28" s="1"/>
  <c r="J117" i="30"/>
  <c r="S5" i="23"/>
  <c r="H49" i="41"/>
  <c r="I48" i="41"/>
  <c r="H48" i="41" s="1"/>
  <c r="I36" i="41"/>
  <c r="H36" i="41" s="1"/>
  <c r="I58" i="41"/>
  <c r="H58" i="41" s="1"/>
  <c r="F10" i="52"/>
  <c r="D48" i="59"/>
  <c r="AA11" i="61"/>
  <c r="N11" i="61" s="1"/>
  <c r="I15" i="43" s="1"/>
  <c r="U15" i="61"/>
  <c r="M15" i="61" s="1"/>
  <c r="E19" i="43" s="1"/>
  <c r="J49" i="49"/>
  <c r="J50" i="49"/>
  <c r="J51" i="49"/>
  <c r="J52" i="49"/>
  <c r="J45" i="49" s="1"/>
  <c r="E5" i="2" s="1"/>
  <c r="F10" i="53"/>
  <c r="D49" i="59"/>
  <c r="E4" i="60"/>
  <c r="C4" i="60" s="1"/>
  <c r="D4" i="7" s="1"/>
  <c r="E6" i="60"/>
  <c r="C6" i="60" s="1"/>
  <c r="E21" i="33" s="1"/>
  <c r="E29" i="60"/>
  <c r="C29" i="60" s="1"/>
  <c r="D5" i="47" s="1"/>
  <c r="U14" i="61"/>
  <c r="M14" i="61" s="1"/>
  <c r="E18" i="43" s="1"/>
  <c r="AA15" i="61"/>
  <c r="N15" i="61" s="1"/>
  <c r="I19" i="43" s="1"/>
  <c r="F2" i="52"/>
  <c r="D50" i="59"/>
  <c r="AA13" i="61"/>
  <c r="N13" i="61" s="1"/>
  <c r="I17" i="43" s="1"/>
  <c r="E3" i="60"/>
  <c r="C3" i="60" s="1"/>
  <c r="D5" i="43" s="1"/>
  <c r="E5" i="60"/>
  <c r="C5" i="60" s="1"/>
  <c r="D5" i="44" s="1"/>
  <c r="E30" i="60"/>
  <c r="C30" i="60" s="1"/>
  <c r="D14" i="45" s="1"/>
  <c r="E32" i="60"/>
  <c r="C32" i="60" s="1"/>
  <c r="AA12" i="61"/>
  <c r="N12" i="61" s="1"/>
  <c r="I16" i="43" s="1"/>
  <c r="AA16" i="61"/>
  <c r="N16" i="61" s="1"/>
  <c r="I21" i="43" s="1"/>
  <c r="S6" i="27" l="1"/>
  <c r="K7" i="27"/>
  <c r="S7" i="27" s="1"/>
  <c r="K201" i="30"/>
  <c r="S201" i="30" s="1"/>
  <c r="S200" i="30"/>
  <c r="S86" i="30"/>
  <c r="K87" i="30"/>
  <c r="S87" i="30" s="1"/>
  <c r="S46" i="31"/>
  <c r="K47" i="31"/>
  <c r="S47" i="31" s="1"/>
  <c r="S240" i="30"/>
  <c r="K241" i="30"/>
  <c r="S241" i="30" s="1"/>
  <c r="S228" i="30"/>
  <c r="K229" i="30"/>
  <c r="S229" i="30" s="1"/>
  <c r="S48" i="14"/>
  <c r="K49" i="14"/>
  <c r="S49" i="14" s="1"/>
  <c r="K46" i="24"/>
  <c r="S46" i="24" s="1"/>
  <c r="S45" i="24"/>
  <c r="S7" i="13"/>
  <c r="K8" i="13"/>
  <c r="S8" i="13" s="1"/>
  <c r="D4" i="4"/>
  <c r="B5" i="1"/>
  <c r="S196" i="30"/>
  <c r="K197" i="30"/>
  <c r="S197" i="30" s="1"/>
  <c r="S184" i="30"/>
  <c r="K185" i="30"/>
  <c r="S185" i="30" s="1"/>
  <c r="K173" i="30"/>
  <c r="S173" i="30" s="1"/>
  <c r="S172" i="30"/>
  <c r="K61" i="30"/>
  <c r="S61" i="30" s="1"/>
  <c r="S60" i="30"/>
  <c r="S64" i="30"/>
  <c r="K65" i="30"/>
  <c r="S65" i="30" s="1"/>
  <c r="K7" i="31"/>
  <c r="S7" i="31" s="1"/>
  <c r="S6" i="31"/>
  <c r="K49" i="13"/>
  <c r="S49" i="13" s="1"/>
  <c r="S48" i="13"/>
  <c r="S128" i="30"/>
  <c r="K129" i="30"/>
  <c r="S129" i="30" s="1"/>
  <c r="K211" i="30"/>
  <c r="S211" i="30" s="1"/>
  <c r="S210" i="30"/>
  <c r="S148" i="30"/>
  <c r="K149" i="30"/>
  <c r="S149" i="30" s="1"/>
  <c r="I47" i="16"/>
  <c r="J48" i="16"/>
  <c r="S188" i="30"/>
  <c r="K189" i="30"/>
  <c r="S189" i="30" s="1"/>
  <c r="S164" i="30"/>
  <c r="K165" i="30"/>
  <c r="S165" i="30" s="1"/>
  <c r="K153" i="30"/>
  <c r="S153" i="30" s="1"/>
  <c r="S152" i="30"/>
  <c r="S140" i="30"/>
  <c r="K141" i="30"/>
  <c r="S141" i="30" s="1"/>
  <c r="S116" i="30"/>
  <c r="K117" i="30"/>
  <c r="S117" i="30" s="1"/>
  <c r="S98" i="30"/>
  <c r="K99" i="30"/>
  <c r="S99" i="30" s="1"/>
  <c r="K49" i="17"/>
  <c r="S49" i="17" s="1"/>
  <c r="S48" i="17"/>
  <c r="S276" i="30"/>
  <c r="K277" i="30"/>
  <c r="S277" i="30" s="1"/>
  <c r="K261" i="30"/>
  <c r="S261" i="30" s="1"/>
  <c r="S260" i="30"/>
  <c r="S264" i="30"/>
  <c r="K265" i="30"/>
  <c r="S265" i="30" s="1"/>
  <c r="S248" i="30"/>
  <c r="K249" i="30"/>
  <c r="S249" i="30" s="1"/>
  <c r="K253" i="30"/>
  <c r="S253" i="30" s="1"/>
  <c r="S252" i="30"/>
  <c r="K73" i="30"/>
  <c r="S73" i="30" s="1"/>
  <c r="S72" i="30"/>
  <c r="K49" i="15"/>
  <c r="S49" i="15" s="1"/>
  <c r="S48" i="15"/>
  <c r="U55" i="19"/>
  <c r="L56" i="19"/>
  <c r="U56" i="19" s="1"/>
  <c r="S45" i="22"/>
  <c r="K46" i="22"/>
  <c r="S46" i="22" s="1"/>
  <c r="K273" i="30"/>
  <c r="S273" i="30" s="1"/>
  <c r="S272" i="30"/>
  <c r="K49" i="11"/>
  <c r="S49" i="11" s="1"/>
  <c r="S48" i="11"/>
  <c r="S214" i="30"/>
  <c r="K215" i="30"/>
  <c r="S215" i="30" s="1"/>
  <c r="F5" i="40"/>
  <c r="F5" i="41"/>
  <c r="F5" i="42"/>
  <c r="F5" i="39"/>
  <c r="S45" i="28"/>
  <c r="K46" i="28"/>
  <c r="S46" i="28" s="1"/>
  <c r="L24" i="62"/>
  <c r="H25" i="62"/>
  <c r="L25" i="62" s="1"/>
  <c r="S45" i="23"/>
  <c r="K46" i="23"/>
  <c r="S46" i="23" s="1"/>
  <c r="K161" i="30"/>
  <c r="S161" i="30" s="1"/>
  <c r="S160" i="30"/>
  <c r="S136" i="30"/>
  <c r="K137" i="30"/>
  <c r="S137" i="30" s="1"/>
  <c r="K51" i="30"/>
  <c r="S51" i="30" s="1"/>
  <c r="S50" i="30"/>
  <c r="K103" i="30"/>
  <c r="S103" i="30" s="1"/>
  <c r="S102" i="30"/>
  <c r="S45" i="27"/>
  <c r="K46" i="27"/>
  <c r="S46" i="27" s="1"/>
  <c r="S90" i="30"/>
  <c r="K91" i="30"/>
  <c r="S91" i="30" s="1"/>
  <c r="S236" i="30"/>
  <c r="K237" i="30"/>
  <c r="S237" i="30" s="1"/>
  <c r="K225" i="30"/>
  <c r="S225" i="30" s="1"/>
  <c r="S224" i="30"/>
  <c r="S76" i="30"/>
  <c r="K77" i="30"/>
  <c r="S77" i="30" s="1"/>
  <c r="D43" i="7"/>
  <c r="D44" i="7" s="1"/>
  <c r="D45" i="7" s="1"/>
  <c r="D40" i="7"/>
  <c r="D41" i="7"/>
  <c r="S7" i="15"/>
  <c r="K8" i="15"/>
  <c r="S8" i="15" s="1"/>
  <c r="S7" i="11"/>
  <c r="K8" i="11"/>
  <c r="S8" i="11" s="1"/>
  <c r="S48" i="12"/>
  <c r="K49" i="12"/>
  <c r="S49" i="12" s="1"/>
  <c r="K125" i="30"/>
  <c r="S125" i="30" s="1"/>
  <c r="S124" i="30"/>
  <c r="K49" i="16" l="1"/>
  <c r="S49" i="16" s="1"/>
  <c r="S48" i="16"/>
  <c r="D47" i="7"/>
  <c r="D51" i="7"/>
  <c r="D49" i="7"/>
  <c r="D46" i="7"/>
  <c r="D48"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<sst xmlns="http://schemas.openxmlformats.org/spreadsheetml/2006/main" count="47320" uniqueCount="9825">
  <si>
    <t xml:space="preserve"> (требуется обновление)</t>
  </si>
  <si>
    <t>Код отчёта: PP108.OPEN.INFO.PRICE.HOTVSNA.EIAS</t>
  </si>
  <si>
    <t>Версия отчёта: 1.0.7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</si>
  <si>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</si>
  <si>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</si>
  <si>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</si>
  <si>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</si>
  <si>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</si>
  <si>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</si>
  <si>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</si>
  <si>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</si>
  <si>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</si>
  <si>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</si>
  <si>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</si>
  <si>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Московская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</si>
  <si>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</si>
  <si>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</si>
  <si>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</si>
  <si>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</si>
  <si>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</si>
  <si>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</si>
  <si>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</si>
  <si>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</si>
  <si>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</si>
  <si>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</si>
  <si>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</si>
  <si>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</si>
  <si>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</si>
  <si>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</si>
  <si>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</si>
  <si>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</si>
  <si>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</si>
  <si>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</si>
  <si>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</si>
  <si>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</si>
  <si>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</si>
  <si>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</si>
  <si>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317-Р</t>
  </si>
  <si>
    <t>Наименование органа регулирования, принявшего решение об утверждении тарифов</t>
  </si>
  <si>
    <t>Комитет по ценам и тарифам Московской области</t>
  </si>
  <si>
    <t>Источник официального опубликования решения</t>
  </si>
  <si>
    <t>https://ktc.mosreg.ru/dokumenty/normotvorchestvo/rasporyazheniya/gosudarstvennoe-regulirovanie-tarifov-na-teplovuyu-energiyu-raspor/29-12-2023-16-47-50-rasporyazhenie-komiteta-po-tsenam-i-tarifam-moskov</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</si>
  <si>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</si>
  <si>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</si>
  <si>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«Газпром теплоэнерго МО»</t>
  </si>
  <si>
    <t>Наименование (описание) обособленного подразделения</t>
  </si>
  <si>
    <t>ИНН</t>
  </si>
  <si>
    <t>5007101649</t>
  </si>
  <si>
    <t>КПП</t>
  </si>
  <si>
    <t>500701001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</si>
  <si>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</si>
  <si>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</si>
  <si>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</si>
  <si>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</si>
  <si>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</si>
  <si>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</si>
  <si>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</si>
  <si>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</si>
  <si>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</si>
  <si>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</si>
  <si>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</si>
  <si>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</si>
  <si>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</si>
  <si>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</si>
  <si>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</si>
  <si>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</si>
  <si>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</si>
  <si>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</si>
  <si>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143440, Московская область, Красногорский район, д. Путилково, МКАД 69 км., Международный торгово-выставочный комплекс «Гринвуд» стр. 25</t>
  </si>
  <si>
    <t>Фамилия, имя, отчество руководителя</t>
  </si>
  <si>
    <t>Васин Вячеслав Владимирович</t>
  </si>
  <si>
    <t>Ответственный за заполнение формы</t>
  </si>
  <si>
    <t>Фамилия, имя, отчество</t>
  </si>
  <si>
    <t>Чалкина Наталья Николаевна</t>
  </si>
  <si>
    <t>Должность</t>
  </si>
  <si>
    <t>Главный специалист</t>
  </si>
  <si>
    <t>Контактный телефон</t>
  </si>
  <si>
    <t>8-495-540-84-25 (50236)</t>
  </si>
  <si>
    <t>E-mail</t>
  </si>
  <si>
    <t>chalkina.nn@50.gpte.ru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</si>
  <si>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</si>
  <si>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</si>
  <si>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</si>
  <si>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</si>
  <si>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</si>
  <si>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</si>
  <si>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</si>
  <si>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</si>
  <si>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</si>
  <si>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</si>
  <si>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</si>
  <si>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</si>
  <si>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</si>
  <si>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</si>
  <si>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</si>
  <si>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</si>
  <si>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Воскресенск</t>
  </si>
  <si>
    <t>12</t>
  </si>
  <si>
    <t>46710000</t>
  </si>
  <si>
    <t>Добавить МО</t>
  </si>
  <si>
    <t>2</t>
  </si>
  <si>
    <t>×</t>
  </si>
  <si>
    <t>ter_56</t>
  </si>
  <si>
    <t>Клин</t>
  </si>
  <si>
    <t>70</t>
  </si>
  <si>
    <t>46737000</t>
  </si>
  <si>
    <t>ter_57</t>
  </si>
  <si>
    <t>Пушкинский</t>
  </si>
  <si>
    <t>219</t>
  </si>
  <si>
    <t>46758000</t>
  </si>
  <si>
    <t>ter_58</t>
  </si>
  <si>
    <t>Сергиево-Посадский</t>
  </si>
  <si>
    <t>263</t>
  </si>
  <si>
    <t>46728000</t>
  </si>
  <si>
    <t>5</t>
  </si>
  <si>
    <t>ter_59</t>
  </si>
  <si>
    <t>городской округ Серпухов</t>
  </si>
  <si>
    <t>387</t>
  </si>
  <si>
    <t>46770000</t>
  </si>
  <si>
    <t>ter_60</t>
  </si>
  <si>
    <t>Солнечногорск</t>
  </si>
  <si>
    <t>290</t>
  </si>
  <si>
    <t>46771000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</si>
  <si>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</si>
  <si>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</si>
  <si>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</si>
  <si>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</si>
  <si>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</si>
  <si>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</si>
  <si>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</si>
  <si>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</si>
  <si>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</si>
  <si>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</si>
  <si>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</si>
  <si>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</si>
  <si>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</si>
  <si>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</si>
  <si>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</si>
  <si>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</si>
  <si>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</si>
  <si>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</si>
  <si>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</si>
  <si>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</si>
  <si>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</si>
  <si>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</si>
  <si>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</si>
  <si>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</si>
  <si>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</si>
  <si>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</si>
  <si>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</si>
  <si>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</si>
  <si>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</si>
  <si>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</si>
  <si>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</si>
  <si>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</si>
  <si>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</si>
  <si>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</si>
  <si>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</si>
  <si>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</si>
  <si>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</si>
  <si>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</si>
  <si>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</si>
  <si>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</si>
  <si>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</si>
  <si>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</si>
  <si>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</si>
  <si>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</si>
  <si>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</si>
  <si>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</si>
  <si>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</si>
  <si>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</si>
  <si>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</si>
  <si>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</si>
  <si>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</si>
  <si>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</si>
  <si>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</si>
  <si>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</si>
  <si>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</si>
  <si>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</si>
  <si>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</si>
  <si>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</si>
  <si>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</si>
  <si>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</si>
  <si>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</si>
  <si>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</si>
  <si>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</si>
  <si>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</si>
  <si>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</si>
  <si>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</si>
  <si>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</si>
  <si>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</si>
  <si>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</si>
  <si>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</si>
  <si>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</si>
  <si>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</si>
  <si>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</si>
  <si>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</si>
  <si>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</si>
  <si>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</si>
  <si>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</si>
  <si>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</si>
  <si>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</si>
  <si>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</si>
  <si>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</si>
  <si>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</si>
  <si>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</si>
  <si>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</si>
  <si>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</si>
  <si>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</si>
  <si>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</si>
  <si>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</si>
  <si>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</si>
  <si>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</si>
  <si>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</si>
  <si>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</si>
  <si>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</si>
  <si>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</si>
  <si>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</si>
  <si>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</si>
  <si>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</si>
  <si>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</si>
  <si>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</si>
  <si>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</si>
  <si>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</si>
  <si>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</si>
  <si>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</si>
  <si>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</si>
  <si>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</si>
  <si>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</si>
  <si>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</si>
  <si>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</si>
  <si>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</si>
  <si>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</si>
  <si>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</si>
  <si>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</si>
  <si>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</si>
  <si>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</si>
  <si>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</si>
  <si>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</si>
  <si>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</si>
  <si>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</si>
  <si>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</si>
  <si>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</si>
  <si>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</si>
  <si>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</si>
  <si>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</si>
  <si>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</si>
  <si>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</si>
  <si>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</si>
  <si>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</si>
  <si>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</si>
  <si>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</si>
  <si>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</si>
  <si>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</si>
  <si>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</si>
  <si>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</si>
  <si>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</si>
  <si>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</si>
  <si>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</si>
  <si>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</si>
  <si>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</si>
  <si>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</si>
  <si>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</si>
  <si>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</si>
  <si>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</si>
  <si>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в закрытых системах горячего водоснабжения</t>
  </si>
  <si>
    <t>4189706</t>
  </si>
  <si>
    <t>pIns_PT_VTAR_A_HOTVSNA</t>
  </si>
  <si>
    <t>pt_ntar_14</t>
  </si>
  <si>
    <t>pt_ter_14</t>
  </si>
  <si>
    <t>pt_cs_14</t>
  </si>
  <si>
    <t>Добавить централизованную систему для дифференциации</t>
  </si>
  <si>
    <t>г. Клин</t>
  </si>
  <si>
    <t>pt_ter_30</t>
  </si>
  <si>
    <t>pt_cs_30</t>
  </si>
  <si>
    <t>pt_ist_te_30</t>
  </si>
  <si>
    <t>г.Высоковск, д.Масюгино</t>
  </si>
  <si>
    <t>pt_cs_31</t>
  </si>
  <si>
    <t>pt_ist_te_31</t>
  </si>
  <si>
    <t>г.Пушкино (постащик ХВС МУП ЩМП "Межрайонный Щелковский водокнал)</t>
  </si>
  <si>
    <t>pt_ter_31</t>
  </si>
  <si>
    <t>pt_cs_32</t>
  </si>
  <si>
    <t>pt_ist_te_32</t>
  </si>
  <si>
    <t>г.Пушкино (постащик ЦЖКУ Минобороны России)</t>
  </si>
  <si>
    <t>pt_cs_33</t>
  </si>
  <si>
    <t>pt_ist_te_33</t>
  </si>
  <si>
    <t>г.Сергиев Посад</t>
  </si>
  <si>
    <t>pt_ter_32</t>
  </si>
  <si>
    <t>pt_cs_34</t>
  </si>
  <si>
    <t>pt_ist_te_34</t>
  </si>
  <si>
    <t>г.Сергиев Посад (Константиново, Трехселище, Самотовино,Каменки и.др)</t>
  </si>
  <si>
    <t>pt_cs_35</t>
  </si>
  <si>
    <t>pt_ist_te_35</t>
  </si>
  <si>
    <t>г.Сергиев Посад, ЖБИ Скобяное шоссе, д6, 6а</t>
  </si>
  <si>
    <t>pt_cs_36</t>
  </si>
  <si>
    <t>pt_ist_te_36</t>
  </si>
  <si>
    <t>г.Сергиев Посад, Академика Силина, 3</t>
  </si>
  <si>
    <t>pt_cs_37</t>
  </si>
  <si>
    <t>pt_ist_te_37</t>
  </si>
  <si>
    <t>г.Сергиев Посад, Шеметово, Путитно, Сватки, лакокраска и др.</t>
  </si>
  <si>
    <t>pt_cs_38</t>
  </si>
  <si>
    <t>pt_ist_te_38</t>
  </si>
  <si>
    <t>г.Сергиев Посад, мкр.Новый, Красной армии, 212 пос.НИИРП</t>
  </si>
  <si>
    <t>pt_cs_39</t>
  </si>
  <si>
    <t>pt_ist_te_39</t>
  </si>
  <si>
    <t>г.Сергиев Посад, Загорские Дали</t>
  </si>
  <si>
    <t>pt_cs_40</t>
  </si>
  <si>
    <t>pt_ist_te_40</t>
  </si>
  <si>
    <t>г.Сергиев Посад, кот.п.Скобяной пос. ул.Центральная, д.11</t>
  </si>
  <si>
    <t>pt_cs_47</t>
  </si>
  <si>
    <t>pt_ist_te_47</t>
  </si>
  <si>
    <t>pt_ter_33</t>
  </si>
  <si>
    <t>pt_cs_41</t>
  </si>
  <si>
    <t>pt_ist_te_41</t>
  </si>
  <si>
    <t>г.Солнечногорск</t>
  </si>
  <si>
    <t>pt_ter_34</t>
  </si>
  <si>
    <t>pt_cs_42</t>
  </si>
  <si>
    <t>pt_ist_te_42</t>
  </si>
  <si>
    <t>г.Солнечногорск, Ржавки</t>
  </si>
  <si>
    <t>pt_cs_43</t>
  </si>
  <si>
    <t>pt_ist_te_43</t>
  </si>
  <si>
    <t>г.Солнечногорск, ул.Ленина, 7</t>
  </si>
  <si>
    <t>pt_cs_44</t>
  </si>
  <si>
    <t>pt_ist_te_44</t>
  </si>
  <si>
    <t>г.Солнечногорск, д.Жилино, ст.Жилино</t>
  </si>
  <si>
    <t>pt_cs_45</t>
  </si>
  <si>
    <t>pt_ist_te_45</t>
  </si>
  <si>
    <t>г.Солнечнгорск, Алабушево,Андреевка</t>
  </si>
  <si>
    <t>pt_cs_46</t>
  </si>
  <si>
    <t>pt_ist_te_46</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</si>
  <si>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</si>
  <si>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</si>
  <si>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</si>
  <si>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</si>
  <si>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</si>
  <si>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</si>
  <si>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</si>
  <si>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</si>
  <si>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</si>
  <si>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</si>
  <si>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</si>
  <si>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</si>
  <si>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</si>
  <si>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</si>
  <si>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</si>
  <si>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</si>
  <si>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</si>
  <si>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</si>
  <si>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</si>
  <si>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</si>
  <si>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</si>
  <si>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</si>
  <si>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</si>
  <si>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</si>
  <si>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</si>
  <si>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</si>
  <si>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</si>
  <si>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</si>
  <si>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</si>
  <si>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</si>
  <si>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</si>
  <si>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</si>
  <si>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</si>
  <si>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</si>
  <si>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</si>
  <si>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</si>
  <si>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</si>
  <si>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</si>
  <si>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</si>
  <si>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</si>
  <si>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</si>
  <si>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</si>
  <si>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</si>
  <si>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</si>
  <si>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</si>
  <si>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</si>
  <si>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</si>
  <si>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</si>
  <si>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</si>
  <si>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</si>
  <si>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</si>
  <si>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</si>
  <si>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</si>
  <si>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</si>
  <si>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</si>
  <si>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</si>
  <si>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</si>
  <si>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</si>
  <si>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</si>
  <si>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</si>
  <si>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</si>
  <si>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</si>
  <si>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</si>
  <si>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</si>
  <si>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</si>
  <si>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</si>
  <si>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</si>
  <si>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</si>
  <si>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</si>
  <si>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</si>
  <si>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</si>
  <si>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</si>
  <si>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</si>
  <si>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</si>
  <si>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</si>
  <si>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</si>
  <si>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</si>
  <si>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</si>
  <si>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</si>
  <si>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</si>
  <si>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</si>
  <si>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</si>
  <si>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</si>
  <si>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</si>
  <si>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</si>
  <si>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</si>
  <si>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</si>
  <si>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</si>
  <si>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</si>
  <si>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</si>
  <si>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</si>
  <si>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</si>
  <si>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</si>
  <si>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</si>
  <si>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</si>
  <si>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</si>
  <si>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</si>
  <si>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</si>
  <si>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</si>
  <si>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</si>
  <si>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</si>
  <si>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</si>
  <si>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</si>
  <si>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</si>
  <si>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</si>
  <si>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</si>
  <si>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</si>
  <si>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</si>
  <si>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</si>
  <si>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</si>
  <si>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</si>
  <si>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</si>
  <si>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</si>
  <si>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</si>
  <si>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</si>
  <si>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</si>
  <si>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</si>
  <si>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</si>
  <si>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</si>
  <si>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</si>
  <si>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</si>
  <si>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</si>
  <si>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</si>
  <si>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</si>
  <si>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</si>
  <si>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</si>
  <si>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</si>
  <si>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</si>
  <si>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</si>
  <si>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</si>
  <si>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</si>
  <si>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</si>
  <si>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</si>
  <si>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</si>
  <si>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</si>
  <si>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</si>
  <si>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</si>
  <si>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</si>
  <si>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</si>
  <si>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</si>
  <si>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</si>
  <si>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</si>
  <si>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</si>
  <si>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</si>
  <si>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</si>
  <si>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</si>
  <si>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</si>
  <si>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</si>
  <si>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</si>
  <si>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</si>
  <si>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</si>
  <si>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</si>
  <si>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</si>
  <si>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</si>
  <si>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</si>
  <si>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</si>
  <si>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</si>
  <si>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</si>
  <si>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</si>
  <si>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</si>
  <si>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</si>
  <si>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</si>
  <si>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</si>
  <si>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</si>
  <si>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</si>
  <si>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</si>
  <si>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</si>
  <si>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</si>
  <si>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</si>
  <si>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</si>
  <si>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</si>
  <si>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</si>
  <si>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</si>
  <si>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</si>
  <si>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</si>
  <si>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</si>
  <si>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</si>
  <si>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</si>
  <si>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</si>
  <si>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</si>
  <si>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</si>
  <si>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</si>
  <si>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</si>
  <si>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</si>
  <si>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</si>
  <si>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</si>
  <si>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</si>
  <si>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</si>
  <si>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</si>
  <si>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</si>
  <si>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</si>
  <si>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</si>
  <si>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</si>
  <si>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</si>
  <si>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</si>
  <si>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</si>
  <si>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</si>
  <si>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</si>
  <si>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</si>
  <si>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</si>
  <si>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</si>
  <si>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</si>
  <si>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</si>
  <si>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</si>
  <si>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</si>
  <si>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</si>
  <si>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</si>
  <si>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</si>
  <si>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</si>
  <si>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</si>
  <si>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</si>
  <si>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</si>
  <si>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</si>
  <si>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</si>
  <si>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</si>
  <si>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</si>
  <si>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</si>
  <si>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</si>
  <si>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</si>
  <si>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</si>
  <si>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</si>
  <si>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</si>
  <si>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</si>
  <si>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</si>
  <si>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</si>
  <si>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</si>
  <si>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</si>
  <si>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</si>
  <si>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</si>
  <si>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</si>
  <si>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</si>
  <si>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</si>
  <si>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</si>
  <si>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</si>
  <si>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</si>
  <si>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</si>
  <si>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</si>
  <si>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</si>
  <si>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</si>
  <si>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</si>
  <si>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</si>
  <si>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</si>
  <si>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</si>
  <si>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</si>
  <si>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</si>
  <si>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</si>
  <si>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</si>
  <si>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</si>
  <si>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</si>
  <si>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</si>
  <si>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</si>
  <si>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</si>
  <si>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</si>
  <si>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</si>
  <si>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</si>
  <si>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</si>
  <si>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</si>
  <si>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</si>
  <si>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</si>
  <si>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</si>
  <si>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</si>
  <si>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</si>
  <si>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</si>
  <si>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</si>
  <si>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</si>
  <si>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</si>
  <si>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</si>
  <si>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</si>
  <si>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</si>
  <si>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</si>
  <si>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</si>
  <si>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</si>
  <si>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</si>
  <si>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</si>
  <si>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</si>
  <si>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</si>
  <si>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</si>
  <si>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</si>
  <si>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</si>
  <si>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</si>
  <si>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</si>
  <si>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</si>
  <si>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</si>
  <si>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</si>
  <si>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</si>
  <si>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</si>
  <si>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</si>
  <si>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</si>
  <si>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</si>
  <si>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прочие</t>
  </si>
  <si>
    <t>МУП "Белоозерское ЖКХ"</t>
  </si>
  <si>
    <t>население</t>
  </si>
  <si>
    <t>ЗАО "Водоканал"</t>
  </si>
  <si>
    <t>МУП "Межрайонный Щелковский Водоканал"</t>
  </si>
  <si>
    <t>ФГБУ ЦЖКУ "Министерство обороны России"</t>
  </si>
  <si>
    <t>МУП "Водоканал"</t>
  </si>
  <si>
    <t>ФГУП "Санаторий Загорские Дали"</t>
  </si>
  <si>
    <t>ФГУП "ЭМЗ "Звезда"</t>
  </si>
  <si>
    <t>МУП "Водоканал-Сервис"</t>
  </si>
  <si>
    <t>МКП "ИКЖКХ"</t>
  </si>
  <si>
    <t>ООО "Луневобытсервис"</t>
  </si>
  <si>
    <t>АО "НПО "Стеклопластик"</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</si>
  <si>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</si>
  <si>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</si>
  <si>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</si>
  <si>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</si>
  <si>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</si>
  <si>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</si>
  <si>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</si>
  <si>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</si>
  <si>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</si>
  <si>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</si>
  <si>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</si>
  <si>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</si>
  <si>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</si>
  <si>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</si>
  <si>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</si>
  <si>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</si>
  <si>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</si>
  <si>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</si>
  <si>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</si>
  <si>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</si>
  <si>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</si>
  <si>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</si>
  <si>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</si>
  <si>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</si>
  <si>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</si>
  <si>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</si>
  <si>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</si>
  <si>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</si>
  <si>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</si>
  <si>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</si>
  <si>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</si>
  <si>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</si>
  <si>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</si>
  <si>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</si>
  <si>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</si>
  <si>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</si>
  <si>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</si>
  <si>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</si>
  <si>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</si>
  <si>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</si>
  <si>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</si>
  <si>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</si>
  <si>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</si>
  <si>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</si>
  <si>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</si>
  <si>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</si>
  <si>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</si>
  <si>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</si>
  <si>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</si>
  <si>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</si>
  <si>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</si>
  <si>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</si>
  <si>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</si>
  <si>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</si>
  <si>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</si>
  <si>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</si>
  <si>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</si>
  <si>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</si>
  <si>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</si>
  <si>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</si>
  <si>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</si>
  <si>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</si>
  <si>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</si>
  <si>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</si>
  <si>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</si>
  <si>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</si>
  <si>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</si>
  <si>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</si>
  <si>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</si>
  <si>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</si>
  <si>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</si>
  <si>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</si>
  <si>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</si>
  <si>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</si>
  <si>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</si>
  <si>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</si>
  <si>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</si>
  <si>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</si>
  <si>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</si>
  <si>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</si>
  <si>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</si>
  <si>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</si>
  <si>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</si>
  <si>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</si>
  <si>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</si>
  <si>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</si>
  <si>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</si>
  <si>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</si>
  <si>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</si>
  <si>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</si>
  <si>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</si>
  <si>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</si>
  <si>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</si>
  <si>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</si>
  <si>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</si>
  <si>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</si>
  <si>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</si>
  <si>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</si>
  <si>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</si>
  <si>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</si>
  <si>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</si>
  <si>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</si>
  <si>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</si>
  <si>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</si>
  <si>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</si>
  <si>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</si>
  <si>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</si>
  <si>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</si>
  <si>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</si>
  <si>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</si>
  <si>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</si>
  <si>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</si>
  <si>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</si>
  <si>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</si>
  <si>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</si>
  <si>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</si>
  <si>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</si>
  <si>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</si>
  <si>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</si>
  <si>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</si>
  <si>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</si>
  <si>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</si>
  <si>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</si>
  <si>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</si>
  <si>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</si>
  <si>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</si>
  <si>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</si>
  <si>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</si>
  <si>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</si>
  <si>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</si>
  <si>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</si>
  <si>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</si>
  <si>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</si>
  <si>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</si>
  <si>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</si>
  <si>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</si>
  <si>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</si>
  <si>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</si>
  <si>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</si>
  <si>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</si>
  <si>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</si>
  <si>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</si>
  <si>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</si>
  <si>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</si>
  <si>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</si>
  <si>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</si>
  <si>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</si>
  <si>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</si>
  <si>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</si>
  <si>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</si>
  <si>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</si>
  <si>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</si>
  <si>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</si>
  <si>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</si>
  <si>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</si>
  <si>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</si>
  <si>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</si>
  <si>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</si>
  <si>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</si>
  <si>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</si>
  <si>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</si>
  <si>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</si>
  <si>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</si>
  <si>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</si>
  <si>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</si>
  <si>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</si>
  <si>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</si>
  <si>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</si>
  <si>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</si>
  <si>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</si>
  <si>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</si>
  <si>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</si>
  <si>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</si>
  <si>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</si>
  <si>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</si>
  <si>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</si>
  <si>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</si>
  <si>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</si>
  <si>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</si>
  <si>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</si>
  <si>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</si>
  <si>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</si>
  <si>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</si>
  <si>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</si>
  <si>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</si>
  <si>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</si>
  <si>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</si>
  <si>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</si>
  <si>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</si>
  <si>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</si>
  <si>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</si>
  <si>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</si>
  <si>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</si>
  <si>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</si>
  <si>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</si>
  <si>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</si>
  <si>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</si>
  <si>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</si>
  <si>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</si>
  <si>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</si>
  <si>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</si>
  <si>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</si>
  <si>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</si>
  <si>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</si>
  <si>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</si>
  <si>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</si>
  <si>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</si>
  <si>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</si>
  <si>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</si>
  <si>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</si>
  <si>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</si>
  <si>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</si>
  <si>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</si>
  <si>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</si>
  <si>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</si>
  <si>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</si>
  <si>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</si>
  <si>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</si>
  <si>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</si>
  <si>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</si>
  <si>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</si>
  <si>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</si>
  <si>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</si>
  <si>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</si>
  <si>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</si>
  <si>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</si>
  <si>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</si>
  <si>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</si>
  <si>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</si>
  <si>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</si>
  <si>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</si>
  <si>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</si>
  <si>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</si>
  <si>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</si>
  <si>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</si>
  <si>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</si>
  <si>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</si>
  <si>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</si>
  <si>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</si>
  <si>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</si>
  <si>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</si>
  <si>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</si>
  <si>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</si>
  <si>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</si>
  <si>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</si>
  <si>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</si>
  <si>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</si>
  <si>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</si>
  <si>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</si>
  <si>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</si>
  <si>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</si>
  <si>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</si>
  <si>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</si>
  <si>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</si>
  <si>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</si>
  <si>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</si>
  <si>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</si>
  <si>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</si>
  <si>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</si>
  <si>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</si>
  <si>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</si>
  <si>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</si>
  <si>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</si>
  <si>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</si>
  <si>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</si>
  <si>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</si>
  <si>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</si>
  <si>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</si>
  <si>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</si>
  <si>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</si>
  <si>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</si>
  <si>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</si>
  <si>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</si>
  <si>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</si>
  <si>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</si>
  <si>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</si>
  <si>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</si>
  <si>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</si>
  <si>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</si>
  <si>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</si>
  <si>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</si>
  <si>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</si>
  <si>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</si>
  <si>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</si>
  <si>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</si>
  <si>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</si>
  <si>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</si>
  <si>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</si>
  <si>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</si>
  <si>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</si>
  <si>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</si>
  <si>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</si>
  <si>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</si>
  <si>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</si>
  <si>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</si>
  <si>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</si>
  <si>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</si>
  <si>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</si>
  <si>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</si>
  <si>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</si>
  <si>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</si>
  <si>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</si>
  <si>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</si>
  <si>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</si>
  <si>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</si>
  <si>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</si>
  <si>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</si>
  <si>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</si>
  <si>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</si>
  <si>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</si>
  <si>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</si>
  <si>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</si>
  <si>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</si>
  <si>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</si>
  <si>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</si>
  <si>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</si>
  <si>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</si>
  <si>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</si>
  <si>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</si>
  <si>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</si>
  <si>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</si>
  <si>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</si>
  <si>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</si>
  <si>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</si>
  <si>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</si>
  <si>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</si>
  <si>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</si>
  <si>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</si>
  <si>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</si>
  <si>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</si>
  <si>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</si>
  <si>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</si>
  <si>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</si>
  <si>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</si>
  <si>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</si>
  <si>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</si>
  <si>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</si>
  <si>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</si>
  <si>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</si>
  <si>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</si>
  <si>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</si>
  <si>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</si>
  <si>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</si>
  <si>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</si>
  <si>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</si>
  <si>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</si>
  <si>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</si>
  <si>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</si>
  <si>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</si>
  <si>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</si>
  <si>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</si>
  <si>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</si>
  <si>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</si>
  <si>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</si>
  <si>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</si>
  <si>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</si>
  <si>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</si>
  <si>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</si>
  <si>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</si>
  <si>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</si>
  <si>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</si>
  <si>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</si>
  <si>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</si>
  <si>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</si>
  <si>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</si>
  <si>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</si>
  <si>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</si>
  <si>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</si>
  <si>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</si>
  <si>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</si>
  <si>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</si>
  <si>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</si>
  <si>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</si>
  <si>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</si>
  <si>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</si>
  <si>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</si>
  <si>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</si>
  <si>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</si>
  <si>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</si>
  <si>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</si>
  <si>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</si>
  <si>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</si>
  <si>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</si>
  <si>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</si>
  <si>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</si>
  <si>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</si>
  <si>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</si>
  <si>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</si>
  <si>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</si>
  <si>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</si>
  <si>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</si>
  <si>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</si>
  <si>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</si>
  <si>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</si>
  <si>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</si>
  <si>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</si>
  <si>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</si>
  <si>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</si>
  <si>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</si>
  <si>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</si>
  <si>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</si>
  <si>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</si>
  <si>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</si>
  <si>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</si>
  <si>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</si>
  <si>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</si>
  <si>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</si>
  <si>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</si>
  <si>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</si>
  <si>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</si>
  <si>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</si>
  <si>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</si>
  <si>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</si>
  <si>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</si>
  <si>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</si>
  <si>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</si>
  <si>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</si>
  <si>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</si>
  <si>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</si>
  <si>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</si>
  <si>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</si>
  <si>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</si>
  <si>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</si>
  <si>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</si>
  <si>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</si>
  <si>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</si>
  <si>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</si>
  <si>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</si>
  <si>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</si>
  <si>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</si>
  <si>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</si>
  <si>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</si>
  <si>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</si>
  <si>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</si>
  <si>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</si>
  <si>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</si>
  <si>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</si>
  <si>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</si>
  <si>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</si>
  <si>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</si>
  <si>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</si>
  <si>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</si>
  <si>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</si>
  <si>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</si>
  <si>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</si>
  <si>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</si>
  <si>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</si>
  <si>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</si>
  <si>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</si>
  <si>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</si>
  <si>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</si>
  <si>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</si>
  <si>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</si>
  <si>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</si>
  <si>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</si>
  <si>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</si>
  <si>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</si>
  <si>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</si>
  <si>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</si>
  <si>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</si>
  <si>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</si>
  <si>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</si>
  <si>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</si>
  <si>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</si>
  <si>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</si>
  <si>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</si>
  <si>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</si>
  <si>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</si>
  <si>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</si>
  <si>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</si>
  <si>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</si>
  <si>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</si>
  <si>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</si>
  <si>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</si>
  <si>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</si>
  <si>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</si>
  <si>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</si>
  <si>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</si>
  <si>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</si>
  <si>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</si>
  <si>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</si>
  <si>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</si>
  <si>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</si>
  <si>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</si>
  <si>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</si>
  <si>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</si>
  <si>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</si>
  <si>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</si>
  <si>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</si>
  <si>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</si>
  <si>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</si>
  <si>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</si>
  <si>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</si>
  <si>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</si>
  <si>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</si>
  <si>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</si>
  <si>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</si>
  <si>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</si>
  <si>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</si>
  <si>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</si>
  <si>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</si>
  <si>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</si>
  <si>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</si>
  <si>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</si>
  <si>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</si>
  <si>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</si>
  <si>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</si>
  <si>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</si>
  <si>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</si>
  <si>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</si>
  <si>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</si>
  <si>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</si>
  <si>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</si>
  <si>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</si>
  <si>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</si>
  <si>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</si>
  <si>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</si>
  <si>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</si>
  <si>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</si>
  <si>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</si>
  <si>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</si>
  <si>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</si>
  <si>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</si>
  <si>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</si>
  <si>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</si>
  <si>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</si>
  <si>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</si>
  <si>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</si>
  <si>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</si>
  <si>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</si>
  <si>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</si>
  <si>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</si>
  <si>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</si>
  <si>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</si>
  <si>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</si>
  <si>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</si>
  <si>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</si>
  <si>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</si>
  <si>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</si>
  <si>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</si>
  <si>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</si>
  <si>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</si>
  <si>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</si>
  <si>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</si>
  <si>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</si>
  <si>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</si>
  <si>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</si>
  <si>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</si>
  <si>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</si>
  <si>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</si>
  <si>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</si>
  <si>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</si>
  <si>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</si>
  <si>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</si>
  <si>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</si>
  <si>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</si>
  <si>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</si>
  <si>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</si>
  <si>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</si>
  <si>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</si>
  <si>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</si>
  <si>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</si>
  <si>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</si>
  <si>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</si>
  <si>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</si>
  <si>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</si>
  <si>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</si>
  <si>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</si>
  <si>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</si>
  <si>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</si>
  <si>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</si>
  <si>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</si>
  <si>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</si>
  <si>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</si>
  <si>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</si>
  <si>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</si>
  <si>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</si>
  <si>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</si>
  <si>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</si>
  <si>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</si>
  <si>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</si>
  <si>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</si>
  <si>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</si>
  <si>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</si>
  <si>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</si>
  <si>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</si>
  <si>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</si>
  <si>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</si>
  <si>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</si>
  <si>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</si>
  <si>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</si>
  <si>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</si>
  <si>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</si>
  <si>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</si>
  <si>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</si>
  <si>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</si>
  <si>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</si>
  <si>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</si>
  <si>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</si>
  <si>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</si>
  <si>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</si>
  <si>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</si>
  <si>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</si>
  <si>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</si>
  <si>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</si>
  <si>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</si>
  <si>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</si>
  <si>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</si>
  <si>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</si>
  <si>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</si>
  <si>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</si>
  <si>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</si>
  <si>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</si>
  <si>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</si>
  <si>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</si>
  <si>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</si>
  <si>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</si>
  <si>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</si>
  <si>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</si>
  <si>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</si>
  <si>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</si>
  <si>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</si>
  <si>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</si>
  <si>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</si>
  <si>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</si>
  <si>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</si>
  <si>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</si>
  <si>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</si>
  <si>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</si>
  <si>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</si>
  <si>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</si>
  <si>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</si>
  <si>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</si>
  <si>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</si>
  <si>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</si>
  <si>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</si>
  <si>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</si>
  <si>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</si>
  <si>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</si>
  <si>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</si>
  <si>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</si>
  <si>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</si>
  <si>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</si>
  <si>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</si>
  <si>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</si>
  <si>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</si>
  <si>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</si>
  <si>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</si>
  <si>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</si>
  <si>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</si>
  <si>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</si>
  <si>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</si>
  <si>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</si>
  <si>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</si>
  <si>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</si>
  <si>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</si>
  <si>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</si>
  <si>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</si>
  <si>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</si>
  <si>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</si>
  <si>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</si>
  <si>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</si>
  <si>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</si>
  <si>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</si>
  <si>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</si>
  <si>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</si>
  <si>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</si>
  <si>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</si>
  <si>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</si>
  <si>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</si>
  <si>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</si>
  <si>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</si>
  <si>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</si>
  <si>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</si>
  <si>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</si>
  <si>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</si>
  <si>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</si>
  <si>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</si>
  <si>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</si>
  <si>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</si>
  <si>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</si>
  <si>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</si>
  <si>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</si>
  <si>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</si>
  <si>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</si>
  <si>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</si>
  <si>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</si>
  <si>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</si>
  <si>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</si>
  <si>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</si>
  <si>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</si>
  <si>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</si>
  <si>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</si>
  <si>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</si>
  <si>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</si>
  <si>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</si>
  <si>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</si>
  <si>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</si>
  <si>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</si>
  <si>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</si>
  <si>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</si>
  <si>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</si>
  <si>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</si>
  <si>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</si>
  <si>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</si>
  <si>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</si>
  <si>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</si>
  <si>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</si>
  <si>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</si>
  <si>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</si>
  <si>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</si>
  <si>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</si>
  <si>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</si>
  <si>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</si>
  <si>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</si>
  <si>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</si>
  <si>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</si>
  <si>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</si>
  <si>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</si>
  <si>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</si>
  <si>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</si>
  <si>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</si>
  <si>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</si>
  <si>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</si>
  <si>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</si>
  <si>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</si>
  <si>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</si>
  <si>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</si>
  <si>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</si>
  <si>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</si>
  <si>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</si>
  <si>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</si>
  <si>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</si>
  <si>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</si>
  <si>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</si>
  <si>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</si>
  <si>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</si>
  <si>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</si>
  <si>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</si>
  <si>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</si>
  <si>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</si>
  <si>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</si>
  <si>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</si>
  <si>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</si>
  <si>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</si>
  <si>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</si>
  <si>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</si>
  <si>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</si>
  <si>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</si>
  <si>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</si>
  <si>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</si>
  <si>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</si>
  <si>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</si>
  <si>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</si>
  <si>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</si>
  <si>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</si>
  <si>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</si>
  <si>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</si>
  <si>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</si>
  <si>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</si>
  <si>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</si>
  <si>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</si>
  <si>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</si>
  <si>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</si>
  <si>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</si>
  <si>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</si>
  <si>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</si>
  <si>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</si>
  <si>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</si>
  <si>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</si>
  <si>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</si>
  <si>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</si>
  <si>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</si>
  <si>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</si>
  <si>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</si>
  <si>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</si>
  <si>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</si>
  <si>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</si>
  <si>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</si>
  <si>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</si>
  <si>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</si>
  <si>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</si>
  <si>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</si>
  <si>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</si>
  <si>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</si>
  <si>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</si>
  <si>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</si>
  <si>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</si>
  <si>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</si>
  <si>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</si>
  <si>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</si>
  <si>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</si>
  <si>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</si>
  <si>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</si>
  <si>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</si>
  <si>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</si>
  <si>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</si>
  <si>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</si>
  <si>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</si>
  <si>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</si>
  <si>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</si>
  <si>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</si>
  <si>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</si>
  <si>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</si>
  <si>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</si>
  <si>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</si>
  <si>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</si>
  <si>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</si>
  <si>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</si>
  <si>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</si>
  <si>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</si>
  <si>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</si>
  <si>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</si>
  <si>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</si>
  <si>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</si>
  <si>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</si>
  <si>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</si>
  <si>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</si>
  <si>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</si>
  <si>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</si>
  <si>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</si>
  <si>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</si>
  <si>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</si>
  <si>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</si>
  <si>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</si>
  <si>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</si>
  <si>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</si>
  <si>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</si>
  <si>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</si>
  <si>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</si>
  <si>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</si>
  <si>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</si>
  <si>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</si>
  <si>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</si>
  <si>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</si>
  <si>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</si>
  <si>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</si>
  <si>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</si>
  <si>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</si>
  <si>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</si>
  <si>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</si>
  <si>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</si>
  <si>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</si>
  <si>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</si>
  <si>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</si>
  <si>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</si>
  <si>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</si>
  <si>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</si>
  <si>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</si>
  <si>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</si>
  <si>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</si>
  <si>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</si>
  <si>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</si>
  <si>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</si>
  <si>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</si>
  <si>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</si>
  <si>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</si>
  <si>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</si>
  <si>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</si>
  <si>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</si>
  <si>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</si>
  <si>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</si>
  <si>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</si>
  <si>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</si>
  <si>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</si>
  <si>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</si>
  <si>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</si>
  <si>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</si>
  <si>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</si>
  <si>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</si>
  <si>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</si>
  <si>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</si>
  <si>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</si>
  <si>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</si>
  <si>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</si>
  <si>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</si>
  <si>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</si>
  <si>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</si>
  <si>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</si>
  <si>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</si>
  <si>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</si>
  <si>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</si>
  <si>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</si>
  <si>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</si>
  <si>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</si>
  <si>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</si>
  <si>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</si>
  <si>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</si>
  <si>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</si>
  <si>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</si>
  <si>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</si>
  <si>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</si>
  <si>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</si>
  <si>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</si>
  <si>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</si>
  <si>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</si>
  <si>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</si>
  <si>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</si>
  <si>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</si>
  <si>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</si>
  <si>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</si>
  <si>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</si>
  <si>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</si>
  <si>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</si>
  <si>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</si>
  <si>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</si>
  <si>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</si>
  <si>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</si>
  <si>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</si>
  <si>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</si>
  <si>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</si>
  <si>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</si>
  <si>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</si>
  <si>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</si>
  <si>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</si>
  <si>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</si>
  <si>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</si>
  <si>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</si>
  <si>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</si>
  <si>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</si>
  <si>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</si>
  <si>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</si>
  <si>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</si>
  <si>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</si>
  <si>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</si>
  <si>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</si>
  <si>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</si>
  <si>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</si>
  <si>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</si>
  <si>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</si>
  <si>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</si>
  <si>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</si>
  <si>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</si>
  <si>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</si>
  <si>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</si>
  <si>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</si>
  <si>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</si>
  <si>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</si>
  <si>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</si>
  <si>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</si>
  <si>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</si>
  <si>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</si>
  <si>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</si>
  <si>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</si>
  <si>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</si>
  <si>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</si>
  <si>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</si>
  <si>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</si>
  <si>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</si>
  <si>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</si>
  <si>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</si>
  <si>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</si>
  <si>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</si>
  <si>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</si>
  <si>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</si>
  <si>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</si>
  <si>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</si>
  <si>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</si>
  <si>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</si>
  <si>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</si>
  <si>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</si>
  <si>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</si>
  <si>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</si>
  <si>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</si>
  <si>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</si>
  <si>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</si>
  <si>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</si>
  <si>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</si>
  <si>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</si>
  <si>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</si>
  <si>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</si>
  <si>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</si>
  <si>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</si>
  <si>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</si>
  <si>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</si>
  <si>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</si>
  <si>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</si>
  <si>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</si>
  <si>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</si>
  <si>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</si>
  <si>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</si>
  <si>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</si>
  <si>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</si>
  <si>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</si>
  <si>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</si>
  <si>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</si>
  <si>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</si>
  <si>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</si>
  <si>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</si>
  <si>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</si>
  <si>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</si>
  <si>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</si>
  <si>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</si>
  <si>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</si>
  <si>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</si>
  <si>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</si>
  <si>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</si>
  <si>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</si>
  <si>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</si>
  <si>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</si>
  <si>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</si>
  <si>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</si>
  <si>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</si>
  <si>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</si>
  <si>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</si>
  <si>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</si>
  <si>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</si>
  <si>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</si>
  <si>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</si>
  <si>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</si>
  <si>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</si>
  <si>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</si>
  <si>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</si>
  <si>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</si>
  <si>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</si>
  <si>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</si>
  <si>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</si>
  <si>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</si>
  <si>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</si>
  <si>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</si>
  <si>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</si>
  <si>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</si>
  <si>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</si>
  <si>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</si>
  <si>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</si>
  <si>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</si>
  <si>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</si>
  <si>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</si>
  <si>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</si>
  <si>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</si>
  <si>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</si>
  <si>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</si>
  <si>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</si>
  <si>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</si>
  <si>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</si>
  <si>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</si>
  <si>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</si>
  <si>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</si>
  <si>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</si>
  <si>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</si>
  <si>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</si>
  <si>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</si>
  <si>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</si>
  <si>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</si>
  <si>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</si>
  <si>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</si>
  <si>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</si>
  <si>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</si>
  <si>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</si>
  <si>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</si>
  <si>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</si>
  <si>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</si>
  <si>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</si>
  <si>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</si>
  <si>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</si>
  <si>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</si>
  <si>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</si>
  <si>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</si>
  <si>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</si>
  <si>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</si>
  <si>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</si>
  <si>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</si>
  <si>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</si>
  <si>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</si>
  <si>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</si>
  <si>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</si>
  <si>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</si>
  <si>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</si>
  <si>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</si>
  <si>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</si>
  <si>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</si>
  <si>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</si>
  <si>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</si>
  <si>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</si>
  <si>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</si>
  <si>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</si>
  <si>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</si>
  <si>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</si>
  <si>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</si>
  <si>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</si>
  <si>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</si>
  <si>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</si>
  <si>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</si>
  <si>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</si>
  <si>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</si>
  <si>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</si>
  <si>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</si>
  <si>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</si>
  <si>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</si>
  <si>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</si>
  <si>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</si>
  <si>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</si>
  <si>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</si>
  <si>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</si>
  <si>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</si>
  <si>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</si>
  <si>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</si>
  <si>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</si>
  <si>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</si>
  <si>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</si>
  <si>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</si>
  <si>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</si>
  <si>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</si>
  <si>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</si>
  <si>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</si>
  <si>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</si>
  <si>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</si>
  <si>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</si>
  <si>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</si>
  <si>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</si>
  <si>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</si>
  <si>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</si>
  <si>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</si>
  <si>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</si>
  <si>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</si>
  <si>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</si>
  <si>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</si>
  <si>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</si>
  <si>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</si>
  <si>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</si>
  <si>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</si>
  <si>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</si>
  <si>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</si>
  <si>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</si>
  <si>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</si>
  <si>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</si>
  <si>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</si>
  <si>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</si>
  <si>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</si>
  <si>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</si>
  <si>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</si>
  <si>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</si>
  <si>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</si>
  <si>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</si>
  <si>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</si>
  <si>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</si>
  <si>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</si>
  <si>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</si>
  <si>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</si>
  <si>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</si>
  <si>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</si>
  <si>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</si>
  <si>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</si>
  <si>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</si>
  <si>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</si>
  <si>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</si>
  <si>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</si>
  <si>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</si>
  <si>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</si>
  <si>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</si>
  <si>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</si>
  <si>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</si>
  <si>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</si>
  <si>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</si>
  <si>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</si>
  <si>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</si>
  <si>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</si>
  <si>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</si>
  <si>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</si>
  <si>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</si>
  <si>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</si>
  <si>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</si>
  <si>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</si>
  <si>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</si>
  <si>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</si>
  <si>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</si>
  <si>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</si>
  <si>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</si>
  <si>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</si>
  <si>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</si>
  <si>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</si>
  <si>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</si>
  <si>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</si>
  <si>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</si>
  <si>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</si>
  <si>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</si>
  <si>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</si>
  <si>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</si>
  <si>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</si>
  <si>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</si>
  <si>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</si>
  <si>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</si>
  <si>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</si>
  <si>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</si>
  <si>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</si>
  <si>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</si>
  <si>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</si>
  <si>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</si>
  <si>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</si>
  <si>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</si>
  <si>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</si>
  <si>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</si>
  <si>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</si>
  <si>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</si>
  <si>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</si>
  <si>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</si>
  <si>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</si>
  <si>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</si>
  <si>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</si>
  <si>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</si>
  <si>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</si>
  <si>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</si>
  <si>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</si>
  <si>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</si>
  <si>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</si>
  <si>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</si>
  <si>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</si>
  <si>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</si>
  <si>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</si>
  <si>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</si>
  <si>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</si>
  <si>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</si>
  <si>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</si>
  <si>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</si>
  <si>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</si>
  <si>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</si>
  <si>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</si>
  <si>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</si>
  <si>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</si>
  <si>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</si>
  <si>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</si>
  <si>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</si>
  <si>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</si>
  <si>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</si>
  <si>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</si>
  <si>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</si>
  <si>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</si>
  <si>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</si>
  <si>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</si>
  <si>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</si>
  <si>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</si>
  <si>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</si>
  <si>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</si>
  <si>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</si>
  <si>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</si>
  <si>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</si>
  <si>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</si>
  <si>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</si>
  <si>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</si>
  <si>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</si>
  <si>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</si>
  <si>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</si>
  <si>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</si>
  <si>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</si>
  <si>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</si>
  <si>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</si>
  <si>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</si>
  <si>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</si>
  <si>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</si>
  <si>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</si>
  <si>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</si>
  <si>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</si>
  <si>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</si>
  <si>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</si>
  <si>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</si>
  <si>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</si>
  <si>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</si>
  <si>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</si>
  <si>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</si>
  <si>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</si>
  <si>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</si>
  <si>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</si>
  <si>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</si>
  <si>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</si>
  <si>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</si>
  <si>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</si>
  <si>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</si>
  <si>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</si>
  <si>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</si>
  <si>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</si>
  <si>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</si>
  <si>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</si>
  <si>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</si>
  <si>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</si>
  <si>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</si>
  <si>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</si>
  <si>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</si>
  <si>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</si>
  <si>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</si>
  <si>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</si>
  <si>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</si>
  <si>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</si>
  <si>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</si>
  <si>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</si>
  <si>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</si>
  <si>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</si>
  <si>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</si>
  <si>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</si>
  <si>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</si>
  <si>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</si>
  <si>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</si>
  <si>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</si>
  <si>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</si>
  <si>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</si>
  <si>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</si>
  <si>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</si>
  <si>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</si>
  <si>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</si>
  <si>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</si>
  <si>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</si>
  <si>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</si>
  <si>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</si>
  <si>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</si>
  <si>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</si>
  <si>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</si>
  <si>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</si>
  <si>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</si>
  <si>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</si>
  <si>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</si>
  <si>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</si>
  <si>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</si>
  <si>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</si>
  <si>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</si>
  <si>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</si>
  <si>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</si>
  <si>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</si>
  <si>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</si>
  <si>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</si>
  <si>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</si>
  <si>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</si>
  <si>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</si>
  <si>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</si>
  <si>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</si>
  <si>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</si>
  <si>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</si>
  <si>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</si>
  <si>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</si>
  <si>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</si>
  <si>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</si>
  <si>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</si>
  <si>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</si>
  <si>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</si>
  <si>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</si>
  <si>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</si>
  <si>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</si>
  <si>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</si>
  <si>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</si>
  <si>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</si>
  <si>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</si>
  <si>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</si>
  <si>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</si>
  <si>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</si>
  <si>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</si>
  <si>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</si>
  <si>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</si>
  <si>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</si>
  <si>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</si>
  <si>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</si>
  <si>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</si>
  <si>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</si>
  <si>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</si>
  <si>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</si>
  <si>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</si>
  <si>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</si>
  <si>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</si>
  <si>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</si>
  <si>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</si>
  <si>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</si>
  <si>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</si>
  <si>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</si>
  <si>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</si>
  <si>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</si>
  <si>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</si>
  <si>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</si>
  <si>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</si>
  <si>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</si>
  <si>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</si>
  <si>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</si>
  <si>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</si>
  <si>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</si>
  <si>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</si>
  <si>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</si>
  <si>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</si>
  <si>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</si>
  <si>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</si>
  <si>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</si>
  <si>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</si>
  <si>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</si>
  <si>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</si>
  <si>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</si>
  <si>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</si>
  <si>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</si>
  <si>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</si>
  <si>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</si>
  <si>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</si>
  <si>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</si>
  <si>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</si>
  <si>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</si>
  <si>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</si>
  <si>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</si>
  <si>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</si>
  <si>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</si>
  <si>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</si>
  <si>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</si>
  <si>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</si>
  <si>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</si>
  <si>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</si>
  <si>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</si>
  <si>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</si>
  <si>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</si>
  <si>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</si>
  <si>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</si>
  <si>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</si>
  <si>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</si>
  <si>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</si>
  <si>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</si>
  <si>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</si>
  <si>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</si>
  <si>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</si>
  <si>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</si>
  <si>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</si>
  <si>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</si>
  <si>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</si>
  <si>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</si>
  <si>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</si>
  <si>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</si>
  <si>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</si>
  <si>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</si>
  <si>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</si>
  <si>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</si>
  <si>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</si>
  <si>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</si>
  <si>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</si>
  <si>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</si>
  <si>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</si>
  <si>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</si>
  <si>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</si>
  <si>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</si>
  <si>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</si>
  <si>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</si>
  <si>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</si>
  <si>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</si>
  <si>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</si>
  <si>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</si>
  <si>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</si>
  <si>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</si>
  <si>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</si>
  <si>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</si>
  <si>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</si>
  <si>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</si>
  <si>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</si>
  <si>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</si>
  <si>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</si>
  <si>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</si>
  <si>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</si>
  <si>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</si>
  <si>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</si>
  <si>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</si>
  <si>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</si>
  <si>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</si>
  <si>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</si>
  <si>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</si>
  <si>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</si>
  <si>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</si>
  <si>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</si>
  <si>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</si>
  <si>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</si>
  <si>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</si>
  <si>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</si>
  <si>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</si>
  <si>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</si>
  <si>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</si>
  <si>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</si>
  <si>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</si>
  <si>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</si>
  <si>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</si>
  <si>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</si>
  <si>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</si>
  <si>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</si>
  <si>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</si>
  <si>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</si>
  <si>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</si>
  <si>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</si>
  <si>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</si>
  <si>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</si>
  <si>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</si>
  <si>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</si>
  <si>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</si>
  <si>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</si>
  <si>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</si>
  <si>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</si>
  <si>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</si>
  <si>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</si>
  <si>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</si>
  <si>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</si>
  <si>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</si>
  <si>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</si>
  <si>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</si>
  <si>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</si>
  <si>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</si>
  <si>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</si>
  <si>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</si>
  <si>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</si>
  <si>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</si>
  <si>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</si>
  <si>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</si>
  <si>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</si>
  <si>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</si>
  <si>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</si>
  <si>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</si>
  <si>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</si>
  <si>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</si>
  <si>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</si>
  <si>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</si>
  <si>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</si>
  <si>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</si>
  <si>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</si>
  <si>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</si>
  <si>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</si>
  <si>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</si>
  <si>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</si>
  <si>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</si>
  <si>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</si>
  <si>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</si>
  <si>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</si>
  <si>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</si>
  <si>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</si>
  <si>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</si>
  <si>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</si>
  <si>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</si>
  <si>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</si>
  <si>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</si>
  <si>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</si>
  <si>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</si>
  <si>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</si>
  <si>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</si>
  <si>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</si>
  <si>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</si>
  <si>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</si>
  <si>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</si>
  <si>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</si>
  <si>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</si>
  <si>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</si>
  <si>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</si>
  <si>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</si>
  <si>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</si>
  <si>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</si>
  <si>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</si>
  <si>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</si>
  <si>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</si>
  <si>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</si>
  <si>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</si>
  <si>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</si>
  <si>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</si>
  <si>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</si>
  <si>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</si>
  <si>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</si>
  <si>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</si>
  <si>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</si>
  <si>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</si>
  <si>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</si>
  <si>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</si>
  <si>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</si>
  <si>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</si>
  <si>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</si>
  <si>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</si>
  <si>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</si>
  <si>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</si>
  <si>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</si>
  <si>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</si>
  <si>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</si>
  <si>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</si>
  <si>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</si>
  <si>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</si>
  <si>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</si>
  <si>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</si>
  <si>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</si>
  <si>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</si>
  <si>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</si>
  <si>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</si>
  <si>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</si>
  <si>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</si>
  <si>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</si>
  <si>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</si>
  <si>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</si>
  <si>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</si>
  <si>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</si>
  <si>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</si>
  <si>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</si>
  <si>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</si>
  <si>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</si>
  <si>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</si>
  <si>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</si>
  <si>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</si>
  <si>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</si>
  <si>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</si>
  <si>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</si>
  <si>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</si>
  <si>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</si>
  <si>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</si>
  <si>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</si>
  <si>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</si>
  <si>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</si>
  <si>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</si>
  <si>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</si>
  <si>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</si>
  <si>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</si>
  <si>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</si>
  <si>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</si>
  <si>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</si>
  <si>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</si>
  <si>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</si>
  <si>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</si>
  <si>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</si>
  <si>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</si>
  <si>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</si>
  <si>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</si>
  <si>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</si>
  <si>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</si>
  <si>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</si>
  <si>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</si>
  <si>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</si>
  <si>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</si>
  <si>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</si>
  <si>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</si>
  <si>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</si>
  <si>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</si>
  <si>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</si>
  <si>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</si>
  <si>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</si>
  <si>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</si>
  <si>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</si>
  <si>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</si>
  <si>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</si>
  <si>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</si>
  <si>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</si>
  <si>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</si>
  <si>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26513482</t>
  </si>
  <si>
    <t>192 КЭЧ района</t>
  </si>
  <si>
    <t>5003019471</t>
  </si>
  <si>
    <t>500301001</t>
  </si>
  <si>
    <t>31-12-2017 00:00:00</t>
  </si>
  <si>
    <t>26361023</t>
  </si>
  <si>
    <t>255 УНР филиал ФГУП "Ремонтно-эксплуатационное управление МО РФ"</t>
  </si>
  <si>
    <t>7714318063</t>
  </si>
  <si>
    <t>503202001</t>
  </si>
  <si>
    <t>26357532</t>
  </si>
  <si>
    <t>«а/к 1784» Филиал ГУП МО «Мострансавто» г. Дмитров</t>
  </si>
  <si>
    <t>5000000017</t>
  </si>
  <si>
    <t>500702001</t>
  </si>
  <si>
    <t>30-06-2019 00:00:00</t>
  </si>
  <si>
    <t>31335815</t>
  </si>
  <si>
    <t>А/К  1791</t>
  </si>
  <si>
    <t>5047227020</t>
  </si>
  <si>
    <t>504243001</t>
  </si>
  <si>
    <t>01-06-2019 00:00:00</t>
  </si>
  <si>
    <t>26357536</t>
  </si>
  <si>
    <t>А/К1791</t>
  </si>
  <si>
    <t>504202001</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</si>
  <si>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</si>
  <si>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</si>
  <si>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</si>
  <si>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</si>
  <si>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</si>
  <si>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</si>
  <si>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</si>
  <si>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</si>
  <si>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</si>
  <si>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</si>
  <si>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</si>
  <si>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</si>
  <si>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</si>
  <si>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</si>
  <si>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</si>
  <si>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</si>
  <si>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</si>
  <si>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</si>
  <si>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</si>
  <si>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</si>
  <si>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</si>
  <si>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</si>
  <si>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</si>
  <si>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</si>
  <si>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</si>
  <si>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</si>
  <si>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</si>
  <si>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</si>
  <si>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</si>
  <si>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26511968</t>
  </si>
  <si>
    <t>АО "99 Завод Авиационного технологического оборудования"</t>
  </si>
  <si>
    <t>5051001072</t>
  </si>
  <si>
    <t>505101001</t>
  </si>
  <si>
    <t>31-12-2020 00:00:00</t>
  </si>
  <si>
    <t>26357816</t>
  </si>
  <si>
    <t>АО "Агрокомплекс Горки-2"</t>
  </si>
  <si>
    <t>5032000193</t>
  </si>
  <si>
    <t>26357606</t>
  </si>
  <si>
    <t>АО "Агромехсервис"</t>
  </si>
  <si>
    <t>5007006667</t>
  </si>
  <si>
    <t>29-01-1993 00:00:00</t>
  </si>
  <si>
    <t>26358038</t>
  </si>
  <si>
    <t>АО "БШФ"</t>
  </si>
  <si>
    <t>5072701131</t>
  </si>
  <si>
    <t>507201001</t>
  </si>
  <si>
    <t>18-12-1992 00:00:00</t>
  </si>
  <si>
    <t>31-05-2020 00:00:00</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</si>
  <si>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</si>
  <si>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</si>
  <si>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</si>
  <si>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</si>
  <si>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</si>
  <si>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</si>
  <si>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</si>
  <si>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</si>
  <si>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</si>
  <si>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</si>
  <si>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</si>
  <si>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</si>
  <si>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</si>
  <si>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</si>
  <si>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</si>
  <si>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</si>
  <si>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</si>
  <si>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</si>
  <si>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</si>
  <si>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</si>
  <si>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</si>
  <si>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</si>
  <si>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</si>
  <si>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</si>
  <si>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</si>
  <si>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</si>
  <si>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</si>
  <si>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</si>
  <si>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</si>
  <si>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</si>
  <si>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</si>
  <si>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</si>
  <si>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</si>
  <si>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27581214</t>
  </si>
  <si>
    <t>АО "Вектор плюс"</t>
  </si>
  <si>
    <t>5024099693</t>
  </si>
  <si>
    <t>15-10-2008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</si>
  <si>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</si>
  <si>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</si>
  <si>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</si>
  <si>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</si>
  <si>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</si>
  <si>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</si>
  <si>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</si>
  <si>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</si>
  <si>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</si>
  <si>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</si>
  <si>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</si>
  <si>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</si>
  <si>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26777929</t>
  </si>
  <si>
    <t>АО "Воскресенские минеральные удобрения"</t>
  </si>
  <si>
    <t>5005000148</t>
  </si>
  <si>
    <t>05-02-1993 00:00:00</t>
  </si>
  <si>
    <t>01-03-2023 00:00:00</t>
  </si>
  <si>
    <t>26357605</t>
  </si>
  <si>
    <t>АО "ГАММА"</t>
  </si>
  <si>
    <t>5007006378</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</si>
  <si>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</si>
  <si>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</si>
  <si>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</si>
  <si>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</si>
  <si>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</si>
  <si>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</si>
  <si>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</si>
  <si>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</si>
  <si>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</si>
  <si>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</si>
  <si>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</si>
  <si>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</si>
  <si>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</si>
  <si>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</si>
  <si>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</si>
  <si>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</si>
  <si>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</si>
  <si>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</si>
  <si>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</si>
  <si>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</si>
  <si>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</si>
  <si>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</si>
  <si>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</si>
  <si>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</si>
  <si>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</si>
  <si>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</si>
  <si>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</si>
  <si>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</si>
  <si>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</si>
  <si>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</si>
  <si>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</si>
  <si>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</si>
  <si>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</si>
  <si>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</si>
  <si>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</si>
  <si>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</si>
  <si>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26357635</t>
  </si>
  <si>
    <t>АО "ЕзАТИ"</t>
  </si>
  <si>
    <t>5011000900</t>
  </si>
  <si>
    <t>501101001</t>
  </si>
  <si>
    <t>05-08-2021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</si>
  <si>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</si>
  <si>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</si>
  <si>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</si>
  <si>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</si>
  <si>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</si>
  <si>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</si>
  <si>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</si>
  <si>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</si>
  <si>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</si>
  <si>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</si>
  <si>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</si>
  <si>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</si>
  <si>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</si>
  <si>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</si>
  <si>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</si>
  <si>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</si>
  <si>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</si>
  <si>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</si>
  <si>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</si>
  <si>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</si>
  <si>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</si>
  <si>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</si>
  <si>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</si>
  <si>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</si>
  <si>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</si>
  <si>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</si>
  <si>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</si>
  <si>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</si>
  <si>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</si>
  <si>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</si>
  <si>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</si>
  <si>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</si>
  <si>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</si>
  <si>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</si>
  <si>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</si>
  <si>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</si>
  <si>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</si>
  <si>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</si>
  <si>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</si>
  <si>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</si>
  <si>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</si>
  <si>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</si>
  <si>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</si>
  <si>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</si>
  <si>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26357757</t>
  </si>
  <si>
    <t>АО "Комбинат ЖКХ и благоустройства поселка Красково"</t>
  </si>
  <si>
    <t>5027248223</t>
  </si>
  <si>
    <t>502701001</t>
  </si>
  <si>
    <t>28-12-2016 00:00:00</t>
  </si>
  <si>
    <t>20-12-2020 00:00:00</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</si>
  <si>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</si>
  <si>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</si>
  <si>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</si>
  <si>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</si>
  <si>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</si>
  <si>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</si>
  <si>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</si>
  <si>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</si>
  <si>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</si>
  <si>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</si>
  <si>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</si>
  <si>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</si>
  <si>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</si>
  <si>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</si>
  <si>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</si>
  <si>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</si>
  <si>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</si>
  <si>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</si>
  <si>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</si>
  <si>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</si>
  <si>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26773576</t>
  </si>
  <si>
    <t>АО "Легион"</t>
  </si>
  <si>
    <t>5042090319</t>
  </si>
  <si>
    <t>26514150</t>
  </si>
  <si>
    <t>АО "Люберецкая теплосеть"</t>
  </si>
  <si>
    <t>5027130221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</si>
  <si>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</si>
  <si>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</si>
  <si>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</si>
  <si>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</si>
  <si>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</si>
  <si>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</si>
  <si>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</si>
  <si>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</si>
  <si>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</si>
  <si>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</si>
  <si>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</si>
  <si>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</si>
  <si>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</si>
  <si>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</si>
  <si>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</si>
  <si>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</si>
  <si>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</si>
  <si>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</si>
  <si>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</si>
  <si>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</si>
  <si>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</si>
  <si>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</si>
  <si>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</si>
  <si>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</si>
  <si>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</si>
  <si>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</si>
  <si>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</si>
  <si>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</si>
  <si>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</si>
  <si>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</si>
  <si>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</si>
  <si>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</si>
  <si>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</si>
  <si>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</si>
  <si>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</si>
  <si>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</si>
  <si>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</si>
  <si>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</si>
  <si>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</si>
  <si>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</si>
  <si>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</si>
  <si>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</si>
  <si>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</si>
  <si>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</si>
  <si>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</si>
  <si>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</si>
  <si>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</si>
  <si>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</si>
  <si>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</si>
  <si>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</si>
  <si>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</si>
  <si>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</si>
  <si>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</si>
  <si>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</si>
  <si>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</si>
  <si>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</si>
  <si>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</si>
  <si>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</si>
  <si>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</si>
  <si>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</si>
  <si>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</si>
  <si>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</si>
  <si>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</si>
  <si>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</si>
  <si>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</si>
  <si>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</si>
  <si>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</si>
  <si>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</si>
  <si>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</si>
  <si>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</si>
  <si>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</si>
  <si>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</si>
  <si>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</si>
  <si>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</si>
  <si>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</si>
  <si>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</si>
  <si>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</si>
  <si>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</si>
  <si>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</si>
  <si>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</si>
  <si>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</si>
  <si>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</si>
  <si>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</si>
  <si>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</si>
  <si>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</si>
  <si>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</si>
  <si>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</si>
  <si>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</si>
  <si>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</si>
  <si>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</si>
  <si>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</si>
  <si>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</si>
  <si>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</si>
  <si>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</si>
  <si>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</si>
  <si>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</si>
  <si>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</si>
  <si>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</si>
  <si>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</si>
  <si>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</si>
  <si>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</si>
  <si>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</si>
  <si>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</si>
  <si>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</si>
  <si>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</si>
  <si>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</si>
  <si>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</si>
  <si>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</si>
  <si>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</si>
  <si>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</si>
  <si>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</si>
  <si>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</si>
  <si>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</si>
  <si>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</si>
  <si>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</si>
  <si>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</si>
  <si>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</si>
  <si>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</si>
  <si>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</si>
  <si>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</si>
  <si>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</si>
  <si>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</si>
  <si>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</si>
  <si>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</si>
  <si>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</si>
  <si>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</si>
  <si>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</si>
  <si>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</si>
  <si>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</si>
  <si>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</si>
  <si>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</si>
  <si>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</si>
  <si>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</si>
  <si>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</si>
  <si>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</si>
  <si>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</si>
  <si>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</si>
  <si>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</si>
  <si>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</si>
  <si>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</si>
  <si>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</si>
  <si>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</si>
  <si>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</si>
  <si>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</si>
  <si>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</si>
  <si>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</si>
  <si>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</si>
  <si>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</si>
  <si>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</si>
  <si>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</si>
  <si>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</si>
  <si>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</si>
  <si>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</si>
  <si>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</si>
  <si>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</si>
  <si>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</si>
  <si>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</si>
  <si>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</si>
  <si>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</si>
  <si>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</si>
  <si>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</si>
  <si>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</si>
  <si>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</si>
  <si>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</si>
  <si>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</si>
  <si>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</si>
  <si>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</si>
  <si>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</si>
  <si>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</si>
  <si>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</si>
  <si>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</si>
  <si>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</si>
  <si>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</si>
  <si>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</si>
  <si>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</si>
  <si>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</si>
  <si>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</si>
  <si>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</si>
  <si>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</si>
  <si>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</si>
  <si>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</si>
  <si>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</si>
  <si>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</si>
  <si>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</si>
  <si>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</si>
  <si>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</si>
  <si>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</si>
  <si>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</si>
  <si>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</si>
  <si>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</si>
  <si>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</si>
  <si>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</si>
  <si>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</si>
  <si>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</si>
  <si>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</si>
  <si>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</si>
  <si>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</si>
  <si>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</si>
  <si>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</si>
  <si>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</si>
  <si>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</si>
  <si>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</si>
  <si>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</si>
  <si>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</si>
  <si>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</si>
  <si>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</si>
  <si>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</si>
  <si>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</si>
  <si>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26588413</t>
  </si>
  <si>
    <t>АО "Тепло РКК "Энергия"</t>
  </si>
  <si>
    <t>5018138369</t>
  </si>
  <si>
    <t>18-06-2009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</si>
  <si>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</si>
  <si>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</si>
  <si>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</si>
  <si>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</si>
  <si>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</si>
  <si>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</si>
  <si>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</si>
  <si>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</si>
  <si>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</si>
  <si>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</si>
  <si>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</si>
  <si>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</si>
  <si>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</si>
  <si>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</si>
  <si>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</si>
  <si>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</si>
  <si>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</si>
  <si>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</si>
  <si>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</si>
  <si>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</si>
  <si>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</si>
  <si>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</si>
  <si>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</si>
  <si>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</si>
  <si>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</si>
  <si>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</si>
  <si>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</si>
  <si>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</si>
  <si>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</si>
  <si>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</si>
  <si>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</si>
  <si>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</si>
  <si>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</si>
  <si>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</si>
  <si>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</si>
  <si>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</si>
  <si>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</si>
  <si>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</si>
  <si>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26504914</t>
  </si>
  <si>
    <t>АО "ЭМЗ им. В.М. Мясищева"</t>
  </si>
  <si>
    <t>5040097816</t>
  </si>
  <si>
    <t>05-03-2010 00:00:00</t>
  </si>
  <si>
    <t>01-11-2021 00:00:00</t>
  </si>
  <si>
    <t>26357631</t>
  </si>
  <si>
    <t>АО "ЭНЕРГОТЕН"</t>
  </si>
  <si>
    <t>5010003793</t>
  </si>
  <si>
    <t>26322043</t>
  </si>
  <si>
    <t>АО "Энергосервис"</t>
  </si>
  <si>
    <t>7709571825</t>
  </si>
  <si>
    <t>770301001</t>
  </si>
  <si>
    <t>31540261</t>
  </si>
  <si>
    <t>АО «ЖИЛЭНЕРГО»</t>
  </si>
  <si>
    <t>5047248800</t>
  </si>
  <si>
    <t>05-03-2021 00:00:00</t>
  </si>
  <si>
    <t>26548385</t>
  </si>
  <si>
    <t>АО «ЖКС п.Запрудня»</t>
  </si>
  <si>
    <t>5078015146</t>
  </si>
  <si>
    <t>507801001</t>
  </si>
  <si>
    <t>31-12-2019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</si>
  <si>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</si>
  <si>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</si>
  <si>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</si>
  <si>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</si>
  <si>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</si>
  <si>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</si>
  <si>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</si>
  <si>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</si>
  <si>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</si>
  <si>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</si>
  <si>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</si>
  <si>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</si>
  <si>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</si>
  <si>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</si>
  <si>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</si>
  <si>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</si>
  <si>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</si>
  <si>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</si>
  <si>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</si>
  <si>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</si>
  <si>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</si>
  <si>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</si>
  <si>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</si>
  <si>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</si>
  <si>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</si>
  <si>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</si>
  <si>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</si>
  <si>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</si>
  <si>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</si>
  <si>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</si>
  <si>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</si>
  <si>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</si>
  <si>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</si>
  <si>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</si>
  <si>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</si>
  <si>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</si>
  <si>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</si>
  <si>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</si>
  <si>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26357687</t>
  </si>
  <si>
    <t>Администрация г.п.Снегири</t>
  </si>
  <si>
    <t>5017070855</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</si>
  <si>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</si>
  <si>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</si>
  <si>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</si>
  <si>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</si>
  <si>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</si>
  <si>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</si>
  <si>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</si>
  <si>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</si>
  <si>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</si>
  <si>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</si>
  <si>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</si>
  <si>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</si>
  <si>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</si>
  <si>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</si>
  <si>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26358031</t>
  </si>
  <si>
    <t>Болшевская КЭЧ</t>
  </si>
  <si>
    <t>5054003744</t>
  </si>
  <si>
    <t>505401001</t>
  </si>
  <si>
    <t>26357553</t>
  </si>
  <si>
    <t>Бронницкое УГХ</t>
  </si>
  <si>
    <t>5002000100</t>
  </si>
  <si>
    <t>26357585</t>
  </si>
  <si>
    <t>ВВ МВД России "Федосьино"</t>
  </si>
  <si>
    <t>5004015568</t>
  </si>
  <si>
    <t>26357818</t>
  </si>
  <si>
    <t>ВНИИССОК</t>
  </si>
  <si>
    <t>5032001327</t>
  </si>
  <si>
    <t>28876431</t>
  </si>
  <si>
    <t>ВТУ</t>
  </si>
  <si>
    <t>5001010498</t>
  </si>
  <si>
    <t>26357562</t>
  </si>
  <si>
    <t>Ватутинская КЭЧ</t>
  </si>
  <si>
    <t>5003005824</t>
  </si>
  <si>
    <t>500302001</t>
  </si>
  <si>
    <t>31-12-2016 00:00:00</t>
  </si>
  <si>
    <t>26548095</t>
  </si>
  <si>
    <t>5003009459</t>
  </si>
  <si>
    <t>26358068</t>
  </si>
  <si>
    <t>Войсковая часть 03340</t>
  </si>
  <si>
    <t>5077000884</t>
  </si>
  <si>
    <t>26799880</t>
  </si>
  <si>
    <t>Войсковая часть 12470</t>
  </si>
  <si>
    <t>5032027484</t>
  </si>
  <si>
    <t>26358005</t>
  </si>
  <si>
    <t>Войсковая часть 12672</t>
  </si>
  <si>
    <t>5050009625</t>
  </si>
  <si>
    <t>26361072</t>
  </si>
  <si>
    <t>Войсковая часть 1473</t>
  </si>
  <si>
    <t>7729114457</t>
  </si>
  <si>
    <t>772901001</t>
  </si>
  <si>
    <t>26357545</t>
  </si>
  <si>
    <t>Войсковая часть 3492</t>
  </si>
  <si>
    <t>5001018070</t>
  </si>
  <si>
    <t>23-01-1996 00:00:00</t>
  </si>
  <si>
    <t>26649290</t>
  </si>
  <si>
    <t>Войсковая часть 3641</t>
  </si>
  <si>
    <t>5038019183</t>
  </si>
  <si>
    <t>02-11-2016 00:00:00</t>
  </si>
  <si>
    <t>26357834</t>
  </si>
  <si>
    <t>Войсковая часть 67978</t>
  </si>
  <si>
    <t>5032027822</t>
  </si>
  <si>
    <t>26358067</t>
  </si>
  <si>
    <t>Войсковая часть 77865</t>
  </si>
  <si>
    <t>5077000877</t>
  </si>
  <si>
    <t>26360927</t>
  </si>
  <si>
    <t>Войсковая часть 96000</t>
  </si>
  <si>
    <t>5001018507</t>
  </si>
  <si>
    <t>26548201</t>
  </si>
  <si>
    <t>Войсковая часть № 03523</t>
  </si>
  <si>
    <t>5038003666</t>
  </si>
  <si>
    <t>26357833</t>
  </si>
  <si>
    <t>Войсковая часть №52361 (202 КЭЧ)</t>
  </si>
  <si>
    <t>5032027798</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</si>
  <si>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</si>
  <si>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</si>
  <si>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</si>
  <si>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</si>
  <si>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</si>
  <si>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</si>
  <si>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</si>
  <si>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</si>
  <si>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</si>
  <si>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</si>
  <si>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</si>
  <si>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</si>
  <si>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</si>
  <si>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</si>
  <si>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</si>
  <si>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</si>
  <si>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</si>
  <si>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31257791</t>
  </si>
  <si>
    <t>ГАУЗМО КЦВМиР</t>
  </si>
  <si>
    <t>7712022913</t>
  </si>
  <si>
    <t>774301001</t>
  </si>
  <si>
    <t>14-05-2018 00:00:00</t>
  </si>
  <si>
    <t>05-10-2021 00:00:00</t>
  </si>
  <si>
    <t>31618344</t>
  </si>
  <si>
    <t>ГАУСО МО "КЦСОиР "Егорьевский"</t>
  </si>
  <si>
    <t>5011023295</t>
  </si>
  <si>
    <t>31-03-2004 00:00:00</t>
  </si>
  <si>
    <t>26513742</t>
  </si>
  <si>
    <t>ГБОУ НПО ПЛ № 96 МО</t>
  </si>
  <si>
    <t>5011004856</t>
  </si>
  <si>
    <t>01-12-2016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</si>
  <si>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</si>
  <si>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</si>
  <si>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</si>
  <si>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</si>
  <si>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</si>
  <si>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</si>
  <si>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</si>
  <si>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</si>
  <si>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</si>
  <si>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</si>
  <si>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</si>
  <si>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</si>
  <si>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26357998</t>
  </si>
  <si>
    <t>ГБПОУ МО "ШЭТ"</t>
  </si>
  <si>
    <t>5049005915</t>
  </si>
  <si>
    <t>11-12-2002 00:00:00</t>
  </si>
  <si>
    <t>28799285</t>
  </si>
  <si>
    <t>5049003675</t>
  </si>
  <si>
    <t>17-05-2012 00:00:00</t>
  </si>
  <si>
    <t>26357897</t>
  </si>
  <si>
    <t>ГБПОУ МО «Пушкинский лесо-технический техникум»</t>
  </si>
  <si>
    <t>5038005825</t>
  </si>
  <si>
    <t>09-06-1994 00:00:00</t>
  </si>
  <si>
    <t>24-03-2021 00:00:00</t>
  </si>
  <si>
    <t>26357868</t>
  </si>
  <si>
    <t>ГБПОУ МО ПППЭТ</t>
  </si>
  <si>
    <t>5035005312</t>
  </si>
  <si>
    <t>31-12-2018 00:00:00</t>
  </si>
  <si>
    <t>26511079</t>
  </si>
  <si>
    <t>ГБСУ СО МО "Добрый дом"Куровской"</t>
  </si>
  <si>
    <t>5073065270</t>
  </si>
  <si>
    <t>07-04-1969 00:00:00</t>
  </si>
  <si>
    <t>26357644</t>
  </si>
  <si>
    <t>ГБСУ СО МО "Егорьевский дом-интернат"</t>
  </si>
  <si>
    <t>5011020336</t>
  </si>
  <si>
    <t>12-05-2021 00:00:00</t>
  </si>
  <si>
    <t>31507360</t>
  </si>
  <si>
    <t>ГБСУ СО МО "Пансионат "Егорьевский"</t>
  </si>
  <si>
    <t>5011015449</t>
  </si>
  <si>
    <t>16-09-2022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</si>
  <si>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</si>
  <si>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</si>
  <si>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</si>
  <si>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</si>
  <si>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</si>
  <si>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</si>
  <si>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</si>
  <si>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</si>
  <si>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</si>
  <si>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</si>
  <si>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</si>
  <si>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</si>
  <si>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</si>
  <si>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26358066</t>
  </si>
  <si>
    <t>ГБУ "Психоневрологический интернат №2"</t>
  </si>
  <si>
    <t>5077000796</t>
  </si>
  <si>
    <t>507707001</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</si>
  <si>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</si>
  <si>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</si>
  <si>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</si>
  <si>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</si>
  <si>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</si>
  <si>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</si>
  <si>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</si>
  <si>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</si>
  <si>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26631434</t>
  </si>
  <si>
    <t>ГБУ СО МО "Центр социально-медицинской реабилитации инвалидов и ветеранов боевых действий "Ясенки"</t>
  </si>
  <si>
    <t>5074035310</t>
  </si>
  <si>
    <t>28257178</t>
  </si>
  <si>
    <t>ГБУ СОЦ "ТЕРРИТОРИЯ ВОЗМОЖНОСТЕЙ"</t>
  </si>
  <si>
    <t>5017035138</t>
  </si>
  <si>
    <t>04-09-1997 00:00:00</t>
  </si>
  <si>
    <t>15-02-2023 00:00:00</t>
  </si>
  <si>
    <t>26548148</t>
  </si>
  <si>
    <t>ГБУ Социальный дом "Данки"</t>
  </si>
  <si>
    <t>07-09-1999 00:00:00</t>
  </si>
  <si>
    <t>26784943</t>
  </si>
  <si>
    <t>ГБУ Социальный дом «Ступино»</t>
  </si>
  <si>
    <t>5045015550</t>
  </si>
  <si>
    <t>22-01-2001 00:00:00</t>
  </si>
  <si>
    <t>26357625</t>
  </si>
  <si>
    <t>ГБУ Социальный дом им. О.В. Кербикова</t>
  </si>
  <si>
    <t>5009014328</t>
  </si>
  <si>
    <t>13-03-1995 00:00:00</t>
  </si>
  <si>
    <t>26647766</t>
  </si>
  <si>
    <t>ГБУ ЦРИ "Красная Пахра"</t>
  </si>
  <si>
    <t>5046021524</t>
  </si>
  <si>
    <t>26548116</t>
  </si>
  <si>
    <t>ГБУ г. Москвы дом социального обслуживания "Филимонки" г. Москвы</t>
  </si>
  <si>
    <t>5003009280</t>
  </si>
  <si>
    <t>26531600</t>
  </si>
  <si>
    <t>ГБУЗ "ДГБВЛ № 3 ДЗМ"</t>
  </si>
  <si>
    <t>5075005654</t>
  </si>
  <si>
    <t>14-02-2003 00:00:00</t>
  </si>
  <si>
    <t>14-11-2017 00:00:00</t>
  </si>
  <si>
    <t>26357724</t>
  </si>
  <si>
    <t>ГБУЗ "МГОБ №62 ДЗМ"</t>
  </si>
  <si>
    <t>5024001482</t>
  </si>
  <si>
    <t>26357990</t>
  </si>
  <si>
    <t>ГБУЗ "ПБ № 5 ДЗМ"</t>
  </si>
  <si>
    <t>5048050866</t>
  </si>
  <si>
    <t>04-04-1994 00:00:00</t>
  </si>
  <si>
    <t>28426251</t>
  </si>
  <si>
    <t>ГБУЗ МНПЦ МРВСМ ДЗМ</t>
  </si>
  <si>
    <t>7709173101</t>
  </si>
  <si>
    <t>770901001</t>
  </si>
  <si>
    <t>15-10-2012 00:00:00</t>
  </si>
  <si>
    <t>26509093</t>
  </si>
  <si>
    <t>ГБУЗ МО "Психиатрическая больница №8"</t>
  </si>
  <si>
    <t>5034083364</t>
  </si>
  <si>
    <t>23-11-1995 00:00:00</t>
  </si>
  <si>
    <t>28059175</t>
  </si>
  <si>
    <t>ГБУЗ МО «Санаторий Пушкино»</t>
  </si>
  <si>
    <t>5038005670</t>
  </si>
  <si>
    <t>30358896</t>
  </si>
  <si>
    <t>ГБУЗ МО ПБ № 11</t>
  </si>
  <si>
    <t>5049005778</t>
  </si>
  <si>
    <t>18-07-2012 00:00:00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</si>
  <si>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</si>
  <si>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</si>
  <si>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</si>
  <si>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</si>
  <si>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</si>
  <si>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</si>
  <si>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</si>
  <si>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</si>
  <si>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</si>
  <si>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</si>
  <si>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</si>
  <si>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</si>
  <si>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</si>
  <si>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</si>
  <si>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</si>
  <si>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</si>
  <si>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</si>
  <si>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26358059</t>
  </si>
  <si>
    <t>ГКУЗ ТС №58 ДЗМ</t>
  </si>
  <si>
    <t>5075008045</t>
  </si>
  <si>
    <t>18-03-2015 00:00:00</t>
  </si>
  <si>
    <t>26357820</t>
  </si>
  <si>
    <t>ГОУ ВПО "Голицынский пограничный институт ФСБ РФ"</t>
  </si>
  <si>
    <t>5032004906</t>
  </si>
  <si>
    <t>26357616</t>
  </si>
  <si>
    <t>ГОУ ВПО "Московский физико-технический институт"</t>
  </si>
  <si>
    <t>5008006211</t>
  </si>
  <si>
    <t>500832001</t>
  </si>
  <si>
    <t>29-07-2013 00:00:00</t>
  </si>
  <si>
    <t>26361045</t>
  </si>
  <si>
    <t>ГП ТКЦ "Электробыт"</t>
  </si>
  <si>
    <t>7722013234</t>
  </si>
  <si>
    <t>14-09-2014 00:00:00</t>
  </si>
  <si>
    <t>26791473</t>
  </si>
  <si>
    <t>ГУ 193 КЭЧ района</t>
  </si>
  <si>
    <t>5001010466</t>
  </si>
  <si>
    <t>27581963</t>
  </si>
  <si>
    <t>ГУ здравоохранения г. Москвы Детская психиатрическая больница №11</t>
  </si>
  <si>
    <t>5050006060</t>
  </si>
  <si>
    <t>01-01-2020 00:00:00</t>
  </si>
  <si>
    <t>26793050</t>
  </si>
  <si>
    <t>ГУП "Завод Элвакс"</t>
  </si>
  <si>
    <t>5047008678</t>
  </si>
  <si>
    <t>26361009</t>
  </si>
  <si>
    <t>ГУП "Медицинский центр управления делами мэра и Правительства г. Москвы" Санаторий " Звенигород"</t>
  </si>
  <si>
    <t>7709096376</t>
  </si>
  <si>
    <t>501501001</t>
  </si>
  <si>
    <t>31642184</t>
  </si>
  <si>
    <t>ГУП "ЦУГИ"</t>
  </si>
  <si>
    <t>7705059380</t>
  </si>
  <si>
    <t>772201001</t>
  </si>
  <si>
    <t>14-01-2003 00:00:00</t>
  </si>
  <si>
    <t>26357684</t>
  </si>
  <si>
    <t>ГУП "Энергетик ВНИЦ"</t>
  </si>
  <si>
    <t>5017035956</t>
  </si>
  <si>
    <t>08-10-1998 00:00:00</t>
  </si>
  <si>
    <t>22-12-2020 00:00:00</t>
  </si>
  <si>
    <t>26796753</t>
  </si>
  <si>
    <t>ГУП МО "КС МО"</t>
  </si>
  <si>
    <t>5034065171</t>
  </si>
  <si>
    <t>23-12-1994 00:00:00</t>
  </si>
  <si>
    <t>26357869</t>
  </si>
  <si>
    <t>ГУП МО "Энергетик</t>
  </si>
  <si>
    <t>5035019481</t>
  </si>
  <si>
    <t>25-05-2018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</si>
  <si>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</si>
  <si>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</si>
  <si>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</si>
  <si>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</si>
  <si>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</si>
  <si>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</si>
  <si>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</si>
  <si>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</si>
  <si>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</si>
  <si>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</si>
  <si>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</si>
  <si>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</si>
  <si>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</si>
  <si>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</si>
  <si>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</si>
  <si>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</si>
  <si>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</si>
  <si>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</si>
  <si>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26357533</t>
  </si>
  <si>
    <t>Домодедовское ПАТП филиал ГУП МО "Мострансавто"</t>
  </si>
  <si>
    <t>500902001</t>
  </si>
  <si>
    <t>27674693</t>
  </si>
  <si>
    <t>ЖЭУ ЗАО "Мособлстрой №20"</t>
  </si>
  <si>
    <t>5038012910</t>
  </si>
  <si>
    <t>503802003</t>
  </si>
  <si>
    <t>12-01-1993 00:00:00</t>
  </si>
  <si>
    <t>26357952</t>
  </si>
  <si>
    <t>ЗАО  "Серпуховский текстиль"</t>
  </si>
  <si>
    <t>5043000653</t>
  </si>
  <si>
    <t>26358051</t>
  </si>
  <si>
    <t>ЗАО " Санаторий "Ерино"</t>
  </si>
  <si>
    <t>5074017181</t>
  </si>
  <si>
    <t>26357957</t>
  </si>
  <si>
    <t>ЗАО "250 ЗЖБИ"</t>
  </si>
  <si>
    <t>5043017390</t>
  </si>
  <si>
    <t>19-11-1998 00:00:00</t>
  </si>
  <si>
    <t>30877358</t>
  </si>
  <si>
    <t>ЗАО "ВИК "Тензо-М"</t>
  </si>
  <si>
    <t>5027048351</t>
  </si>
  <si>
    <t>22-08-1996 00:00:00</t>
  </si>
  <si>
    <t>28455243</t>
  </si>
  <si>
    <t>ЗАО "Восход"</t>
  </si>
  <si>
    <t>7705806498</t>
  </si>
  <si>
    <t>110101001</t>
  </si>
  <si>
    <t>26627375</t>
  </si>
  <si>
    <t>26358037</t>
  </si>
  <si>
    <t>ЗАО "ГОРАК"</t>
  </si>
  <si>
    <t>5072701075</t>
  </si>
  <si>
    <t>26772215</t>
  </si>
  <si>
    <t>ЗАО "ГородскиеТеплоСистемы"</t>
  </si>
  <si>
    <t>5038040611</t>
  </si>
  <si>
    <t>26357908</t>
  </si>
  <si>
    <t>503232001</t>
  </si>
  <si>
    <t>21-09-2022 00:00:00</t>
  </si>
  <si>
    <t>26544006</t>
  </si>
  <si>
    <t>ЗАО "Группа "Энерготехсервис"</t>
  </si>
  <si>
    <t>7719161472</t>
  </si>
  <si>
    <t>20-05-1997 00:00:00</t>
  </si>
  <si>
    <t>26357608</t>
  </si>
  <si>
    <t>ЗАО "ДЭлМЗ"</t>
  </si>
  <si>
    <t>5007031310</t>
  </si>
  <si>
    <t>26357601</t>
  </si>
  <si>
    <t>ЗАО "Дмитров-Холдинг"</t>
  </si>
  <si>
    <t>5006006664</t>
  </si>
  <si>
    <t>26357603</t>
  </si>
  <si>
    <t>ЗАО "Дмитровский трикотаж"</t>
  </si>
  <si>
    <t>5007001620</t>
  </si>
  <si>
    <t>01-01-2018 00:00:00</t>
  </si>
  <si>
    <t>26357838</t>
  </si>
  <si>
    <t>ЗАО "Дом отдыха Покровское"</t>
  </si>
  <si>
    <t>5032032484</t>
  </si>
  <si>
    <t>26772186</t>
  </si>
  <si>
    <t>ЗАО "Домостроитель"</t>
  </si>
  <si>
    <t>5050009760</t>
  </si>
  <si>
    <t>505701001</t>
  </si>
  <si>
    <t>26357944</t>
  </si>
  <si>
    <t>ЗАО "ЗОЗП"</t>
  </si>
  <si>
    <t>5042015689</t>
  </si>
  <si>
    <t>17-10-2002 00:00:00</t>
  </si>
  <si>
    <t>26357843</t>
  </si>
  <si>
    <t>ЗАО "Завод малоэтажного домостроения "Подмосковье"</t>
  </si>
  <si>
    <t>5032049456</t>
  </si>
  <si>
    <t>28-08-2017 00:00:00</t>
  </si>
  <si>
    <t>26627332</t>
  </si>
  <si>
    <t>ЗАО "Звенигородская Энерго-Сетевая Компания"</t>
  </si>
  <si>
    <t>5015011734</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</si>
  <si>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</si>
  <si>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</si>
  <si>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</si>
  <si>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</si>
  <si>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</si>
  <si>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</si>
  <si>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</si>
  <si>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</si>
  <si>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</si>
  <si>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</si>
  <si>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</si>
  <si>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</si>
  <si>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</si>
  <si>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</si>
  <si>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</si>
  <si>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26513484</t>
  </si>
  <si>
    <t>ЗАО "Ленинское"</t>
  </si>
  <si>
    <t>5070000236</t>
  </si>
  <si>
    <t>507001001</t>
  </si>
  <si>
    <t>30359419</t>
  </si>
  <si>
    <t>ЗАО "МБМ Центр Лимитед"</t>
  </si>
  <si>
    <t>7730095544</t>
  </si>
  <si>
    <t>24-06-1997 00:00:00</t>
  </si>
  <si>
    <t>26504900</t>
  </si>
  <si>
    <t>ЗАО "МОСМЕК"</t>
  </si>
  <si>
    <t>5003086982</t>
  </si>
  <si>
    <t>15-06-2010 00:00:00</t>
  </si>
  <si>
    <t>26504868</t>
  </si>
  <si>
    <t>ЗАО "Международный Аэропорт "Домодедово"</t>
  </si>
  <si>
    <t>5009026330</t>
  </si>
  <si>
    <t>05-02-2015 00:00:00</t>
  </si>
  <si>
    <t>26357971</t>
  </si>
  <si>
    <t>ЗАО "Михневская швейная фабрика"</t>
  </si>
  <si>
    <t>5045000497</t>
  </si>
  <si>
    <t>26357902</t>
  </si>
  <si>
    <t>ЗАО "Мособлстрой-20"</t>
  </si>
  <si>
    <t>26357591</t>
  </si>
  <si>
    <t>ЗАО "Мосрентген"</t>
  </si>
  <si>
    <t>5003000880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</si>
  <si>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</si>
  <si>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</si>
  <si>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</si>
  <si>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</si>
  <si>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</si>
  <si>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</si>
  <si>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</si>
  <si>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</si>
  <si>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</si>
  <si>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</si>
  <si>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</si>
  <si>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26357941</t>
  </si>
  <si>
    <t>ЗАО "Победа"</t>
  </si>
  <si>
    <t>5042008152</t>
  </si>
  <si>
    <t>26357626</t>
  </si>
  <si>
    <t>ЗАО "Промкомбинат"</t>
  </si>
  <si>
    <t>5009019799</t>
  </si>
  <si>
    <t>26357866</t>
  </si>
  <si>
    <t>ЗАО "Рахмановский шелковый комбинат"</t>
  </si>
  <si>
    <t>5035002671</t>
  </si>
  <si>
    <t>26357948</t>
  </si>
  <si>
    <t>ЗАО "СТРОЙГРУППА СП"</t>
  </si>
  <si>
    <t>5042074571</t>
  </si>
  <si>
    <t>26-09-2003 00:00:00</t>
  </si>
  <si>
    <t>26357666</t>
  </si>
  <si>
    <t>ЗАО "Санаторий "Зеленая роща"</t>
  </si>
  <si>
    <t>5016003599</t>
  </si>
  <si>
    <t>26358065</t>
  </si>
  <si>
    <t>ЗАО "Серпуховский кирпичный завод"</t>
  </si>
  <si>
    <t>5077000700</t>
  </si>
  <si>
    <t>26548177</t>
  </si>
  <si>
    <t>ЗАО "Совхоз имени Ленина"</t>
  </si>
  <si>
    <t>5003009032</t>
  </si>
  <si>
    <t>31026430</t>
  </si>
  <si>
    <t>ЗАО "Союзэнерго"</t>
  </si>
  <si>
    <t>7719535689</t>
  </si>
  <si>
    <t>26535423</t>
  </si>
  <si>
    <t>ЗАО "СпецМонтажСервис44"</t>
  </si>
  <si>
    <t>5050063870</t>
  </si>
  <si>
    <t>26357636</t>
  </si>
  <si>
    <t>ЗАО "ТЕХОС"</t>
  </si>
  <si>
    <t>5011002143</t>
  </si>
  <si>
    <t>26357744</t>
  </si>
  <si>
    <t>ЗАО "Торгмаш"</t>
  </si>
  <si>
    <t>5027032418</t>
  </si>
  <si>
    <t>12-11-1991 00:00:00</t>
  </si>
  <si>
    <t>26786346</t>
  </si>
  <si>
    <t>ЗАО "Фрязинская Теплосеть"</t>
  </si>
  <si>
    <t>5052020960</t>
  </si>
  <si>
    <t>505201001</t>
  </si>
  <si>
    <t>24-03-2010 00:00:00</t>
  </si>
  <si>
    <t>26514148</t>
  </si>
  <si>
    <t>ЗАО "Щелковская шелкоткацкая фабрика"</t>
  </si>
  <si>
    <t>5050013967</t>
  </si>
  <si>
    <t>26357683</t>
  </si>
  <si>
    <t>ЗАО "ЭНО"</t>
  </si>
  <si>
    <t>5017032666</t>
  </si>
  <si>
    <t>02-12-1996 00:00:00</t>
  </si>
  <si>
    <t>26360944</t>
  </si>
  <si>
    <t>ЗАО "ЭСМА"</t>
  </si>
  <si>
    <t>7706580525</t>
  </si>
  <si>
    <t>504601001</t>
  </si>
  <si>
    <t>26357929</t>
  </si>
  <si>
    <t>ЗАО "Электроизолит"</t>
  </si>
  <si>
    <t>5042000530</t>
  </si>
  <si>
    <t>26357620</t>
  </si>
  <si>
    <t>ЗАО ДЗМК "МЕТАКО"</t>
  </si>
  <si>
    <t>5009006969</t>
  </si>
  <si>
    <t>26776822</t>
  </si>
  <si>
    <t>ЗАО ОМЗ "НИИ ХИММАШ"</t>
  </si>
  <si>
    <t>5050003422</t>
  </si>
  <si>
    <t>11-09-2014 00:00:00</t>
  </si>
  <si>
    <t>26357766</t>
  </si>
  <si>
    <t>ЗАО Производственное предприятие "Авторос-2"</t>
  </si>
  <si>
    <t>5028015528</t>
  </si>
  <si>
    <t>26357970</t>
  </si>
  <si>
    <t>ЗАО Сельскохозяйственное предприятие "Аксиньино"</t>
  </si>
  <si>
    <t>5045000352</t>
  </si>
  <si>
    <t>26358057</t>
  </si>
  <si>
    <t>ЗАО ТМПСО "Рузский дом"</t>
  </si>
  <si>
    <t>5075002332</t>
  </si>
  <si>
    <t>26627395</t>
  </si>
  <si>
    <t>ЗАО Управляющая компания "ИнтеллектСервис"</t>
  </si>
  <si>
    <t>7727651270</t>
  </si>
  <si>
    <t>772701001</t>
  </si>
  <si>
    <t>26357726</t>
  </si>
  <si>
    <t>ЗАО"Бецема"</t>
  </si>
  <si>
    <t>26357751</t>
  </si>
  <si>
    <t>Замоскворецкая КЭЧ</t>
  </si>
  <si>
    <t>5027037536</t>
  </si>
  <si>
    <t>26360957</t>
  </si>
  <si>
    <t>Зарайский офсет</t>
  </si>
  <si>
    <t>7707585815</t>
  </si>
  <si>
    <t>501402001</t>
  </si>
  <si>
    <t>26511305</t>
  </si>
  <si>
    <t>ИБК РАН</t>
  </si>
  <si>
    <t>5039001069</t>
  </si>
  <si>
    <t>503901001</t>
  </si>
  <si>
    <t>21-04-1998 00:00:00</t>
  </si>
  <si>
    <t>01-11-2018 00:00:00</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</si>
  <si>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</si>
  <si>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</si>
  <si>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</si>
  <si>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</si>
  <si>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</si>
  <si>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</si>
  <si>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</si>
  <si>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</si>
  <si>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</si>
  <si>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</si>
  <si>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</si>
  <si>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</si>
  <si>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</si>
  <si>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</si>
  <si>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26358000</t>
  </si>
  <si>
    <t>Кривандинское МУ ЖКП</t>
  </si>
  <si>
    <t>5049008602</t>
  </si>
  <si>
    <t>26357839</t>
  </si>
  <si>
    <t>Кубинская КЭЧ района (ВЧ 45809,Кубинка-8)</t>
  </si>
  <si>
    <t>5032033640</t>
  </si>
  <si>
    <t>26358016</t>
  </si>
  <si>
    <t>ЛПУ "Гастроэнтерологический  санаторий "Монино"</t>
  </si>
  <si>
    <t>5050028120</t>
  </si>
  <si>
    <t>07-07-2017 00:00:00</t>
  </si>
  <si>
    <t>26649472</t>
  </si>
  <si>
    <t>ЛПУ санаторий "Озеры"</t>
  </si>
  <si>
    <t>5033002210</t>
  </si>
  <si>
    <t>503301001</t>
  </si>
  <si>
    <t>05-08-1992 00:00:00</t>
  </si>
  <si>
    <t>26357907</t>
  </si>
  <si>
    <t>Лечебно-профилактическое учреждение "Санаторий "Правда"</t>
  </si>
  <si>
    <t>5038036051</t>
  </si>
  <si>
    <t>26360985</t>
  </si>
  <si>
    <t>Локомотивное депо Лобня</t>
  </si>
  <si>
    <t>502531002</t>
  </si>
  <si>
    <t>26357537</t>
  </si>
  <si>
    <t>МАП №2 Автоколонна 1417" филиал ГУП МО "Мострансавто</t>
  </si>
  <si>
    <t>507231001</t>
  </si>
  <si>
    <t>31710439</t>
  </si>
  <si>
    <t>МБУ «Ликино-Дулевский КБ»</t>
  </si>
  <si>
    <t>5034051122</t>
  </si>
  <si>
    <t>26357772</t>
  </si>
  <si>
    <t>МГТУ им. Н.Э. БАУМАНА МФ</t>
  </si>
  <si>
    <t>7701002520</t>
  </si>
  <si>
    <t>770101001</t>
  </si>
  <si>
    <t>20-10-2016 00:00:00</t>
  </si>
  <si>
    <t>26360918</t>
  </si>
  <si>
    <t>МГУП "Истринский гидротехнический узел"</t>
  </si>
  <si>
    <t>7701002626</t>
  </si>
  <si>
    <t>30358385</t>
  </si>
  <si>
    <t>5044046731</t>
  </si>
  <si>
    <t>02-02-2005 00:00:00</t>
  </si>
  <si>
    <t>30861122</t>
  </si>
  <si>
    <t>МКП "Ложковские теплосети"</t>
  </si>
  <si>
    <t>5044098948</t>
  </si>
  <si>
    <t>16-08-2016 00:00:00</t>
  </si>
  <si>
    <t>30991580</t>
  </si>
  <si>
    <t>МКП "Пешковские теплосети"</t>
  </si>
  <si>
    <t>5044109413</t>
  </si>
  <si>
    <t>25-07-2017 00:00:00</t>
  </si>
  <si>
    <t>26357670</t>
  </si>
  <si>
    <t>МЛПУ "Истринская районная больница"</t>
  </si>
  <si>
    <t>5017003626</t>
  </si>
  <si>
    <t>26357685</t>
  </si>
  <si>
    <t>МОУ "Лучинская СОШ"</t>
  </si>
  <si>
    <t>5017048867</t>
  </si>
  <si>
    <t>26774666</t>
  </si>
  <si>
    <t>МП "Быт-сервис"</t>
  </si>
  <si>
    <t>5022556721</t>
  </si>
  <si>
    <t>15-02-2016 00:00:00</t>
  </si>
  <si>
    <t>26548367</t>
  </si>
  <si>
    <t>МП "Городские инженерные системы"</t>
  </si>
  <si>
    <t>5015010459</t>
  </si>
  <si>
    <t>26357992</t>
  </si>
  <si>
    <t>МП "ЖКХ " Чеховского района</t>
  </si>
  <si>
    <t>5048052077</t>
  </si>
  <si>
    <t>21-06-1996 00:00:00</t>
  </si>
  <si>
    <t>26358036</t>
  </si>
  <si>
    <t>МП "Жилкомсервис"</t>
  </si>
  <si>
    <t>5071004120</t>
  </si>
  <si>
    <t>507101001</t>
  </si>
  <si>
    <t>28462523</t>
  </si>
  <si>
    <t>МП "Звенигородские инженерные сети"</t>
  </si>
  <si>
    <t>5015249617</t>
  </si>
  <si>
    <t>28044250</t>
  </si>
  <si>
    <t>МП "ЛП КТВС"</t>
  </si>
  <si>
    <t>5050097808</t>
  </si>
  <si>
    <t>06-06-2012 00:00:00</t>
  </si>
  <si>
    <t>28054885</t>
  </si>
  <si>
    <t>МП "Лотошинское ЖКХ"</t>
  </si>
  <si>
    <t>5071005886</t>
  </si>
  <si>
    <t>26357738</t>
  </si>
  <si>
    <t>МП "Лыткаринская теплосеть"</t>
  </si>
  <si>
    <t>5026000406</t>
  </si>
  <si>
    <t>502601001</t>
  </si>
  <si>
    <t>01-10-1992 00:00:00</t>
  </si>
  <si>
    <t>30809550</t>
  </si>
  <si>
    <t>МП "РЭУ"</t>
  </si>
  <si>
    <t>5022556658</t>
  </si>
  <si>
    <t>20-11-2009 00:00:00</t>
  </si>
  <si>
    <t>26357581</t>
  </si>
  <si>
    <t>МП "Сычевское ПТО ЖКХ"</t>
  </si>
  <si>
    <t>5004013426</t>
  </si>
  <si>
    <t>26357654</t>
  </si>
  <si>
    <t>МП "Теплоцентраль"</t>
  </si>
  <si>
    <t>5013006792</t>
  </si>
  <si>
    <t>28-12-1993 00:00:00</t>
  </si>
  <si>
    <t>26357987</t>
  </si>
  <si>
    <t>МП "Химкинская теплосеть"</t>
  </si>
  <si>
    <t>5047040706</t>
  </si>
  <si>
    <t>27295228</t>
  </si>
  <si>
    <t>МП «Быт-Сервис»</t>
  </si>
  <si>
    <t>5022556249</t>
  </si>
  <si>
    <t>502255624</t>
  </si>
  <si>
    <t>02-03-2023 00:00:00</t>
  </si>
  <si>
    <t>26358015</t>
  </si>
  <si>
    <t>МП ГОЩ "Щёлковская Теплосеть"</t>
  </si>
  <si>
    <t>5050026684</t>
  </si>
  <si>
    <t>27709982</t>
  </si>
  <si>
    <t>МП ГПМ "МИК"</t>
  </si>
  <si>
    <t>5050092408</t>
  </si>
  <si>
    <t>02-05-2012 00:00:00</t>
  </si>
  <si>
    <t>26357920</t>
  </si>
  <si>
    <t>МП ЖКХ "Ульянино"</t>
  </si>
  <si>
    <t>5040037158</t>
  </si>
  <si>
    <t>26358012</t>
  </si>
  <si>
    <t>МПГПС "Свердловское"</t>
  </si>
  <si>
    <t>5050019239</t>
  </si>
  <si>
    <t>26358074</t>
  </si>
  <si>
    <t>МПКХ "Шаховская"</t>
  </si>
  <si>
    <t>5079000720</t>
  </si>
  <si>
    <t>507901001</t>
  </si>
  <si>
    <t>26357752</t>
  </si>
  <si>
    <t>МУЖКП "Котельники"</t>
  </si>
  <si>
    <t>5027048658</t>
  </si>
  <si>
    <t>26597678</t>
  </si>
  <si>
    <t>МУЖРП №2</t>
  </si>
  <si>
    <t>5036001014</t>
  </si>
  <si>
    <t>26357882</t>
  </si>
  <si>
    <t>МУЖРП-4</t>
  </si>
  <si>
    <t>5036010805</t>
  </si>
  <si>
    <t>26357640</t>
  </si>
  <si>
    <t>МУП "Азимут"</t>
  </si>
  <si>
    <t>5011018009</t>
  </si>
  <si>
    <t>30-03-1999 00:00:00</t>
  </si>
  <si>
    <t>26548083</t>
  </si>
  <si>
    <t>МУП "БКС"</t>
  </si>
  <si>
    <t>5012091227</t>
  </si>
  <si>
    <t>18-02-2016 00:00:00</t>
  </si>
  <si>
    <t>26508619</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</si>
  <si>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</si>
  <si>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</si>
  <si>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</si>
  <si>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</si>
  <si>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</si>
  <si>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</si>
  <si>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</si>
  <si>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</si>
  <si>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</si>
  <si>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26357679</t>
  </si>
  <si>
    <t>МУП "Бужаровское РЭП ЖКХ"</t>
  </si>
  <si>
    <t>5017031214</t>
  </si>
  <si>
    <t>26514988</t>
  </si>
  <si>
    <t>МУП "ВИДНОВСКОЕ ПТО ГХ"</t>
  </si>
  <si>
    <t>5003002816</t>
  </si>
  <si>
    <t>18-04-2017 00:00:00</t>
  </si>
  <si>
    <t>26354067</t>
  </si>
  <si>
    <t>МУП "ВОДОКАНАЛ"</t>
  </si>
  <si>
    <t>5034028109</t>
  </si>
  <si>
    <t>13-09-2018 00:00:00</t>
  </si>
  <si>
    <t>30359822</t>
  </si>
  <si>
    <t>5019025953</t>
  </si>
  <si>
    <t>04-08-2014 00:00:00</t>
  </si>
  <si>
    <t>26548317</t>
  </si>
  <si>
    <t>МУП "Водоканал" г. Подольска</t>
  </si>
  <si>
    <t>5036029468</t>
  </si>
  <si>
    <t>30358464</t>
  </si>
  <si>
    <t>МУП "Восход-Сервис"</t>
  </si>
  <si>
    <t>5017106011</t>
  </si>
  <si>
    <t>17-04-2015 00:00:00</t>
  </si>
  <si>
    <t>26357707</t>
  </si>
  <si>
    <t>МУП "Высоковский коммунальщик"</t>
  </si>
  <si>
    <t>5020044492</t>
  </si>
  <si>
    <t>502001001</t>
  </si>
  <si>
    <t>07-12-2017 00:00:00</t>
  </si>
  <si>
    <t>28883293</t>
  </si>
  <si>
    <t>МУП "Горкинское ПТО ЖКХ"</t>
  </si>
  <si>
    <t>5003111798</t>
  </si>
  <si>
    <t>26774401</t>
  </si>
  <si>
    <t>МУП "ДЕЗ "ГОРХОЗ"</t>
  </si>
  <si>
    <t>5019021684</t>
  </si>
  <si>
    <t>21-09-2009 00:00:00</t>
  </si>
  <si>
    <t>21-10-2021 00:00:00</t>
  </si>
  <si>
    <t>31415574</t>
  </si>
  <si>
    <t>МУП "ДУ ЖКХ"</t>
  </si>
  <si>
    <t>5007105604</t>
  </si>
  <si>
    <t>10-09-2018 00:00:00</t>
  </si>
  <si>
    <t>26357887</t>
  </si>
  <si>
    <t>МУП "Дирекция Единого Заказчика"</t>
  </si>
  <si>
    <t>5036055450</t>
  </si>
  <si>
    <t>26357975</t>
  </si>
  <si>
    <t>МУП "Дубневское ЖКХ"</t>
  </si>
  <si>
    <t>5045018751</t>
  </si>
  <si>
    <t>26357658</t>
  </si>
  <si>
    <t>МУП "ЕСКХ Зарайского района"</t>
  </si>
  <si>
    <t>5014008866</t>
  </si>
  <si>
    <t>501401001</t>
  </si>
  <si>
    <t>05-06-2003 00:00:00</t>
  </si>
  <si>
    <t>26357637</t>
  </si>
  <si>
    <t>МУП "ЖИЛЭП"</t>
  </si>
  <si>
    <t>5011002440</t>
  </si>
  <si>
    <t>26357642</t>
  </si>
  <si>
    <t>МУП "ЖКХ - Раменки"</t>
  </si>
  <si>
    <t>5011020142</t>
  </si>
  <si>
    <t>01-02-2018 00:00:00</t>
  </si>
  <si>
    <t>28752080</t>
  </si>
  <si>
    <t>МУП "ЖКХ Горки-2"</t>
  </si>
  <si>
    <t>5032230817</t>
  </si>
  <si>
    <t>15-11-2010 00:00:00</t>
  </si>
  <si>
    <t>05-12-2017 00:00:00</t>
  </si>
  <si>
    <t>28506241</t>
  </si>
  <si>
    <t>МУП "ЖКХ Назарьево"</t>
  </si>
  <si>
    <t>5032272535</t>
  </si>
  <si>
    <t>11-11-2013 00:00:00</t>
  </si>
  <si>
    <t>26357767</t>
  </si>
  <si>
    <t>МУП "ЖКХ г. Можайска"</t>
  </si>
  <si>
    <t>5028018582</t>
  </si>
  <si>
    <t>26358023</t>
  </si>
  <si>
    <t>МУП "ЖКХ г. Щербинки"</t>
  </si>
  <si>
    <t>5051006070</t>
  </si>
  <si>
    <t>02-06-2021 00:00:00</t>
  </si>
  <si>
    <t>26985130</t>
  </si>
  <si>
    <t>МУП "ЖКХ городского поселения Деденево"</t>
  </si>
  <si>
    <t>5007078870</t>
  </si>
  <si>
    <t>23-12-2012 00:00:00</t>
  </si>
  <si>
    <t>26358033</t>
  </si>
  <si>
    <t>МУП "Жилищно-коммунальное объединение" г. Королев</t>
  </si>
  <si>
    <t>5054086525</t>
  </si>
  <si>
    <t>26357784</t>
  </si>
  <si>
    <t>МУП "Жилкомбытстрой-Молодежный"</t>
  </si>
  <si>
    <t>5030041170</t>
  </si>
  <si>
    <t>13-06-2002 00:00:00</t>
  </si>
  <si>
    <t>23-08-2023 00:00:00</t>
  </si>
  <si>
    <t>28461470</t>
  </si>
  <si>
    <t>МУП "Знаменское"</t>
  </si>
  <si>
    <t>5019023064</t>
  </si>
  <si>
    <t>04-04-2022 00:00:00</t>
  </si>
  <si>
    <t>26357668</t>
  </si>
  <si>
    <t>МУП "Ивантеевская Теплосеть"</t>
  </si>
  <si>
    <t>5016013325</t>
  </si>
  <si>
    <t>22-09-2005 00:00:00</t>
  </si>
  <si>
    <t>26357618</t>
  </si>
  <si>
    <t>МУП "Инженерные сети г.Долгопрудного"</t>
  </si>
  <si>
    <t>5008032317</t>
  </si>
  <si>
    <t>500801001</t>
  </si>
  <si>
    <t>11-12-2001 00:00:00</t>
  </si>
  <si>
    <t>28799718</t>
  </si>
  <si>
    <t>МУП "КК Аксенки"</t>
  </si>
  <si>
    <t>5031111687</t>
  </si>
  <si>
    <t>25-07-2014 00:00:00</t>
  </si>
  <si>
    <t>28275063</t>
  </si>
  <si>
    <t>МУП "ККК"</t>
  </si>
  <si>
    <t>5042128611</t>
  </si>
  <si>
    <t>27-06-2013 00:00:00</t>
  </si>
  <si>
    <t>29-09-2023 00:00:00</t>
  </si>
  <si>
    <t>30832028</t>
  </si>
  <si>
    <t>МУП "КЛИНТЕПЛОСЕТЬ"</t>
  </si>
  <si>
    <t>5020079505</t>
  </si>
  <si>
    <t>05-11-2015 00:00:00</t>
  </si>
  <si>
    <t>26504775</t>
  </si>
  <si>
    <t>МУП "Коломенская электросеть"</t>
  </si>
  <si>
    <t>5022014550</t>
  </si>
  <si>
    <t>29-06-2022 00:00:00</t>
  </si>
  <si>
    <t>26357943</t>
  </si>
  <si>
    <t>МУП "Коммунальник"</t>
  </si>
  <si>
    <t>5042011797</t>
  </si>
  <si>
    <t>26548405</t>
  </si>
  <si>
    <t>МУП "Коммунальные системы Хотьково"</t>
  </si>
  <si>
    <t>5042116990</t>
  </si>
  <si>
    <t>26622068</t>
  </si>
  <si>
    <t>МУП "Коммунальный сервис Вербилки"</t>
  </si>
  <si>
    <t>5078019574</t>
  </si>
  <si>
    <t>10-10-2019 00:00:00</t>
  </si>
  <si>
    <t>26357873</t>
  </si>
  <si>
    <t>МУП "Коммунальщик"</t>
  </si>
  <si>
    <t>5035032436</t>
  </si>
  <si>
    <t>503503001</t>
  </si>
  <si>
    <t>26357676</t>
  </si>
  <si>
    <t>МУП "Костровское РЭП ЖКХ"</t>
  </si>
  <si>
    <t>5017030877</t>
  </si>
  <si>
    <t>28009115</t>
  </si>
  <si>
    <t>МУП "ЛТЭК"</t>
  </si>
  <si>
    <t>5074046190</t>
  </si>
  <si>
    <t>20-03-2012 00:00:00</t>
  </si>
  <si>
    <t>30834016</t>
  </si>
  <si>
    <t>МУП "Леонтьевское ЖКХ"</t>
  </si>
  <si>
    <t>5045055577</t>
  </si>
  <si>
    <t>22-04-2014 00:00:00</t>
  </si>
  <si>
    <t>26548323</t>
  </si>
  <si>
    <t>МУП "Лесной"</t>
  </si>
  <si>
    <t>5038070260</t>
  </si>
  <si>
    <t>27-07-2009 00:00:00</t>
  </si>
  <si>
    <t>26531579</t>
  </si>
  <si>
    <t>МУП "Луневобытсервис"</t>
  </si>
  <si>
    <t>5044092128</t>
  </si>
  <si>
    <t>17-10-2014 00:00:00</t>
  </si>
  <si>
    <t>30402024</t>
  </si>
  <si>
    <t>МУП "НИС"</t>
  </si>
  <si>
    <t>5024160570</t>
  </si>
  <si>
    <t>11-12-2015 00:00:00</t>
  </si>
  <si>
    <t>27-10-2022 00:00:00</t>
  </si>
  <si>
    <t>30358509</t>
  </si>
  <si>
    <t>МУП "Озёрская Теплосеть"</t>
  </si>
  <si>
    <t>5033001841</t>
  </si>
  <si>
    <t>23-04-2015 00:00:00</t>
  </si>
  <si>
    <t>26542453</t>
  </si>
  <si>
    <t>МУП "Октябрьское Жилищное Управление"</t>
  </si>
  <si>
    <t>5027090498</t>
  </si>
  <si>
    <t>10-12-2002 00:00:00</t>
  </si>
  <si>
    <t>28-09-2023 00:00:00</t>
  </si>
  <si>
    <t>26357680</t>
  </si>
  <si>
    <t>МУП "Онуфриевское РЭП ЖКХ"</t>
  </si>
  <si>
    <t>5017031260</t>
  </si>
  <si>
    <t>26357584</t>
  </si>
  <si>
    <t>МУП "Осташевское ПТП ЖКХ"</t>
  </si>
  <si>
    <t>5004023103</t>
  </si>
  <si>
    <t>27517178</t>
  </si>
  <si>
    <t>МУП "ПК "Андреевка"</t>
  </si>
  <si>
    <t>5044079945</t>
  </si>
  <si>
    <t>01-07-2011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</si>
  <si>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</si>
  <si>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</si>
  <si>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</si>
  <si>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</si>
  <si>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</si>
  <si>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</si>
  <si>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</si>
  <si>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</si>
  <si>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</si>
  <si>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</si>
  <si>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</si>
  <si>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</si>
  <si>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</si>
  <si>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</si>
  <si>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</si>
  <si>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</si>
  <si>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</si>
  <si>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</si>
  <si>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</si>
  <si>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30919733</t>
  </si>
  <si>
    <t>МУП "Райкомсервис"</t>
  </si>
  <si>
    <t>5078022908</t>
  </si>
  <si>
    <t>10-10-2016 00:00:00</t>
  </si>
  <si>
    <t>01-02-2023 00:00:00</t>
  </si>
  <si>
    <t>26508625</t>
  </si>
  <si>
    <t>МУП "Ратмировское ЖКХ"</t>
  </si>
  <si>
    <t>5005038624</t>
  </si>
  <si>
    <t>30987425</t>
  </si>
  <si>
    <t>МУП "Ресурс - Деденево"</t>
  </si>
  <si>
    <t>5007101945</t>
  </si>
  <si>
    <t>31-07-2017 00:00:00</t>
  </si>
  <si>
    <t>27284710</t>
  </si>
  <si>
    <t>МУП "Ресурс"</t>
  </si>
  <si>
    <t>5042141718</t>
  </si>
  <si>
    <t>13-07-2016 00:00:00</t>
  </si>
  <si>
    <t>31-03-2020 00:00:00</t>
  </si>
  <si>
    <t>26357925</t>
  </si>
  <si>
    <t>МУП "Реутовская теплосеть"</t>
  </si>
  <si>
    <t>5041000136</t>
  </si>
  <si>
    <t>26357710</t>
  </si>
  <si>
    <t>МУП "СЕЗ"</t>
  </si>
  <si>
    <t>5021012341</t>
  </si>
  <si>
    <t>13-09-2002 00:00:00</t>
  </si>
  <si>
    <t>18-11-2022 00:00:00</t>
  </si>
  <si>
    <t>26357719</t>
  </si>
  <si>
    <t>МУП "СКИ"</t>
  </si>
  <si>
    <t>5023010332</t>
  </si>
  <si>
    <t>502301001</t>
  </si>
  <si>
    <t>09-02-2009 00:00:00</t>
  </si>
  <si>
    <t>31322115</t>
  </si>
  <si>
    <t>МУП "СП Теплосеть"</t>
  </si>
  <si>
    <t>5042150198</t>
  </si>
  <si>
    <t>23-01-2019 00:00:00</t>
  </si>
  <si>
    <t>30985874</t>
  </si>
  <si>
    <t>МУП "СПТС"</t>
  </si>
  <si>
    <t>5042143218</t>
  </si>
  <si>
    <t>22-11-2016 00:00:00</t>
  </si>
  <si>
    <t>28-01-2021 00:00:00</t>
  </si>
  <si>
    <t>26357956</t>
  </si>
  <si>
    <t>МУП "Серпуховская теплосеть"</t>
  </si>
  <si>
    <t>5043014617</t>
  </si>
  <si>
    <t>03-08-2020 00:00:00</t>
  </si>
  <si>
    <t>26511949</t>
  </si>
  <si>
    <t>МУП "Служба единого заказчика ЖКХ"</t>
  </si>
  <si>
    <t>5031044222</t>
  </si>
  <si>
    <t>26548413</t>
  </si>
  <si>
    <t>МУП "Сычевское ПТП ЖКХ"</t>
  </si>
  <si>
    <t>5004023128</t>
  </si>
  <si>
    <t>26357976</t>
  </si>
  <si>
    <t>МУП "ТАТАРИНОВСКОЕ ЖКХ"</t>
  </si>
  <si>
    <t>5045019755</t>
  </si>
  <si>
    <t>01-10-1996 00:00:00</t>
  </si>
  <si>
    <t>31723903</t>
  </si>
  <si>
    <t>МУП "ТЕПЛОСЕТЬ"</t>
  </si>
  <si>
    <t>5045069918</t>
  </si>
  <si>
    <t>25-05-2023 00:00:00</t>
  </si>
  <si>
    <t>28267720</t>
  </si>
  <si>
    <t>МУП "ТКК"</t>
  </si>
  <si>
    <t>5027202116</t>
  </si>
  <si>
    <t>02-07-2013 00:00:00</t>
  </si>
  <si>
    <t>26358073</t>
  </si>
  <si>
    <t>МУП "Талдомсервис" г.Талдом</t>
  </si>
  <si>
    <t>5078015918</t>
  </si>
  <si>
    <t>23-11-2006 00:00:00</t>
  </si>
  <si>
    <t>26357717</t>
  </si>
  <si>
    <t>МУП "Тепло Коломны"</t>
  </si>
  <si>
    <t>5022030985</t>
  </si>
  <si>
    <t>05-12-2001 00:00:00</t>
  </si>
  <si>
    <t>26357914</t>
  </si>
  <si>
    <t>МУП "Тепловодоканал"</t>
  </si>
  <si>
    <t>5039008071</t>
  </si>
  <si>
    <t>26357698</t>
  </si>
  <si>
    <t>МУП "Теплоресурс"</t>
  </si>
  <si>
    <t>5019017180</t>
  </si>
  <si>
    <t>30913834</t>
  </si>
  <si>
    <t>МУП "Теплосеть Наро-Фоминского городского округа"</t>
  </si>
  <si>
    <t>5030015490</t>
  </si>
  <si>
    <t>04-09-1992 00:00:00</t>
  </si>
  <si>
    <t>26357884</t>
  </si>
  <si>
    <t>МУП "Теплосеть"</t>
  </si>
  <si>
    <t>5021012581</t>
  </si>
  <si>
    <t>26357648</t>
  </si>
  <si>
    <t>5012001181</t>
  </si>
  <si>
    <t>26357932</t>
  </si>
  <si>
    <t>5042001196</t>
  </si>
  <si>
    <t>08-11-2023 00:00:00</t>
  </si>
  <si>
    <t>26357898</t>
  </si>
  <si>
    <t>МУП "Теплосеть" Пушкинского муниципального района</t>
  </si>
  <si>
    <t>5038010261</t>
  </si>
  <si>
    <t>26357627</t>
  </si>
  <si>
    <t>МУП "Теплосеть" г.о Домодедово</t>
  </si>
  <si>
    <t>5009022752</t>
  </si>
  <si>
    <t>26357582</t>
  </si>
  <si>
    <t>МУП "Теряевское ПТО ЖКХ"</t>
  </si>
  <si>
    <t>5004013708</t>
  </si>
  <si>
    <t>26357981</t>
  </si>
  <si>
    <t>МУП "Троицктеплоэнерго"</t>
  </si>
  <si>
    <t>5046049865</t>
  </si>
  <si>
    <t>26783107</t>
  </si>
  <si>
    <t>МУП "УЭ"</t>
  </si>
  <si>
    <t>5031007809</t>
  </si>
  <si>
    <t>27018501</t>
  </si>
  <si>
    <t>МУП "Управляющая компания"</t>
  </si>
  <si>
    <t>5077024268</t>
  </si>
  <si>
    <t>27734283</t>
  </si>
  <si>
    <t>МУП "Феникс"</t>
  </si>
  <si>
    <t>5019022952</t>
  </si>
  <si>
    <t>18-01-2019 00:00:00</t>
  </si>
  <si>
    <t>26357922</t>
  </si>
  <si>
    <t>МУП "Чулковское ПТО КХ"</t>
  </si>
  <si>
    <t>5040054386</t>
  </si>
  <si>
    <t>31305053</t>
  </si>
  <si>
    <t>МУП "ЭЦУ"</t>
  </si>
  <si>
    <t>5053041031</t>
  </si>
  <si>
    <t>20-07-2005 00:00:00</t>
  </si>
  <si>
    <t>26357682</t>
  </si>
  <si>
    <t>МУП "Ядроминское РЭП ЖКХ"</t>
  </si>
  <si>
    <t>5017031775</t>
  </si>
  <si>
    <t>28009087</t>
  </si>
  <si>
    <t>МУП «Бытсервис»</t>
  </si>
  <si>
    <t>5074046344</t>
  </si>
  <si>
    <t>16-12-2011 00:00:00</t>
  </si>
  <si>
    <t>26504916</t>
  </si>
  <si>
    <t>МУП «Восход-Комплекс»</t>
  </si>
  <si>
    <t>5017042382</t>
  </si>
  <si>
    <t>28-09-2022 00:00:00</t>
  </si>
  <si>
    <t>27496827</t>
  </si>
  <si>
    <t>МУП «Домнинское»</t>
  </si>
  <si>
    <t>5019020602</t>
  </si>
  <si>
    <t>28958030</t>
  </si>
  <si>
    <t>МУП «Коммунальное хозяйство Коломенского района»</t>
  </si>
  <si>
    <t>5022047001</t>
  </si>
  <si>
    <t>10-12-2014 00:00:00</t>
  </si>
  <si>
    <t>27505912</t>
  </si>
  <si>
    <t>МУП «РСК Селковское»</t>
  </si>
  <si>
    <t>5042121278</t>
  </si>
  <si>
    <t>28493508</t>
  </si>
  <si>
    <t>МУП «УК г.п. Деденево»</t>
  </si>
  <si>
    <t>5007088807</t>
  </si>
  <si>
    <t>28463224</t>
  </si>
  <si>
    <t>МУП ГПЩ "Гортепло"</t>
  </si>
  <si>
    <t>5050105270</t>
  </si>
  <si>
    <t>26357940</t>
  </si>
  <si>
    <t>МУП ГХ г.Краснозаводск</t>
  </si>
  <si>
    <t>5042006606</t>
  </si>
  <si>
    <t>26357753</t>
  </si>
  <si>
    <t>МУП ЖКХ ГП Малаховка</t>
  </si>
  <si>
    <t>5027052196</t>
  </si>
  <si>
    <t>26357646</t>
  </si>
  <si>
    <t>МУП КХ "Егорьевские инженерные сети"</t>
  </si>
  <si>
    <t>5011025214</t>
  </si>
  <si>
    <t>26357997</t>
  </si>
  <si>
    <t>МУП Кервское ЖКП</t>
  </si>
  <si>
    <t>5049004340</t>
  </si>
  <si>
    <t>26358064</t>
  </si>
  <si>
    <t>МУП МПКХ Узуновское</t>
  </si>
  <si>
    <t>5076007380</t>
  </si>
  <si>
    <t>507601001</t>
  </si>
  <si>
    <t>26-11-2005 00:00:00</t>
  </si>
  <si>
    <t>26357681</t>
  </si>
  <si>
    <t>МУП Обушковское РЭП ЖКХ</t>
  </si>
  <si>
    <t>5017031750</t>
  </si>
  <si>
    <t>26358040</t>
  </si>
  <si>
    <t>МУП ПТО ЖХ №8 Орехово-Зуевского района</t>
  </si>
  <si>
    <t>5073006726</t>
  </si>
  <si>
    <t>507301001</t>
  </si>
  <si>
    <t>28265752</t>
  </si>
  <si>
    <t>МУП Серпуховского муниципального района "РКЭУ"</t>
  </si>
  <si>
    <t>5077027156</t>
  </si>
  <si>
    <t>21-02-2013 00:00:00</t>
  </si>
  <si>
    <t>26517721</t>
  </si>
  <si>
    <t>МУП Серпуховского района "УК ЖКХ"</t>
  </si>
  <si>
    <t>5077019733</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</si>
  <si>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</si>
  <si>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</si>
  <si>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</si>
  <si>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</si>
  <si>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</si>
  <si>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</si>
  <si>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</si>
  <si>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</si>
  <si>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</si>
  <si>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</si>
  <si>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</si>
  <si>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26357675</t>
  </si>
  <si>
    <t>МУП сельского поселения Новопетровское "Новопетровское ПТО ЖКХ"</t>
  </si>
  <si>
    <t>5017030348</t>
  </si>
  <si>
    <t>28236959</t>
  </si>
  <si>
    <t>МФТИ</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</si>
  <si>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</si>
  <si>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</si>
  <si>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</si>
  <si>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</si>
  <si>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26789256</t>
  </si>
  <si>
    <t>Московская КЭЧ района</t>
  </si>
  <si>
    <t>7709216845</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</si>
  <si>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</si>
  <si>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</si>
  <si>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</si>
  <si>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</si>
  <si>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</si>
  <si>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</si>
  <si>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26357593</t>
  </si>
  <si>
    <t>Московский коксогазовый завод</t>
  </si>
  <si>
    <t>5005001180</t>
  </si>
  <si>
    <t>30913903</t>
  </si>
  <si>
    <t>Московский областной филиал ООО "МЕЧЕЛ-ЭНЕРГО"</t>
  </si>
  <si>
    <t>7722245108</t>
  </si>
  <si>
    <t>500343001</t>
  </si>
  <si>
    <t>15-01-2010 00:00:00</t>
  </si>
  <si>
    <t>02-01-2019 00:00:00</t>
  </si>
  <si>
    <t>26357598</t>
  </si>
  <si>
    <t>НИТУ "МИСИС"</t>
  </si>
  <si>
    <t>7706019535</t>
  </si>
  <si>
    <t>770601005</t>
  </si>
  <si>
    <t>28145252</t>
  </si>
  <si>
    <t>НИЦ "Курчатовский институт"- ИФВЭ</t>
  </si>
  <si>
    <t>5037007869</t>
  </si>
  <si>
    <t>17-04-2012 00:00:00</t>
  </si>
  <si>
    <t>26504930</t>
  </si>
  <si>
    <t>НИЦ ЭРАТ (г. Люберцы)ФГУ «4 ЦНИИ Минобороны России"</t>
  </si>
  <si>
    <t>5027037198</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</si>
  <si>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</si>
  <si>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</si>
  <si>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</si>
  <si>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</si>
  <si>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</si>
  <si>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</si>
  <si>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26357721</t>
  </si>
  <si>
    <t>Нахабинская КЭЧ</t>
  </si>
  <si>
    <t>5024000150</t>
  </si>
  <si>
    <t>26358054</t>
  </si>
  <si>
    <t>ОАО " Шишкин лес"</t>
  </si>
  <si>
    <t>5074030182</t>
  </si>
  <si>
    <t>26514101</t>
  </si>
  <si>
    <t>ОАО "АК "Рубин"</t>
  </si>
  <si>
    <t>5001000034</t>
  </si>
  <si>
    <t>26357696</t>
  </si>
  <si>
    <t>ОАО "Агросервис"</t>
  </si>
  <si>
    <t>5019007746</t>
  </si>
  <si>
    <t>26357693</t>
  </si>
  <si>
    <t>ОАО "Байсад-Кашира"</t>
  </si>
  <si>
    <t>5019002730</t>
  </si>
  <si>
    <t>26357540</t>
  </si>
  <si>
    <t>ОАО "Балашихинский литейно-механический завод"</t>
  </si>
  <si>
    <t>5001000027</t>
  </si>
  <si>
    <t>26357741</t>
  </si>
  <si>
    <t>ОАО "Белая Дача"</t>
  </si>
  <si>
    <t>5027026407</t>
  </si>
  <si>
    <t>26357623</t>
  </si>
  <si>
    <t>ОАО "Белостолбовский кирпичный завод"</t>
  </si>
  <si>
    <t>5009008934</t>
  </si>
  <si>
    <t>14-11-2019 00:00:00</t>
  </si>
  <si>
    <t>26358058</t>
  </si>
  <si>
    <t>ОАО "Бикор"</t>
  </si>
  <si>
    <t>5075002999</t>
  </si>
  <si>
    <t>14-02-2019 00:00:00</t>
  </si>
  <si>
    <t>26357725</t>
  </si>
  <si>
    <t>ОАО "Биомед им.И.И.Мечникова"</t>
  </si>
  <si>
    <t>5024010960</t>
  </si>
  <si>
    <t>26357964</t>
  </si>
  <si>
    <t>ОАО "Веста"</t>
  </si>
  <si>
    <t>5044020204</t>
  </si>
  <si>
    <t>26506459</t>
  </si>
  <si>
    <t>ОАО "Вешки"</t>
  </si>
  <si>
    <t>5029004007</t>
  </si>
  <si>
    <t>27517702</t>
  </si>
  <si>
    <t>ОАО "Водоканал Московской области"</t>
  </si>
  <si>
    <t>5056011395</t>
  </si>
  <si>
    <t>26508621</t>
  </si>
  <si>
    <t>ОАО "Воскресенск-Техноткань"</t>
  </si>
  <si>
    <t>5005000518</t>
  </si>
  <si>
    <t>26357815</t>
  </si>
  <si>
    <t>ОАО "ГКЗ"</t>
  </si>
  <si>
    <t>5032000108</t>
  </si>
  <si>
    <t>26-10-1992 00:00:00</t>
  </si>
  <si>
    <t>27581489</t>
  </si>
  <si>
    <t>ОАО "ГТ-ТЭЦ Энерго"</t>
  </si>
  <si>
    <t>7703311228</t>
  </si>
  <si>
    <t>26357918</t>
  </si>
  <si>
    <t>ОАО "Гжельский кирпичный завод"</t>
  </si>
  <si>
    <t>5040010068</t>
  </si>
  <si>
    <t>26357586</t>
  </si>
  <si>
    <t>ОАО "Городская коммунальная служба"</t>
  </si>
  <si>
    <t>5004016120</t>
  </si>
  <si>
    <t>26357748</t>
  </si>
  <si>
    <t>ОАО "ДОК №13"</t>
  </si>
  <si>
    <t>5027034849</t>
  </si>
  <si>
    <t>26508864</t>
  </si>
  <si>
    <t>ОАО "Даном"</t>
  </si>
  <si>
    <t>7727208050</t>
  </si>
  <si>
    <t>26358041</t>
  </si>
  <si>
    <t>ОАО "Демиховский машиностроительный завод"</t>
  </si>
  <si>
    <t>5073050010</t>
  </si>
  <si>
    <t>774550001</t>
  </si>
  <si>
    <t>26353593</t>
  </si>
  <si>
    <t>ОАО "Дмитровское"</t>
  </si>
  <si>
    <t>5049017702</t>
  </si>
  <si>
    <t>26358053</t>
  </si>
  <si>
    <t>ОАО "Дубровицы"</t>
  </si>
  <si>
    <t>5074030168</t>
  </si>
  <si>
    <t>26357639</t>
  </si>
  <si>
    <t>ОАО "Егорьевск-обувь"</t>
  </si>
  <si>
    <t>5011017647</t>
  </si>
  <si>
    <t>26357831</t>
  </si>
  <si>
    <t>ОАО "ЖКХ "Горки-Х"</t>
  </si>
  <si>
    <t>5032199652</t>
  </si>
  <si>
    <t>26357974</t>
  </si>
  <si>
    <t>ОАО "Жилевский завод пластмасс"</t>
  </si>
  <si>
    <t>5045009531</t>
  </si>
  <si>
    <t>26773039</t>
  </si>
  <si>
    <t>ОАО "Завод Микропровод"</t>
  </si>
  <si>
    <t>5036013524</t>
  </si>
  <si>
    <t>26357731</t>
  </si>
  <si>
    <t>ОАО "КАПО"</t>
  </si>
  <si>
    <t>5024043796</t>
  </si>
  <si>
    <t>06-12-2017 00:00:00</t>
  </si>
  <si>
    <t>26357937</t>
  </si>
  <si>
    <t>ОАО "КРЭП" п.Лоза</t>
  </si>
  <si>
    <t>5042004743</t>
  </si>
  <si>
    <t>26357788</t>
  </si>
  <si>
    <t>ОАО "Караваево"</t>
  </si>
  <si>
    <t>5031002293</t>
  </si>
  <si>
    <t>26783214</t>
  </si>
  <si>
    <t>ОАО "Каскад"</t>
  </si>
  <si>
    <t>5034017900</t>
  </si>
  <si>
    <t>26361015</t>
  </si>
  <si>
    <t>ОАО "Климатехника"</t>
  </si>
  <si>
    <t>7710088186</t>
  </si>
  <si>
    <t>13-01-1993 00:00:00</t>
  </si>
  <si>
    <t>26357701</t>
  </si>
  <si>
    <t>ОАО "Клинстройдеталь"</t>
  </si>
  <si>
    <t>5020002012</t>
  </si>
  <si>
    <t>26358034</t>
  </si>
  <si>
    <t>ОАО "Коломенский опытный мясокомбинат"</t>
  </si>
  <si>
    <t>5070000268</t>
  </si>
  <si>
    <t>26357714</t>
  </si>
  <si>
    <t>ОАО "КоломнаТЕКМАШ"</t>
  </si>
  <si>
    <t>5022014060</t>
  </si>
  <si>
    <t>26357934</t>
  </si>
  <si>
    <t>ОАО "Комбинат ЖБИ"</t>
  </si>
  <si>
    <t>5042002506</t>
  </si>
  <si>
    <t>26357728</t>
  </si>
  <si>
    <t>ОАО "Красногорский завод им.С.А.Зверева"</t>
  </si>
  <si>
    <t>5024022965</t>
  </si>
  <si>
    <t>509950002</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</si>
  <si>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</si>
  <si>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</si>
  <si>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</si>
  <si>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</si>
  <si>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</si>
  <si>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</si>
  <si>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</si>
  <si>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</si>
  <si>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</si>
  <si>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</si>
  <si>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</si>
  <si>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26514099</t>
  </si>
  <si>
    <t>ОАО "Люберецкий Завод Монтажавтоматика"</t>
  </si>
  <si>
    <t>5027070580</t>
  </si>
  <si>
    <t>502700001</t>
  </si>
  <si>
    <t>26358009</t>
  </si>
  <si>
    <t>ОАО "ММК-Профиль-Москва"</t>
  </si>
  <si>
    <t>5050014030</t>
  </si>
  <si>
    <t>28237062</t>
  </si>
  <si>
    <t>ОАО "МОЭК-Генерация"</t>
  </si>
  <si>
    <t>7720615579</t>
  </si>
  <si>
    <t>14-04-2017 00:00:00</t>
  </si>
  <si>
    <t>26357885</t>
  </si>
  <si>
    <t>ОАО "Машиностроительный завод  "ЗиО-Подольск"</t>
  </si>
  <si>
    <t>26358027</t>
  </si>
  <si>
    <t>ОАО "Машиностроительный завод"</t>
  </si>
  <si>
    <t>5053005918</t>
  </si>
  <si>
    <t>26357926</t>
  </si>
  <si>
    <t>ОАО "Медтрэйд"</t>
  </si>
  <si>
    <t>5041001980</t>
  </si>
  <si>
    <t>26536148</t>
  </si>
  <si>
    <t>ОАО "Мишеронское"</t>
  </si>
  <si>
    <t>5049017646</t>
  </si>
  <si>
    <t>26409938</t>
  </si>
  <si>
    <t>ОАО "Московская теплосетевая компания"</t>
  </si>
  <si>
    <t>7705654252</t>
  </si>
  <si>
    <t>01-10-2012 00:00:00</t>
  </si>
  <si>
    <t>26508638</t>
  </si>
  <si>
    <t>ОАО "Московский завод "Кристалл" филиал "Корыстово"</t>
  </si>
  <si>
    <t>7722019116</t>
  </si>
  <si>
    <t>501902001</t>
  </si>
  <si>
    <t>26791506</t>
  </si>
  <si>
    <t>ОАО "Московское" по племенной работе</t>
  </si>
  <si>
    <t>5031066307</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</si>
  <si>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</si>
  <si>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</si>
  <si>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</si>
  <si>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</si>
  <si>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</si>
  <si>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</si>
  <si>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</si>
  <si>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</si>
  <si>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</si>
  <si>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</si>
  <si>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</si>
  <si>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</si>
  <si>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</si>
  <si>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26357876</t>
  </si>
  <si>
    <t>ОАО "Народное предприятие Подольсккабель"</t>
  </si>
  <si>
    <t>5036002480</t>
  </si>
  <si>
    <t>26358055</t>
  </si>
  <si>
    <t>ОАО "Наш дом"</t>
  </si>
  <si>
    <t>5074030552</t>
  </si>
  <si>
    <t>20-03-2019 00:00:00</t>
  </si>
  <si>
    <t>26357673</t>
  </si>
  <si>
    <t>ОАО "Ново-Иерусалимский кирпичный завод"</t>
  </si>
  <si>
    <t>5017014441</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</si>
  <si>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</si>
  <si>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</si>
  <si>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</si>
  <si>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</si>
  <si>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</si>
  <si>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</si>
  <si>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</si>
  <si>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</si>
  <si>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</si>
  <si>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</si>
  <si>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26357883</t>
  </si>
  <si>
    <t>ОАО "Опытный завод "Луч"</t>
  </si>
  <si>
    <t>5036012986</t>
  </si>
  <si>
    <t>26548035</t>
  </si>
  <si>
    <t>ОАО "Орловское"</t>
  </si>
  <si>
    <t>5050080402</t>
  </si>
  <si>
    <t>22-09-2009 00:00:00</t>
  </si>
  <si>
    <t>26357665</t>
  </si>
  <si>
    <t>ОАО "Оснастка"</t>
  </si>
  <si>
    <t>5016003006</t>
  </si>
  <si>
    <t>18-07-1997 00:00:00</t>
  </si>
  <si>
    <t>28079626</t>
  </si>
  <si>
    <t>ОАО "Осташевское ПТП ЖКХ"</t>
  </si>
  <si>
    <t>5004024717</t>
  </si>
  <si>
    <t>28441737</t>
  </si>
  <si>
    <t>ОАО "ПМК-15"</t>
  </si>
  <si>
    <t>5074001230</t>
  </si>
  <si>
    <t>26357614</t>
  </si>
  <si>
    <t>ОАО "ПО "ТОС"</t>
  </si>
  <si>
    <t>5008000202</t>
  </si>
  <si>
    <t>26783320</t>
  </si>
  <si>
    <t>ОАО "ПТФ "Энергоприбор"</t>
  </si>
  <si>
    <t>5035016402</t>
  </si>
  <si>
    <t>26357867</t>
  </si>
  <si>
    <t>ОАО "Павлово-Посадский камвольщик"</t>
  </si>
  <si>
    <t>5035003185</t>
  </si>
  <si>
    <t>26358070</t>
  </si>
  <si>
    <t>ОАО "Пансионат "Рождественское"</t>
  </si>
  <si>
    <t>5077001334</t>
  </si>
  <si>
    <t>26357827</t>
  </si>
  <si>
    <t>ОАО "Пансионат с лечением Солнечная поляна"</t>
  </si>
  <si>
    <t>5032022630</t>
  </si>
  <si>
    <t>26360357</t>
  </si>
  <si>
    <t>ОАО "Первая генерирующая компания оптового рынка электроэнергии»</t>
  </si>
  <si>
    <t>7203158282</t>
  </si>
  <si>
    <t>26548339</t>
  </si>
  <si>
    <t>ОАО "Песковский комбинат строительных материалов"</t>
  </si>
  <si>
    <t>5070000042</t>
  </si>
  <si>
    <t>26358043</t>
  </si>
  <si>
    <t>ОАО "Подольская  механизированная колонна №15"</t>
  </si>
  <si>
    <t>26357888</t>
  </si>
  <si>
    <t>ОАО "Подольская теплоэнергетическая компания"</t>
  </si>
  <si>
    <t>5036056101</t>
  </si>
  <si>
    <t>26357874</t>
  </si>
  <si>
    <t>ОАО "Подольский химико- металлургический завод"</t>
  </si>
  <si>
    <t>5036001060</t>
  </si>
  <si>
    <t>26357879</t>
  </si>
  <si>
    <t>ОАО "Подольский хлебокомбинат"</t>
  </si>
  <si>
    <t>5036004939</t>
  </si>
  <si>
    <t>26357875</t>
  </si>
  <si>
    <t>ОАО "Подольский экспериментальный мукомольный завод"</t>
  </si>
  <si>
    <t>5036002339</t>
  </si>
  <si>
    <t>26357881</t>
  </si>
  <si>
    <t>ОАО "Подольский электромеханический завод"</t>
  </si>
  <si>
    <t>5036007545</t>
  </si>
  <si>
    <t>26774750</t>
  </si>
  <si>
    <t>ОАО "Позит"</t>
  </si>
  <si>
    <t>5038011787</t>
  </si>
  <si>
    <t>26568954</t>
  </si>
  <si>
    <t>ОАО "Предприятие ЖКХ "Шарапово"</t>
  </si>
  <si>
    <t>5032199902</t>
  </si>
  <si>
    <t>26357863</t>
  </si>
  <si>
    <t>ОАО "Прибордеталь"</t>
  </si>
  <si>
    <t>5034050200</t>
  </si>
  <si>
    <t>28817352</t>
  </si>
  <si>
    <t>ОАО "Прогресс"</t>
  </si>
  <si>
    <t>5049021561</t>
  </si>
  <si>
    <t>505501001</t>
  </si>
  <si>
    <t>28237030</t>
  </si>
  <si>
    <t>ОАО "Пушкинская Теплосеть"</t>
  </si>
  <si>
    <t>5038088317</t>
  </si>
  <si>
    <t>01-02-2012 00:00:00</t>
  </si>
  <si>
    <t>26357904</t>
  </si>
  <si>
    <t>ОАО "Пушкинский текстиль"</t>
  </si>
  <si>
    <t>5038015478</t>
  </si>
  <si>
    <t>26357899</t>
  </si>
  <si>
    <t>ОАО "Пушкинский электромеханический завод"</t>
  </si>
  <si>
    <t>5038010790</t>
  </si>
  <si>
    <t>26650302</t>
  </si>
  <si>
    <t>ОАО "РЖД"</t>
  </si>
  <si>
    <t>997650003</t>
  </si>
  <si>
    <t>31-03-2012 00:00:00</t>
  </si>
  <si>
    <t>26628224</t>
  </si>
  <si>
    <t>ОАО "РЖД" (Дирекция по тепловодоснабжению - СП Октябрьской железной дороги - филиала ОАО "РЖД")</t>
  </si>
  <si>
    <t>780445002</t>
  </si>
  <si>
    <t>26-11-2010 00:00:00</t>
  </si>
  <si>
    <t>01-04-2011 00:00:00</t>
  </si>
  <si>
    <t>26772226</t>
  </si>
  <si>
    <t>ОАО "РЖД" филиал Московской дирекции по ремонту пути ПМС №4</t>
  </si>
  <si>
    <t>770831027</t>
  </si>
  <si>
    <t>26567489</t>
  </si>
  <si>
    <t>ОАО "РЭП "Жаворонки"</t>
  </si>
  <si>
    <t>5032200001</t>
  </si>
  <si>
    <t>26357840</t>
  </si>
  <si>
    <t>ОАО "РЭП Старый Городок"</t>
  </si>
  <si>
    <t>5032199910</t>
  </si>
  <si>
    <t>26357924</t>
  </si>
  <si>
    <t>ОАО "Раменские коммунальные системы"</t>
  </si>
  <si>
    <t>5040062796</t>
  </si>
  <si>
    <t>26358047</t>
  </si>
  <si>
    <t>ОАО "Рязаново"</t>
  </si>
  <si>
    <t>5074030175</t>
  </si>
  <si>
    <t>26358069</t>
  </si>
  <si>
    <t>ОАО "Санаторий "Авангард"</t>
  </si>
  <si>
    <t>5077001327</t>
  </si>
  <si>
    <t>26548419</t>
  </si>
  <si>
    <t>21-04-1994 00:00:00</t>
  </si>
  <si>
    <t>22-03-2022 00:00:00</t>
  </si>
  <si>
    <t>26548443</t>
  </si>
  <si>
    <t>ОАО "Санаторий Поречье"</t>
  </si>
  <si>
    <t>5015000299</t>
  </si>
  <si>
    <t>18-01-1993 00:00:00</t>
  </si>
  <si>
    <t>26358013</t>
  </si>
  <si>
    <t>ОАО "Славия текстиль"</t>
  </si>
  <si>
    <t>5050022376</t>
  </si>
  <si>
    <t>26510915</t>
  </si>
  <si>
    <t>ОАО "Снегиревские огнеупоры"</t>
  </si>
  <si>
    <t>5017000505</t>
  </si>
  <si>
    <t>26357960</t>
  </si>
  <si>
    <t>ОАО "Солнечногорский стекольный завод"</t>
  </si>
  <si>
    <t>5044000053</t>
  </si>
  <si>
    <t>26357900</t>
  </si>
  <si>
    <t>ОАО "Софринский экспериментально-механический завод"</t>
  </si>
  <si>
    <t>5038012283</t>
  </si>
  <si>
    <t>26361040</t>
  </si>
  <si>
    <t>ОАО "Спартакэнерго"</t>
  </si>
  <si>
    <t>7719252306</t>
  </si>
  <si>
    <t>771301001</t>
  </si>
  <si>
    <t>26360932</t>
  </si>
  <si>
    <t>ОАО "Спецсетьстрой"</t>
  </si>
  <si>
    <t>7705041224</t>
  </si>
  <si>
    <t>28076876</t>
  </si>
  <si>
    <t>ОАО "Сычевское ПТП ЖКХ"</t>
  </si>
  <si>
    <t>5004024481</t>
  </si>
  <si>
    <t>24-02-2012 00:00:00</t>
  </si>
  <si>
    <t>26548019</t>
  </si>
  <si>
    <t>ОАО "Талдомские коммунальные системы"</t>
  </si>
  <si>
    <t>5078019510</t>
  </si>
  <si>
    <t>26548124</t>
  </si>
  <si>
    <t>ОАО "Текстильная фирма "Возрождение"</t>
  </si>
  <si>
    <t>5003001178</t>
  </si>
  <si>
    <t>01-11-1999 00:00:00</t>
  </si>
  <si>
    <t>26358020</t>
  </si>
  <si>
    <t>ОАО "Теплосеть 1+"</t>
  </si>
  <si>
    <t>5050047564</t>
  </si>
  <si>
    <t>26783906</t>
  </si>
  <si>
    <t>ОАО "Теплосеть"</t>
  </si>
  <si>
    <t>26358022</t>
  </si>
  <si>
    <t>ОАО "Теплосеть-Инвест"</t>
  </si>
  <si>
    <t>5050055205</t>
  </si>
  <si>
    <t>26357703</t>
  </si>
  <si>
    <t>ОАО "Термоприбор"</t>
  </si>
  <si>
    <t>5020002728</t>
  </si>
  <si>
    <t>26354066</t>
  </si>
  <si>
    <t>ОАО "Техническое решение"</t>
  </si>
  <si>
    <t>5022068139</t>
  </si>
  <si>
    <t>26353832</t>
  </si>
  <si>
    <t>ОАО "Торговый дом "ЗЛКЗ"</t>
  </si>
  <si>
    <t>0411095376</t>
  </si>
  <si>
    <t>26508597</t>
  </si>
  <si>
    <t>ОАО "Фетр"</t>
  </si>
  <si>
    <t>26361080</t>
  </si>
  <si>
    <t>ОАО "Химволокно"</t>
  </si>
  <si>
    <t>5043000117</t>
  </si>
  <si>
    <t>26357700</t>
  </si>
  <si>
    <t>ОАО "Химлаборприбор"</t>
  </si>
  <si>
    <t>5020000618</t>
  </si>
  <si>
    <t>26511923</t>
  </si>
  <si>
    <t>ОАО "ЦИТЭО"</t>
  </si>
  <si>
    <t>5047082632</t>
  </si>
  <si>
    <t>26793286</t>
  </si>
  <si>
    <t>ОАО "Чеховская энергетическая компания"</t>
  </si>
  <si>
    <t>5048015413</t>
  </si>
  <si>
    <t>26357995</t>
  </si>
  <si>
    <t>ОАО "Чеховский завод Гидросталь"</t>
  </si>
  <si>
    <t>5048080606</t>
  </si>
  <si>
    <t>26358018</t>
  </si>
  <si>
    <t>ОАО "Щелковский завод ВДМ"</t>
  </si>
  <si>
    <t>5050042936</t>
  </si>
  <si>
    <t>28982612</t>
  </si>
  <si>
    <t>ОАО "ЭКЗ"</t>
  </si>
  <si>
    <t>5047001778</t>
  </si>
  <si>
    <t>504701101</t>
  </si>
  <si>
    <t>14-11-2002 00:00:00</t>
  </si>
  <si>
    <t>26357983</t>
  </si>
  <si>
    <t>ОАО "Экспериментальный керамический завод"</t>
  </si>
  <si>
    <t>26358025</t>
  </si>
  <si>
    <t>ОАО "Электростальский завод тяжелого машиностроения"</t>
  </si>
  <si>
    <t>5053000564</t>
  </si>
  <si>
    <t>26358007</t>
  </si>
  <si>
    <t>ОАО "Эна"</t>
  </si>
  <si>
    <t>5050011790</t>
  </si>
  <si>
    <t>26357905</t>
  </si>
  <si>
    <t>ОАО "Энергия"</t>
  </si>
  <si>
    <t>5038016104</t>
  </si>
  <si>
    <t>23-12-1993 00:00:00</t>
  </si>
  <si>
    <t>26358019</t>
  </si>
  <si>
    <t>ОАО "Энергоресурсы"</t>
  </si>
  <si>
    <t>5050046112</t>
  </si>
  <si>
    <t>26504866</t>
  </si>
  <si>
    <t>ОАО «342 Механический завод»</t>
  </si>
  <si>
    <t>5009002001</t>
  </si>
  <si>
    <t>26357745</t>
  </si>
  <si>
    <t>ОАО «Радар-2633»</t>
  </si>
  <si>
    <t>5027149374</t>
  </si>
  <si>
    <t>26568952</t>
  </si>
  <si>
    <t>ОАО ЖКХ "Наро-Осановское"</t>
  </si>
  <si>
    <t>5032199596</t>
  </si>
  <si>
    <t>27614901</t>
  </si>
  <si>
    <t>ОАО ЛЗОС</t>
  </si>
  <si>
    <t>26548279</t>
  </si>
  <si>
    <t>ОАО ОК "Софрино"</t>
  </si>
  <si>
    <t>5038040883</t>
  </si>
  <si>
    <t>26357861</t>
  </si>
  <si>
    <t>ОАО ООМЗ "Транспрогресс"</t>
  </si>
  <si>
    <t>5034050136</t>
  </si>
  <si>
    <t>26357822</t>
  </si>
  <si>
    <t>ОАО РЭП "Голицыно"</t>
  </si>
  <si>
    <t>5032199589</t>
  </si>
  <si>
    <t>26357828</t>
  </si>
  <si>
    <t>ОАО РЭП "Немчиновка"</t>
  </si>
  <si>
    <t>5032199998</t>
  </si>
  <si>
    <t>26504922</t>
  </si>
  <si>
    <t>ОАО ХК «Коломенский завод»</t>
  </si>
  <si>
    <t>5022013517</t>
  </si>
  <si>
    <t>26357865</t>
  </si>
  <si>
    <t>ОАО Электрогорский опытно-экспериментальный завод "Элеон"</t>
  </si>
  <si>
    <t>5035001614</t>
  </si>
  <si>
    <t>26357747</t>
  </si>
  <si>
    <t>ОАО"Камов"</t>
  </si>
  <si>
    <t>5027033274</t>
  </si>
  <si>
    <t>26357985</t>
  </si>
  <si>
    <t>ОАО"Московский экспериментальный завод ДСП и Д"</t>
  </si>
  <si>
    <t>5047005980</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</si>
  <si>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</si>
  <si>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</si>
  <si>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</si>
  <si>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</si>
  <si>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</si>
  <si>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</si>
  <si>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</si>
  <si>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</si>
  <si>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</si>
  <si>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</si>
  <si>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</si>
  <si>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</si>
  <si>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</si>
  <si>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</si>
  <si>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</si>
  <si>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</si>
  <si>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</si>
  <si>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26357689</t>
  </si>
  <si>
    <t>ООО "160 ДСК"</t>
  </si>
  <si>
    <t>5018180402</t>
  </si>
  <si>
    <t>12-08-2015 00:00:00</t>
  </si>
  <si>
    <t>28143360</t>
  </si>
  <si>
    <t>ООО "54 ПК"</t>
  </si>
  <si>
    <t>5007079834</t>
  </si>
  <si>
    <t>04-08-2011 00:00:00</t>
  </si>
  <si>
    <t>11-05-2017 00:00:00</t>
  </si>
  <si>
    <t>30913847</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</si>
  <si>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</si>
  <si>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</si>
  <si>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</si>
  <si>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</si>
  <si>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</si>
  <si>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</si>
  <si>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</si>
  <si>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</si>
  <si>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</si>
  <si>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</si>
  <si>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</si>
  <si>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</si>
  <si>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</si>
  <si>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</si>
  <si>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</si>
  <si>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</si>
  <si>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</si>
  <si>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</si>
  <si>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</si>
  <si>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</si>
  <si>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</si>
  <si>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</si>
  <si>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</si>
  <si>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</si>
  <si>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</si>
  <si>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</si>
  <si>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</si>
  <si>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</si>
  <si>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26360941</t>
  </si>
  <si>
    <t>ООО "Альгида"</t>
  </si>
  <si>
    <t>7705664846</t>
  </si>
  <si>
    <t>770501001</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</si>
  <si>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</si>
  <si>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</si>
  <si>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</si>
  <si>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</si>
  <si>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</si>
  <si>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</si>
  <si>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</si>
  <si>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</si>
  <si>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</si>
  <si>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</si>
  <si>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</si>
  <si>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</si>
  <si>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</si>
  <si>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</si>
  <si>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</si>
  <si>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</si>
  <si>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</si>
  <si>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</si>
  <si>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</si>
  <si>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</si>
  <si>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</si>
  <si>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</si>
  <si>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</si>
  <si>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</si>
  <si>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</si>
  <si>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</si>
  <si>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</si>
  <si>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</si>
  <si>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</si>
  <si>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</si>
  <si>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</si>
  <si>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</si>
  <si>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</si>
  <si>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28059211</t>
  </si>
  <si>
    <t>ООО "Балашиха-Сити"</t>
  </si>
  <si>
    <t>5001047530</t>
  </si>
  <si>
    <t>774501001</t>
  </si>
  <si>
    <t>26357549</t>
  </si>
  <si>
    <t>ООО "Балашихинское коммунальное хозяйство"</t>
  </si>
  <si>
    <t>5001042852</t>
  </si>
  <si>
    <t>31644632</t>
  </si>
  <si>
    <t>ООО "Бауцентр"</t>
  </si>
  <si>
    <t>7707837396</t>
  </si>
  <si>
    <t>770701001</t>
  </si>
  <si>
    <t>25-06-2014 00:00:00</t>
  </si>
  <si>
    <t>26510020</t>
  </si>
  <si>
    <t>ООО "Белый парус- энергосервис"</t>
  </si>
  <si>
    <t>5001061291</t>
  </si>
  <si>
    <t>27518630</t>
  </si>
  <si>
    <t>ООО "Березовские коммунальные системы"</t>
  </si>
  <si>
    <t>5044076084</t>
  </si>
  <si>
    <t>31249207</t>
  </si>
  <si>
    <t>ООО "Большое Домодедово"</t>
  </si>
  <si>
    <t>5009064512</t>
  </si>
  <si>
    <t>28978586</t>
  </si>
  <si>
    <t>ООО "ВЕКТОР"</t>
  </si>
  <si>
    <t>5078021799</t>
  </si>
  <si>
    <t>02-04-2015 00:00:00</t>
  </si>
  <si>
    <t>28047622</t>
  </si>
  <si>
    <t>ООО "ВЕКТОР-V"</t>
  </si>
  <si>
    <t>5042116831</t>
  </si>
  <si>
    <t>26357782</t>
  </si>
  <si>
    <t>ООО "ВЕРЕЯ-ТЕПЛО"</t>
  </si>
  <si>
    <t>5030058060</t>
  </si>
  <si>
    <t>28-07-2020 00:00:00</t>
  </si>
  <si>
    <t>26357583</t>
  </si>
  <si>
    <t>ООО "ВТК"</t>
  </si>
  <si>
    <t>5004018752</t>
  </si>
  <si>
    <t>28149509</t>
  </si>
  <si>
    <t>ООО "ВТКХ"</t>
  </si>
  <si>
    <t>5072003225</t>
  </si>
  <si>
    <t>31334932</t>
  </si>
  <si>
    <t>ООО "ВТЭ"</t>
  </si>
  <si>
    <t>7736316207</t>
  </si>
  <si>
    <t>773601001</t>
  </si>
  <si>
    <t>26548197</t>
  </si>
  <si>
    <t>ООО "Вега"</t>
  </si>
  <si>
    <t>5050071140</t>
  </si>
  <si>
    <t>28979896</t>
  </si>
  <si>
    <t>5003113185</t>
  </si>
  <si>
    <t>24-03-2015 00:00:00</t>
  </si>
  <si>
    <t>26504761</t>
  </si>
  <si>
    <t>ООО "Веста-НТК"</t>
  </si>
  <si>
    <t>5012042396</t>
  </si>
  <si>
    <t>26357574</t>
  </si>
  <si>
    <t>ООО "Воскресенские тепловые сети"</t>
  </si>
  <si>
    <t>5003028155</t>
  </si>
  <si>
    <t>30402707</t>
  </si>
  <si>
    <t>ООО "Восход"</t>
  </si>
  <si>
    <t>7708587558</t>
  </si>
  <si>
    <t>25-01-2006 00:00:00</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</si>
  <si>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</si>
  <si>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</si>
  <si>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</si>
  <si>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</si>
  <si>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</si>
  <si>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</si>
  <si>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</si>
  <si>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</si>
  <si>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</si>
  <si>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</si>
  <si>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</si>
  <si>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</si>
  <si>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</si>
  <si>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</si>
  <si>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</si>
  <si>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</si>
  <si>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</si>
  <si>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</si>
  <si>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</si>
  <si>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26361017</t>
  </si>
  <si>
    <t>ООО "ГлавГрадоСтрой"</t>
  </si>
  <si>
    <t>7710532690</t>
  </si>
  <si>
    <t>26357577</t>
  </si>
  <si>
    <t>ООО "Глобал Газис энд Энерджи"</t>
  </si>
  <si>
    <t>5003052782</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</si>
  <si>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</si>
  <si>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</si>
  <si>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</si>
  <si>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</si>
  <si>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</si>
  <si>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</si>
  <si>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</si>
  <si>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</si>
  <si>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</si>
  <si>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</si>
  <si>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</si>
  <si>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28444216</t>
  </si>
  <si>
    <t>ООО "ДИСКОМ"</t>
  </si>
  <si>
    <t>7733516938</t>
  </si>
  <si>
    <t>773401001</t>
  </si>
  <si>
    <t>15-03-2004 00:00:00</t>
  </si>
  <si>
    <t>26504864</t>
  </si>
  <si>
    <t>ООО "ДОЗАКЛ"</t>
  </si>
  <si>
    <t>5007057012</t>
  </si>
  <si>
    <t>31008158</t>
  </si>
  <si>
    <t>ООО "ДОМОДЕДОВО ЭРФИЛД"</t>
  </si>
  <si>
    <t>5009097148</t>
  </si>
  <si>
    <t>31615776</t>
  </si>
  <si>
    <t>ООО "ДОС"</t>
  </si>
  <si>
    <t>5042158415</t>
  </si>
  <si>
    <t>28463877</t>
  </si>
  <si>
    <t>ООО "Деловой центр на Смирновской"</t>
  </si>
  <si>
    <t>5027121227</t>
  </si>
  <si>
    <t>26356796</t>
  </si>
  <si>
    <t>ООО "Дзержинские коммунальные сети"</t>
  </si>
  <si>
    <t>4004402685</t>
  </si>
  <si>
    <t>30832552</t>
  </si>
  <si>
    <t>ООО "Диском Сервис"</t>
  </si>
  <si>
    <t>7707083893</t>
  </si>
  <si>
    <t>30-08-2012 00:00:00</t>
  </si>
  <si>
    <t>31231979</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</si>
  <si>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</si>
  <si>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</si>
  <si>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</si>
  <si>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</si>
  <si>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</si>
  <si>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</si>
  <si>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</si>
  <si>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</si>
  <si>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</si>
  <si>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</si>
  <si>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</si>
  <si>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</si>
  <si>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</si>
  <si>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26357910</t>
  </si>
  <si>
    <t>ООО "Дом"</t>
  </si>
  <si>
    <t>5038042538</t>
  </si>
  <si>
    <t>28149040</t>
  </si>
  <si>
    <t>ООО "Драйв"</t>
  </si>
  <si>
    <t>7710541127</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</si>
  <si>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</si>
  <si>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</si>
  <si>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</si>
  <si>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</si>
  <si>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</si>
  <si>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</si>
  <si>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</si>
  <si>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</si>
  <si>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</si>
  <si>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</si>
  <si>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</si>
  <si>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</si>
  <si>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</si>
  <si>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</si>
  <si>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</si>
  <si>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</si>
  <si>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26535510</t>
  </si>
  <si>
    <t>ООО "ЖК- Гусарская баллада"</t>
  </si>
  <si>
    <t>5032171752</t>
  </si>
  <si>
    <t>26360940</t>
  </si>
  <si>
    <t>ООО "ЖК-Эксплуатация"</t>
  </si>
  <si>
    <t>7705614595</t>
  </si>
  <si>
    <t>28546954</t>
  </si>
  <si>
    <t>ООО "ЖКО"</t>
  </si>
  <si>
    <t>7729775249</t>
  </si>
  <si>
    <t>504545001</t>
  </si>
  <si>
    <t>28049559</t>
  </si>
  <si>
    <t>ООО "ЖКУ Аксиньино"</t>
  </si>
  <si>
    <t>5045050145</t>
  </si>
  <si>
    <t>28049497</t>
  </si>
  <si>
    <t>ООО "ЖКХ Н. Ступино"</t>
  </si>
  <si>
    <t>5045052079</t>
  </si>
  <si>
    <t>28257193</t>
  </si>
  <si>
    <t>ООО "ЖКХ"</t>
  </si>
  <si>
    <t>5045053717</t>
  </si>
  <si>
    <t>31-05-2013 00:00:00</t>
  </si>
  <si>
    <t>26357969</t>
  </si>
  <si>
    <t>ООО "ЖилБытСервис"</t>
  </si>
  <si>
    <t>5044058462</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</si>
  <si>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</si>
  <si>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</si>
  <si>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</si>
  <si>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</si>
  <si>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</si>
  <si>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</si>
  <si>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</si>
  <si>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</si>
  <si>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</si>
  <si>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</si>
  <si>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</si>
  <si>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</si>
  <si>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</si>
  <si>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</si>
  <si>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</si>
  <si>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</si>
  <si>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</si>
  <si>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</si>
  <si>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</si>
  <si>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</si>
  <si>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</si>
  <si>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</si>
  <si>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</si>
  <si>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</si>
  <si>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28425515</t>
  </si>
  <si>
    <t>ООО "ИНВЕСТСТРОЙКОМ"</t>
  </si>
  <si>
    <t>5021010834</t>
  </si>
  <si>
    <t>30877556</t>
  </si>
  <si>
    <t>ООО "ИНВЕСТСТРОЙКОМ-Т"</t>
  </si>
  <si>
    <t>5012040222</t>
  </si>
  <si>
    <t>20-03-2007 00:00:00</t>
  </si>
  <si>
    <t>27554274</t>
  </si>
  <si>
    <t>ООО "ИСК Славянская"</t>
  </si>
  <si>
    <t>7707298747</t>
  </si>
  <si>
    <t>26357667</t>
  </si>
  <si>
    <t>ООО "ИТ Энергосбыт"</t>
  </si>
  <si>
    <t>5038120345</t>
  </si>
  <si>
    <t>22-03-2016 00:00:00</t>
  </si>
  <si>
    <t>26361063</t>
  </si>
  <si>
    <t>ООО "Инвестгазпром"</t>
  </si>
  <si>
    <t>7728175697</t>
  </si>
  <si>
    <t>26361052</t>
  </si>
  <si>
    <t>ООО "Инжтрасс-строй"</t>
  </si>
  <si>
    <t>7723159532</t>
  </si>
  <si>
    <t>772301001</t>
  </si>
  <si>
    <t>26984269</t>
  </si>
  <si>
    <t>ООО "ИнтерКапСтрой"</t>
  </si>
  <si>
    <t>7729561783</t>
  </si>
  <si>
    <t>26357967</t>
  </si>
  <si>
    <t>ООО "Инфракомплекс-Сервис"</t>
  </si>
  <si>
    <t>5044047580</t>
  </si>
  <si>
    <t>26357921</t>
  </si>
  <si>
    <t>ООО "Инфрастрой Быково"</t>
  </si>
  <si>
    <t>5040052212</t>
  </si>
  <si>
    <t>26357890</t>
  </si>
  <si>
    <t>ООО "Искож"</t>
  </si>
  <si>
    <t>5036070240</t>
  </si>
  <si>
    <t>18-01-2006 00:00:00</t>
  </si>
  <si>
    <t>31365894</t>
  </si>
  <si>
    <t>ООО "К-ЖБИ"</t>
  </si>
  <si>
    <t>5042134439</t>
  </si>
  <si>
    <t>11-11-2014 00:00:00</t>
  </si>
  <si>
    <t>31000161</t>
  </si>
  <si>
    <t>ООО "КАПО М"</t>
  </si>
  <si>
    <t>5024177479</t>
  </si>
  <si>
    <t>17-07-2017 00:00:00</t>
  </si>
  <si>
    <t>31078100</t>
  </si>
  <si>
    <t>ООО "КАРФАКС"</t>
  </si>
  <si>
    <t>9705061721</t>
  </si>
  <si>
    <t>02-03-2016 00:00:00</t>
  </si>
  <si>
    <t>31652187</t>
  </si>
  <si>
    <t>ООО "КВАРТАЛ-НЕДВИЖИМОСТЬ"</t>
  </si>
  <si>
    <t>5050120260</t>
  </si>
  <si>
    <t>20-08-2015 00:00:00</t>
  </si>
  <si>
    <t>26357733</t>
  </si>
  <si>
    <t>ООО "КНАУФ ГИПС"</t>
  </si>
  <si>
    <t>5024051564</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</si>
  <si>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</si>
  <si>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</si>
  <si>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</si>
  <si>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</si>
  <si>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</si>
  <si>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</si>
  <si>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</si>
  <si>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</si>
  <si>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</si>
  <si>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</si>
  <si>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</si>
  <si>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</si>
  <si>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</si>
  <si>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</si>
  <si>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</si>
  <si>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26984265</t>
  </si>
  <si>
    <t>ООО "КТТ-Реут"</t>
  </si>
  <si>
    <t>5012032158</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</si>
  <si>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</si>
  <si>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</si>
  <si>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</si>
  <si>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</si>
  <si>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</si>
  <si>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</si>
  <si>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</si>
  <si>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</si>
  <si>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</si>
  <si>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</si>
  <si>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</si>
  <si>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</si>
  <si>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</si>
  <si>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</si>
  <si>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26357764</t>
  </si>
  <si>
    <t>ООО "Коммунальные системы Томилино"  ("КСТ")</t>
  </si>
  <si>
    <t>5027118111</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</si>
  <si>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</si>
  <si>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</si>
  <si>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</si>
  <si>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</si>
  <si>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</si>
  <si>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</si>
  <si>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</si>
  <si>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</si>
  <si>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</si>
  <si>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</si>
  <si>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</si>
  <si>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</si>
  <si>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26645200</t>
  </si>
  <si>
    <t>ООО "Контур Строй"</t>
  </si>
  <si>
    <t>5042106985</t>
  </si>
  <si>
    <t>26631338</t>
  </si>
  <si>
    <t>ООО "Контур ресурс"</t>
  </si>
  <si>
    <t>5042106992</t>
  </si>
  <si>
    <t>08-06-2009 00:00:00</t>
  </si>
  <si>
    <t>30353734</t>
  </si>
  <si>
    <t>ООО "Котельная-Павшино"</t>
  </si>
  <si>
    <t>5032209999</t>
  </si>
  <si>
    <t>07-07-2015 00:00:00</t>
  </si>
  <si>
    <t>26357650</t>
  </si>
  <si>
    <t>ООО "Кучинский кирпичный завод"</t>
  </si>
  <si>
    <t>5012026203</t>
  </si>
  <si>
    <t>30-12-2015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</si>
  <si>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</si>
  <si>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</si>
  <si>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</si>
  <si>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</si>
  <si>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</si>
  <si>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</si>
  <si>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</si>
  <si>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</si>
  <si>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</si>
  <si>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</si>
  <si>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</si>
  <si>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</si>
  <si>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</si>
  <si>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</si>
  <si>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</si>
  <si>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</si>
  <si>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</si>
  <si>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26357551</t>
  </si>
  <si>
    <t>ООО "Лисья гора"</t>
  </si>
  <si>
    <t>5001058108</t>
  </si>
  <si>
    <t>26627359</t>
  </si>
  <si>
    <t>ООО "Логопарк Чехов"</t>
  </si>
  <si>
    <t>5048014875</t>
  </si>
  <si>
    <t>27518657</t>
  </si>
  <si>
    <t>ООО "Ложковские коммунальные системы"</t>
  </si>
  <si>
    <t>5044076119</t>
  </si>
  <si>
    <t>27-12-2018 00:00:00</t>
  </si>
  <si>
    <t>26358035</t>
  </si>
  <si>
    <t>ООО "Лотошинский автодор"</t>
  </si>
  <si>
    <t>5071006495</t>
  </si>
  <si>
    <t>28828992</t>
  </si>
  <si>
    <t>5044092880</t>
  </si>
  <si>
    <t>26504932</t>
  </si>
  <si>
    <t>ООО "Любэнергоснаб"</t>
  </si>
  <si>
    <t>5027098306</t>
  </si>
  <si>
    <t>25-12-2003 00:00:00</t>
  </si>
  <si>
    <t>26774407</t>
  </si>
  <si>
    <t>ООО "Люсена"</t>
  </si>
  <si>
    <t>5019020000</t>
  </si>
  <si>
    <t>28869565</t>
  </si>
  <si>
    <t>ООО "М.К.Ф. Система-Бриз"</t>
  </si>
  <si>
    <t>7705387159</t>
  </si>
  <si>
    <t>10-05-2007 00:00:00</t>
  </si>
  <si>
    <t>28463563</t>
  </si>
  <si>
    <t>ООО "МДО"</t>
  </si>
  <si>
    <t>7709900371</t>
  </si>
  <si>
    <t>26548247</t>
  </si>
  <si>
    <t>ООО "МЕГА Белая Дача"</t>
  </si>
  <si>
    <t>5027108265</t>
  </si>
  <si>
    <t>26515847</t>
  </si>
  <si>
    <t>ООО "МЕЧЕЛ-ЭНЕРГО"</t>
  </si>
  <si>
    <t>771401001</t>
  </si>
  <si>
    <t>26773203</t>
  </si>
  <si>
    <t>ООО "МЖК "Люберцы-2"</t>
  </si>
  <si>
    <t>5027126306</t>
  </si>
  <si>
    <t>26508886</t>
  </si>
  <si>
    <t>ООО "МКХ Коломенского района"</t>
  </si>
  <si>
    <t>5022560710</t>
  </si>
  <si>
    <t>31560509</t>
  </si>
  <si>
    <t>ООО "МОЯ Жилищная Компания"</t>
  </si>
  <si>
    <t>5027021790</t>
  </si>
  <si>
    <t>16-02-2016 00:00:00</t>
  </si>
  <si>
    <t>30357268</t>
  </si>
  <si>
    <t>ООО "МПН"</t>
  </si>
  <si>
    <t>7717649120</t>
  </si>
  <si>
    <t>24-03-2009 00:00:00</t>
  </si>
  <si>
    <t>28869832</t>
  </si>
  <si>
    <t>ООО "МСК Инвест-проект"</t>
  </si>
  <si>
    <t>5012027944</t>
  </si>
  <si>
    <t>14-01-2015 00:00:00</t>
  </si>
  <si>
    <t>27518602</t>
  </si>
  <si>
    <t>ООО "Майдаровские коммунальные системы"</t>
  </si>
  <si>
    <t>5044076133</t>
  </si>
  <si>
    <t>13-02-2023 00:00:00</t>
  </si>
  <si>
    <t>26508851</t>
  </si>
  <si>
    <t>ООО "Маркет Трейд Центр"</t>
  </si>
  <si>
    <t>5024043965</t>
  </si>
  <si>
    <t>24-10-2000 00:00:00</t>
  </si>
  <si>
    <t>26357610</t>
  </si>
  <si>
    <t>ООО "Машиностроитель-ДЗФС"</t>
  </si>
  <si>
    <t>5007041608</t>
  </si>
  <si>
    <t>26357855</t>
  </si>
  <si>
    <t>ООО "Мех Оретекс"</t>
  </si>
  <si>
    <t>5034016985</t>
  </si>
  <si>
    <t>26773487</t>
  </si>
  <si>
    <t>ООО "Мечел-Энерго"</t>
  </si>
  <si>
    <t>500332001</t>
  </si>
  <si>
    <t>20-03-2015 00:00:00</t>
  </si>
  <si>
    <t>08-08-2019 00:00:00</t>
  </si>
  <si>
    <t>31290833</t>
  </si>
  <si>
    <t>746001001</t>
  </si>
  <si>
    <t>10-07-2002 00:00:00</t>
  </si>
  <si>
    <t>26361085</t>
  </si>
  <si>
    <t>ООО "Мобильная генерация"</t>
  </si>
  <si>
    <t>7733651895</t>
  </si>
  <si>
    <t>26567656</t>
  </si>
  <si>
    <t>ООО "Монолитстройсервис"</t>
  </si>
  <si>
    <t>7719284153</t>
  </si>
  <si>
    <t>770801001</t>
  </si>
  <si>
    <t>20-10-2003 00:00:00</t>
  </si>
  <si>
    <t>28463181</t>
  </si>
  <si>
    <t>ООО "Мортон-РСО"</t>
  </si>
  <si>
    <t>7714192290</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</si>
  <si>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</si>
  <si>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</si>
  <si>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</si>
  <si>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</si>
  <si>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</si>
  <si>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</si>
  <si>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</si>
  <si>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</si>
  <si>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</si>
  <si>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</si>
  <si>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</si>
  <si>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</si>
  <si>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</si>
  <si>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</si>
  <si>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</si>
  <si>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</si>
  <si>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</si>
  <si>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</si>
  <si>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</si>
  <si>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</si>
  <si>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</si>
  <si>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</si>
  <si>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26357798</t>
  </si>
  <si>
    <t>ООО "НРСУ"</t>
  </si>
  <si>
    <t>5031011347</t>
  </si>
  <si>
    <t>29-03-2000 00:00:00</t>
  </si>
  <si>
    <t>26357786</t>
  </si>
  <si>
    <t>ООО "НТЭК"</t>
  </si>
  <si>
    <t>5030053538</t>
  </si>
  <si>
    <t>26509777</t>
  </si>
  <si>
    <t>ООО "Нахабинские инженерные сети"</t>
  </si>
  <si>
    <t>5024092779</t>
  </si>
  <si>
    <t>12-12-2007 00:00:00</t>
  </si>
  <si>
    <t>13-01-2022 00:00:00</t>
  </si>
  <si>
    <t>26357755</t>
  </si>
  <si>
    <t>ООО "Новая Керамика"</t>
  </si>
  <si>
    <t>5027069922</t>
  </si>
  <si>
    <t>26357896</t>
  </si>
  <si>
    <t>ООО "Новое Тишково"</t>
  </si>
  <si>
    <t>5038005582</t>
  </si>
  <si>
    <t>31297753</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</si>
  <si>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</si>
  <si>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</si>
  <si>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</si>
  <si>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</si>
  <si>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</si>
  <si>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</si>
  <si>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</si>
  <si>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</si>
  <si>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</si>
  <si>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</si>
  <si>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</si>
  <si>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</si>
  <si>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</si>
  <si>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26648803</t>
  </si>
  <si>
    <t>ООО "Областные коммунальные системы"</t>
  </si>
  <si>
    <t>5050088120</t>
  </si>
  <si>
    <t>26357911</t>
  </si>
  <si>
    <t>ООО "Общий дом"</t>
  </si>
  <si>
    <t>5038044729</t>
  </si>
  <si>
    <t>503804001</t>
  </si>
  <si>
    <t>28823497</t>
  </si>
  <si>
    <t>ООО "Одинцово-Генерация"</t>
  </si>
  <si>
    <t>5032275656</t>
  </si>
  <si>
    <t>31-01-2014 00:00:00</t>
  </si>
  <si>
    <t>28455211</t>
  </si>
  <si>
    <t>ООО "Олимпиец"</t>
  </si>
  <si>
    <t>7722635669</t>
  </si>
  <si>
    <t>26357982</t>
  </si>
  <si>
    <t>5047000774</t>
  </si>
  <si>
    <t>29-07-2021 00:00:00</t>
  </si>
  <si>
    <t>26357860</t>
  </si>
  <si>
    <t>ООО "Орехово-Зуевская "Теплосеть"</t>
  </si>
  <si>
    <t>5034022668</t>
  </si>
  <si>
    <t>17-11-2021 00:00:00</t>
  </si>
  <si>
    <t>31463810</t>
  </si>
  <si>
    <t>ООО "Осташевское ЖКХ"</t>
  </si>
  <si>
    <t>5004029994</t>
  </si>
  <si>
    <t>26510898</t>
  </si>
  <si>
    <t>ООО "ПИК-Комфорт"</t>
  </si>
  <si>
    <t>7701208190</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</si>
  <si>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</si>
  <si>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</si>
  <si>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</si>
  <si>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</si>
  <si>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</si>
  <si>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</si>
  <si>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</si>
  <si>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</si>
  <si>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</si>
  <si>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</si>
  <si>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</si>
  <si>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</si>
  <si>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</si>
  <si>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</si>
  <si>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</si>
  <si>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</si>
  <si>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</si>
  <si>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</si>
  <si>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</si>
  <si>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26568792</t>
  </si>
  <si>
    <t>ООО "ПОЛИМЕРКОНТЕЙНЕР 1"</t>
  </si>
  <si>
    <t>5007032018</t>
  </si>
  <si>
    <t>30359172</t>
  </si>
  <si>
    <t>ООО "ПРОМФИНАКТИВ"</t>
  </si>
  <si>
    <t>7709636825</t>
  </si>
  <si>
    <t>14-10-2005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</si>
  <si>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</si>
  <si>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</si>
  <si>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</si>
  <si>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</si>
  <si>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</si>
  <si>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</si>
  <si>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</si>
  <si>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</si>
  <si>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</si>
  <si>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</si>
  <si>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</si>
  <si>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</si>
  <si>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</si>
  <si>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</si>
  <si>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</si>
  <si>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</si>
  <si>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</si>
  <si>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</si>
  <si>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</si>
  <si>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</si>
  <si>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</si>
  <si>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26550882</t>
  </si>
  <si>
    <t>ООО "Подольский энергетический завод им. Калинина"</t>
  </si>
  <si>
    <t>5036032527</t>
  </si>
  <si>
    <t>26357886</t>
  </si>
  <si>
    <t>ООО "Подольский энергетический завод имени Калинина"</t>
  </si>
  <si>
    <t>5036050290</t>
  </si>
  <si>
    <t>28869408</t>
  </si>
  <si>
    <t>ООО "Проектстройальянс"</t>
  </si>
  <si>
    <t>7723512839</t>
  </si>
  <si>
    <t>28221849</t>
  </si>
  <si>
    <t>ООО "ПромСтройБетон"</t>
  </si>
  <si>
    <t>7715340230</t>
  </si>
  <si>
    <t>500245001</t>
  </si>
  <si>
    <t>27-01-2003 00:00:00</t>
  </si>
  <si>
    <t>26357713</t>
  </si>
  <si>
    <t>ООО "Промэнергопродукт"</t>
  </si>
  <si>
    <t>5022028922</t>
  </si>
  <si>
    <t>26357870</t>
  </si>
  <si>
    <t>ООО "Протон-5"</t>
  </si>
  <si>
    <t>5035021730</t>
  </si>
  <si>
    <t>26357858</t>
  </si>
  <si>
    <t>ООО "Пряжа и Трикотаж ОРЕТЕКС"</t>
  </si>
  <si>
    <t>5034017971</t>
  </si>
  <si>
    <t>28465925</t>
  </si>
  <si>
    <t>ООО "РИГЭК"</t>
  </si>
  <si>
    <t>5048028765</t>
  </si>
  <si>
    <t>13-04-2012 00:00:00</t>
  </si>
  <si>
    <t>26357754</t>
  </si>
  <si>
    <t>ООО "РИК"</t>
  </si>
  <si>
    <t>5051007910</t>
  </si>
  <si>
    <t>30-08-2004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</si>
  <si>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</si>
  <si>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</si>
  <si>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</si>
  <si>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</si>
  <si>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</si>
  <si>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</si>
  <si>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</si>
  <si>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</si>
  <si>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</si>
  <si>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</si>
  <si>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</si>
  <si>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</si>
  <si>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</si>
  <si>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</si>
  <si>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26639023</t>
  </si>
  <si>
    <t>ООО "РЭО"</t>
  </si>
  <si>
    <t>5036069580</t>
  </si>
  <si>
    <t>26573296</t>
  </si>
  <si>
    <t>ООО "РЭП КХ УК "Тучково"</t>
  </si>
  <si>
    <t>5075372460</t>
  </si>
  <si>
    <t>23-11-2010 00:00:00</t>
  </si>
  <si>
    <t>29-12-2018 00:00:00</t>
  </si>
  <si>
    <t>26357734</t>
  </si>
  <si>
    <t>ООО "РЭП Красногорье"</t>
  </si>
  <si>
    <t>5024073776</t>
  </si>
  <si>
    <t>27758296</t>
  </si>
  <si>
    <t>ООО "РЭС"</t>
  </si>
  <si>
    <t>5032159515</t>
  </si>
  <si>
    <t>17-11-2006 00:00:00</t>
  </si>
  <si>
    <t>26647099</t>
  </si>
  <si>
    <t>ООО "Радуга - Хит"</t>
  </si>
  <si>
    <t>5036063074</t>
  </si>
  <si>
    <t>28874544</t>
  </si>
  <si>
    <t>ООО "Радуга-ХИТ"</t>
  </si>
  <si>
    <t>5036030047</t>
  </si>
  <si>
    <t>29-12-1995 00:00:00</t>
  </si>
  <si>
    <t>27518661</t>
  </si>
  <si>
    <t>ООО "Радумльские коммунальные системы"</t>
  </si>
  <si>
    <t>5044076060</t>
  </si>
  <si>
    <t>26511413</t>
  </si>
  <si>
    <t>ООО "Раменская эксплуатационная энергетическая компания"</t>
  </si>
  <si>
    <t>5040055140</t>
  </si>
  <si>
    <t>26627385</t>
  </si>
  <si>
    <t>ООО "Реал-Инвест"</t>
  </si>
  <si>
    <t>5042080409</t>
  </si>
  <si>
    <t>27909160</t>
  </si>
  <si>
    <t>ООО "РегионЭнергоСервис" обособленное подразделение г.Красногорск</t>
  </si>
  <si>
    <t>502445001</t>
  </si>
  <si>
    <t>01-08-2012 00:00:00</t>
  </si>
  <si>
    <t>28975189</t>
  </si>
  <si>
    <t>ООО "Ресурсоснабжение"</t>
  </si>
  <si>
    <t>7840022997</t>
  </si>
  <si>
    <t>784001001</t>
  </si>
  <si>
    <t>28-06-2023 00:00:00</t>
  </si>
  <si>
    <t>26357927</t>
  </si>
  <si>
    <t>ООО "Реутовская мануфактура"</t>
  </si>
  <si>
    <t>5041023623</t>
  </si>
  <si>
    <t>26361010</t>
  </si>
  <si>
    <t>ООО "Ридиос"</t>
  </si>
  <si>
    <t>7709221595</t>
  </si>
  <si>
    <t>31464621</t>
  </si>
  <si>
    <t>ООО "Рублевское предместье-3"</t>
  </si>
  <si>
    <t>5024093596</t>
  </si>
  <si>
    <t>31-01-2008 00:00:00</t>
  </si>
  <si>
    <t>30358781</t>
  </si>
  <si>
    <t>ООО "Рузская тепловая компания"</t>
  </si>
  <si>
    <t>5075018188</t>
  </si>
  <si>
    <t>25-05-2004 00:00:00</t>
  </si>
  <si>
    <t>26358061</t>
  </si>
  <si>
    <t>5075030516</t>
  </si>
  <si>
    <t>26358060</t>
  </si>
  <si>
    <t>ООО "Рузская эксплуатационная компания"</t>
  </si>
  <si>
    <t>5075035352</t>
  </si>
  <si>
    <t>26358062</t>
  </si>
  <si>
    <t>ООО "Рузские тепловые сети"</t>
  </si>
  <si>
    <t>5075032471</t>
  </si>
  <si>
    <t>01-08-2006 00:00:00</t>
  </si>
  <si>
    <t>30359191</t>
  </si>
  <si>
    <t>ООО "РусБизнесГрупп"</t>
  </si>
  <si>
    <t>7706589983</t>
  </si>
  <si>
    <t>23-08-2005 00:00:00</t>
  </si>
  <si>
    <t>26357915</t>
  </si>
  <si>
    <t>ООО "СГ"Инфинити"</t>
  </si>
  <si>
    <t>7743603058</t>
  </si>
  <si>
    <t>11-07-2006 00:00:00</t>
  </si>
  <si>
    <t>26548171</t>
  </si>
  <si>
    <t>ООО "СЕМПО"</t>
  </si>
  <si>
    <t>7714508459</t>
  </si>
  <si>
    <t>31616017</t>
  </si>
  <si>
    <t>ООО "СИБЖИЛСТРОЙ"</t>
  </si>
  <si>
    <t>5044078807</t>
  </si>
  <si>
    <t>08-04-2021 00:00:00</t>
  </si>
  <si>
    <t>26359232</t>
  </si>
  <si>
    <t>ООО "СКМ Энергосервис"</t>
  </si>
  <si>
    <t>5835074795</t>
  </si>
  <si>
    <t>583501001</t>
  </si>
  <si>
    <t>01-01-2017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</si>
  <si>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</si>
  <si>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</si>
  <si>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</si>
  <si>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</si>
  <si>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</si>
  <si>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</si>
  <si>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</si>
  <si>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</si>
  <si>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</si>
  <si>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</si>
  <si>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</si>
  <si>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</si>
  <si>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</si>
  <si>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</si>
  <si>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</si>
  <si>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27367557</t>
  </si>
  <si>
    <t>ООО "СПТЭК"</t>
  </si>
  <si>
    <t>5042114016</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</si>
  <si>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</si>
  <si>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</si>
  <si>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</si>
  <si>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</si>
  <si>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</si>
  <si>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</si>
  <si>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</si>
  <si>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</si>
  <si>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</si>
  <si>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</si>
  <si>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</si>
  <si>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</si>
  <si>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</si>
  <si>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26589473</t>
  </si>
  <si>
    <t>ООО "Селена"</t>
  </si>
  <si>
    <t>5001075872</t>
  </si>
  <si>
    <t>26357729</t>
  </si>
  <si>
    <t>ООО "Сельхозполимер"</t>
  </si>
  <si>
    <t>5024089293</t>
  </si>
  <si>
    <t>17-07-2007 00:00:00</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</si>
  <si>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</si>
  <si>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</si>
  <si>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</si>
  <si>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</si>
  <si>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</si>
  <si>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</si>
  <si>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</si>
  <si>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</si>
  <si>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</si>
  <si>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</si>
  <si>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</si>
  <si>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</si>
  <si>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</si>
  <si>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</si>
  <si>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</si>
  <si>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</si>
  <si>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</si>
  <si>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26357661</t>
  </si>
  <si>
    <t>ООО "Современные технологии" Звенигородский филиал "Пансионат Поречье"</t>
  </si>
  <si>
    <t>501532001</t>
  </si>
  <si>
    <t>31215594</t>
  </si>
  <si>
    <t>ООО "Союз-Химки"</t>
  </si>
  <si>
    <t>5047160224</t>
  </si>
  <si>
    <t>31686443</t>
  </si>
  <si>
    <t>ООО "Спецэнергомаш"</t>
  </si>
  <si>
    <t>7328070851</t>
  </si>
  <si>
    <t>732501001</t>
  </si>
  <si>
    <t>12-12-2012 00:00:00</t>
  </si>
  <si>
    <t>26568830</t>
  </si>
  <si>
    <t>ООО "Спортивно - развлекательный парк культуры и отдыха "ЯХРОМА"</t>
  </si>
  <si>
    <t>5007069868</t>
  </si>
  <si>
    <t>12-04-2022 00:00:00</t>
  </si>
  <si>
    <t>28827714</t>
  </si>
  <si>
    <t>ООО "Стиропласт"</t>
  </si>
  <si>
    <t>5048008977</t>
  </si>
  <si>
    <t>13-11-2014 00:00:00</t>
  </si>
  <si>
    <t>26357912</t>
  </si>
  <si>
    <t>ООО "Сторосс-тепло"</t>
  </si>
  <si>
    <t>5038078534</t>
  </si>
  <si>
    <t>26358050</t>
  </si>
  <si>
    <t>ООО "Строительная фирма ТЛК"</t>
  </si>
  <si>
    <t>5074016614</t>
  </si>
  <si>
    <t>26361026</t>
  </si>
  <si>
    <t>ООО "Строй-Контракт XXI"</t>
  </si>
  <si>
    <t>7715339612</t>
  </si>
  <si>
    <t>31633109</t>
  </si>
  <si>
    <t>ООО "СтройЛидер"</t>
  </si>
  <si>
    <t>5040124900</t>
  </si>
  <si>
    <t>771801001</t>
  </si>
  <si>
    <t>05-08-2013 00:00:00</t>
  </si>
  <si>
    <t>28875837</t>
  </si>
  <si>
    <t>ООО "СтройПерспектива"</t>
  </si>
  <si>
    <t>7717563151</t>
  </si>
  <si>
    <t>26510040</t>
  </si>
  <si>
    <t>ООО "СтройСети"</t>
  </si>
  <si>
    <t>5032116938</t>
  </si>
  <si>
    <t>26773356</t>
  </si>
  <si>
    <t>28267885</t>
  </si>
  <si>
    <t>ООО "Стройрегистр"</t>
  </si>
  <si>
    <t>5054010340</t>
  </si>
  <si>
    <t>31448322</t>
  </si>
  <si>
    <t>ООО "ТВС"</t>
  </si>
  <si>
    <t>7728493770</t>
  </si>
  <si>
    <t>26357950</t>
  </si>
  <si>
    <t>ООО "ТГК - СП"</t>
  </si>
  <si>
    <t>5042091513</t>
  </si>
  <si>
    <t>28966496</t>
  </si>
  <si>
    <t>ООО "ТГН"</t>
  </si>
  <si>
    <t>5031108959</t>
  </si>
  <si>
    <t>10-01-2014 00:00:00</t>
  </si>
  <si>
    <t>13-12-2021 00:00:00</t>
  </si>
  <si>
    <t>30812239</t>
  </si>
  <si>
    <t>ООО "ТЕКС"</t>
  </si>
  <si>
    <t>7703652852</t>
  </si>
  <si>
    <t>21-12-2007 00:00:00</t>
  </si>
  <si>
    <t>01-06-2023 00:00:00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</si>
  <si>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</si>
  <si>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</si>
  <si>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</si>
  <si>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</si>
  <si>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</si>
  <si>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</si>
  <si>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</si>
  <si>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</si>
  <si>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</si>
  <si>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</si>
  <si>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</si>
  <si>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30363112</t>
  </si>
  <si>
    <t>ООО "ТЕПЛОРИЯ"</t>
  </si>
  <si>
    <t>7730695950</t>
  </si>
  <si>
    <t>06-11-2013 00:00:00</t>
  </si>
  <si>
    <t>30-09-2021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</si>
  <si>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</si>
  <si>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</si>
  <si>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</si>
  <si>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</si>
  <si>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</si>
  <si>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</si>
  <si>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</si>
  <si>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</si>
  <si>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</si>
  <si>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</si>
  <si>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</si>
  <si>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</si>
  <si>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</si>
  <si>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</si>
  <si>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</si>
  <si>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</si>
  <si>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</si>
  <si>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</si>
  <si>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</si>
  <si>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</si>
  <si>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</si>
  <si>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</si>
  <si>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</si>
  <si>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</si>
  <si>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</si>
  <si>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</si>
  <si>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</si>
  <si>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</si>
  <si>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30848615</t>
  </si>
  <si>
    <t>ООО "ТСнаб"</t>
  </si>
  <si>
    <t>5027229534</t>
  </si>
  <si>
    <t>06-07-2015 00:00:00</t>
  </si>
  <si>
    <t>03-11-2023 00:00:00</t>
  </si>
  <si>
    <t>28046747</t>
  </si>
  <si>
    <t>ООО "ТЭК"</t>
  </si>
  <si>
    <t>5042121493</t>
  </si>
  <si>
    <t>28982580</t>
  </si>
  <si>
    <t>ООО "ТЭСИС"</t>
  </si>
  <si>
    <t>5024092137</t>
  </si>
  <si>
    <t>01-04-2014 00:00:00</t>
  </si>
  <si>
    <t>31038470</t>
  </si>
  <si>
    <t>ООО "Тепло Гарант"</t>
  </si>
  <si>
    <t>5050131985</t>
  </si>
  <si>
    <t>04-05-2017 00:00:00</t>
  </si>
  <si>
    <t>27554437</t>
  </si>
  <si>
    <t>ООО "Тепло Сервис"</t>
  </si>
  <si>
    <t>5050082061</t>
  </si>
  <si>
    <t>25-12-2009 00:00:00</t>
  </si>
  <si>
    <t>26357718</t>
  </si>
  <si>
    <t>ООО "Тепло-Озёры"</t>
  </si>
  <si>
    <t>5022088329</t>
  </si>
  <si>
    <t>08-08-2018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</si>
  <si>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</si>
  <si>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</si>
  <si>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</si>
  <si>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</si>
  <si>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</si>
  <si>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</si>
  <si>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</si>
  <si>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</si>
  <si>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</si>
  <si>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</si>
  <si>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</si>
  <si>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</si>
  <si>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</si>
  <si>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</si>
  <si>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</si>
  <si>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</si>
  <si>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</si>
  <si>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</si>
  <si>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</si>
  <si>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</si>
  <si>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</si>
  <si>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31250343</t>
  </si>
  <si>
    <t>ООО "ТеплоЭнергоРесурс"</t>
  </si>
  <si>
    <t>5047176496</t>
  </si>
  <si>
    <t>02-11-2015 00:00:00</t>
  </si>
  <si>
    <t>28943024</t>
  </si>
  <si>
    <t>ООО "ТеплоЭнергоСервис"</t>
  </si>
  <si>
    <t>7715821801</t>
  </si>
  <si>
    <t>771501001</t>
  </si>
  <si>
    <t>30-07-2010 00:00:00</t>
  </si>
  <si>
    <t>26768981</t>
  </si>
  <si>
    <t>ООО "Тепловик"</t>
  </si>
  <si>
    <t>5521009072</t>
  </si>
  <si>
    <t>552101001</t>
  </si>
  <si>
    <t>05-07-2011 00:00:00</t>
  </si>
  <si>
    <t>28978783</t>
  </si>
  <si>
    <t>ООО "Тепловодоканал Сергиево-Посадского района"</t>
  </si>
  <si>
    <t>5042135993</t>
  </si>
  <si>
    <t>27-03-2015 00:00:00</t>
  </si>
  <si>
    <t>26357547</t>
  </si>
  <si>
    <t>ООО "Тепловые сети Балашихи"</t>
  </si>
  <si>
    <t>5001036552</t>
  </si>
  <si>
    <t>27581033</t>
  </si>
  <si>
    <t>ООО "Теплогарант"</t>
  </si>
  <si>
    <t>5050071990</t>
  </si>
  <si>
    <t>30-08-2022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</si>
  <si>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</si>
  <si>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</si>
  <si>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</si>
  <si>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</si>
  <si>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</si>
  <si>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</si>
  <si>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</si>
  <si>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</si>
  <si>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</si>
  <si>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</si>
  <si>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</si>
  <si>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</si>
  <si>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</si>
  <si>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26357651</t>
  </si>
  <si>
    <t>ООО "Теплосети"</t>
  </si>
  <si>
    <t>5012030591</t>
  </si>
  <si>
    <t>30809176</t>
  </si>
  <si>
    <t>ООО "Теплосеть Гарант"</t>
  </si>
  <si>
    <t>5050125981</t>
  </si>
  <si>
    <t>20-06-2016 00:00:00</t>
  </si>
  <si>
    <t>30809186</t>
  </si>
  <si>
    <t>ООО "Теплосеть Сервис"</t>
  </si>
  <si>
    <t>5050125124</t>
  </si>
  <si>
    <t>28-04-2016 00:00:00</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</si>
  <si>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</si>
  <si>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</si>
  <si>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</si>
  <si>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</si>
  <si>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</si>
  <si>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</si>
  <si>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</si>
  <si>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</si>
  <si>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</si>
  <si>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</si>
  <si>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</si>
  <si>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</si>
  <si>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</si>
  <si>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</si>
  <si>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</si>
  <si>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28442928</t>
  </si>
  <si>
    <t>ООО "Термоси"</t>
  </si>
  <si>
    <t>5042125258</t>
  </si>
  <si>
    <t>10-09-2012 00:00:00</t>
  </si>
  <si>
    <t>26357856</t>
  </si>
  <si>
    <t>ООО "Ткани Оретекс"</t>
  </si>
  <si>
    <t>5034017876</t>
  </si>
  <si>
    <t>30873114</t>
  </si>
  <si>
    <t>ООО "Торговый дом ММК"</t>
  </si>
  <si>
    <t>7445042181</t>
  </si>
  <si>
    <t>745501001</t>
  </si>
  <si>
    <t>06-11-2008 00:00:00</t>
  </si>
  <si>
    <t>28046395</t>
  </si>
  <si>
    <t>ООО "Туголесские коммунальные системы"</t>
  </si>
  <si>
    <t>5049020945</t>
  </si>
  <si>
    <t>28871708</t>
  </si>
  <si>
    <t>ООО "УК "Комфорт"</t>
  </si>
  <si>
    <t>5040126418</t>
  </si>
  <si>
    <t>26774967</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</si>
  <si>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</si>
  <si>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</si>
  <si>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</si>
  <si>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</si>
  <si>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</si>
  <si>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</si>
  <si>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</si>
  <si>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</si>
  <si>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</si>
  <si>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</si>
  <si>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</si>
  <si>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</si>
  <si>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</si>
  <si>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</si>
  <si>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</si>
  <si>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</si>
  <si>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</si>
  <si>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</si>
  <si>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</si>
  <si>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</si>
  <si>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</si>
  <si>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</si>
  <si>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</si>
  <si>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</si>
  <si>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</si>
  <si>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</si>
  <si>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</si>
  <si>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</si>
  <si>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</si>
  <si>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26584379</t>
  </si>
  <si>
    <t>ООО "Управляющая компания "Жилищно-строительная компания"</t>
  </si>
  <si>
    <t>5042110452</t>
  </si>
  <si>
    <t>26790831</t>
  </si>
  <si>
    <t>ООО "Управляющая компания "ЗЛКЗ"</t>
  </si>
  <si>
    <t>5042114390</t>
  </si>
  <si>
    <t>28153040</t>
  </si>
  <si>
    <t>ООО "Управляющая компания "МЕГА-ГРУП"</t>
  </si>
  <si>
    <t>5003093179</t>
  </si>
  <si>
    <t>27801661</t>
  </si>
  <si>
    <t>ООО "Управляющая компания "Остов Эксплуатация"</t>
  </si>
  <si>
    <t>5030067509</t>
  </si>
  <si>
    <t>30-03-2022 00:00:00</t>
  </si>
  <si>
    <t>26795642</t>
  </si>
  <si>
    <t>ООО "Управляющая компания Шеметово"</t>
  </si>
  <si>
    <t>5042111946</t>
  </si>
  <si>
    <t>28047171</t>
  </si>
  <si>
    <t>ООО "Управляющая компания Щуровский комбинат"</t>
  </si>
  <si>
    <t>5022558550</t>
  </si>
  <si>
    <t>26-04-2010 00:00:00</t>
  </si>
  <si>
    <t>26510958</t>
  </si>
  <si>
    <t>ООО "Управляющая организация "ЖКХ Снегири"</t>
  </si>
  <si>
    <t>5017073493</t>
  </si>
  <si>
    <t>31-07-2023 00:00:00</t>
  </si>
  <si>
    <t>31540070</t>
  </si>
  <si>
    <t>ООО "ФОКСА"</t>
  </si>
  <si>
    <t>5024056266</t>
  </si>
  <si>
    <t>772401001</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</si>
  <si>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</si>
  <si>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</si>
  <si>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</si>
  <si>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</si>
  <si>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</si>
  <si>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</si>
  <si>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</si>
  <si>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</si>
  <si>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</si>
  <si>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</si>
  <si>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</si>
  <si>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</si>
  <si>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</si>
  <si>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</si>
  <si>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</si>
  <si>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</si>
  <si>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</si>
  <si>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</si>
  <si>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</si>
  <si>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28535811</t>
  </si>
  <si>
    <t>ООО "ЦЕНТРЭНЕРГОСЕРВИС"</t>
  </si>
  <si>
    <t>7714825881</t>
  </si>
  <si>
    <t>16-12-2010 00:00:00</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</si>
  <si>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</si>
  <si>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</si>
  <si>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</si>
  <si>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</si>
  <si>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</si>
  <si>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</si>
  <si>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</si>
  <si>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</si>
  <si>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</si>
  <si>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</si>
  <si>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</si>
  <si>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</si>
  <si>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</si>
  <si>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</si>
  <si>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</si>
  <si>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</si>
  <si>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</si>
  <si>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</si>
  <si>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</si>
  <si>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</si>
  <si>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</si>
  <si>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</si>
  <si>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</si>
  <si>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</si>
  <si>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</si>
  <si>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</si>
  <si>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</si>
  <si>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</si>
  <si>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27518593</t>
  </si>
  <si>
    <t>ООО "Чашниковские коммунальные системы"</t>
  </si>
  <si>
    <t>5044076091</t>
  </si>
  <si>
    <t>27517720</t>
  </si>
  <si>
    <t>ООО "Черустинские коммунальные системы"</t>
  </si>
  <si>
    <t>5049020141</t>
  </si>
  <si>
    <t>30873864</t>
  </si>
  <si>
    <t>ООО "Шаляпинская усадьба"</t>
  </si>
  <si>
    <t>5047136341</t>
  </si>
  <si>
    <t>04-10-2012 00:00:00</t>
  </si>
  <si>
    <t>28980696</t>
  </si>
  <si>
    <t>ООО "ЩКС"</t>
  </si>
  <si>
    <t>5050107044</t>
  </si>
  <si>
    <t>10-10-2013 00:00:00</t>
  </si>
  <si>
    <t>27580934</t>
  </si>
  <si>
    <t>ООО "ЭК "Довиль"</t>
  </si>
  <si>
    <t>5032190353</t>
  </si>
  <si>
    <t>17-06-2008 00:00:00</t>
  </si>
  <si>
    <t>31247083</t>
  </si>
  <si>
    <t>ООО "ЭК "Мишино"</t>
  </si>
  <si>
    <t>7709922520</t>
  </si>
  <si>
    <t>18-02-2013 00:00:00</t>
  </si>
  <si>
    <t>26622582</t>
  </si>
  <si>
    <t>ООО "ЭНЕРГОИНВЕСТ"</t>
  </si>
  <si>
    <t>4706017437</t>
  </si>
  <si>
    <t>20-11-2011 00:00:00</t>
  </si>
  <si>
    <t>08-02-2021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</si>
  <si>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</si>
  <si>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</si>
  <si>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</si>
  <si>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</si>
  <si>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</si>
  <si>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</si>
  <si>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</si>
  <si>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</si>
  <si>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</si>
  <si>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</si>
  <si>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</si>
  <si>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</si>
  <si>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</si>
  <si>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</si>
  <si>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28261033</t>
  </si>
  <si>
    <t>ООО "ЭНЕРГОТРЕЙД"</t>
  </si>
  <si>
    <t>5022556168</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</si>
  <si>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</si>
  <si>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</si>
  <si>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</si>
  <si>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</si>
  <si>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</si>
  <si>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</si>
  <si>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</si>
  <si>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</si>
  <si>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</si>
  <si>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</si>
  <si>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</si>
  <si>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</si>
  <si>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</si>
  <si>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</si>
  <si>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</si>
  <si>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</si>
  <si>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</si>
  <si>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</si>
  <si>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</si>
  <si>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</si>
  <si>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</si>
  <si>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</si>
  <si>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</si>
  <si>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26627389</t>
  </si>
  <si>
    <t>ООО "Эгера"</t>
  </si>
  <si>
    <t>5020030690</t>
  </si>
  <si>
    <t>26361081</t>
  </si>
  <si>
    <t>ООО "Экономтрансстрой"</t>
  </si>
  <si>
    <t>7733113390</t>
  </si>
  <si>
    <t>26509755</t>
  </si>
  <si>
    <t>ООО "Элемаш-ТЭК"</t>
  </si>
  <si>
    <t>5053055010</t>
  </si>
  <si>
    <t>18-07-2019 00:00:00</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</si>
  <si>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</si>
  <si>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</si>
  <si>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</si>
  <si>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</si>
  <si>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</si>
  <si>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</si>
  <si>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</si>
  <si>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</si>
  <si>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</si>
  <si>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</si>
  <si>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</si>
  <si>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</si>
  <si>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</si>
  <si>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28979613</t>
  </si>
  <si>
    <t>ООО "ЭнергоИнвест"</t>
  </si>
  <si>
    <t>7841378040</t>
  </si>
  <si>
    <t>780201001</t>
  </si>
  <si>
    <t>26641597</t>
  </si>
  <si>
    <t>ООО "ЭнергоИнвест" (неактуальный КПП)</t>
  </si>
  <si>
    <t>784101001</t>
  </si>
  <si>
    <t>31-07-2016 00:00:00</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</si>
  <si>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</si>
  <si>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</si>
  <si>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</si>
  <si>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</si>
  <si>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</si>
  <si>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</si>
  <si>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</si>
  <si>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</si>
  <si>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</si>
  <si>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</si>
  <si>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</si>
  <si>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</si>
  <si>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</si>
  <si>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</si>
  <si>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</si>
  <si>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</si>
  <si>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</si>
  <si>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</si>
  <si>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</si>
  <si>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</si>
  <si>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</si>
  <si>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</si>
  <si>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</si>
  <si>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</si>
  <si>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</si>
  <si>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</si>
  <si>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</si>
  <si>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</si>
  <si>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</si>
  <si>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</si>
  <si>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</si>
  <si>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</si>
  <si>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</si>
  <si>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</si>
  <si>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</si>
  <si>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</si>
  <si>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</si>
  <si>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</si>
  <si>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</si>
  <si>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31229282</t>
  </si>
  <si>
    <t>23-06-2017 00:00:00</t>
  </si>
  <si>
    <t>28821278</t>
  </si>
  <si>
    <t>ООО «Глобус»</t>
  </si>
  <si>
    <t>5031075380</t>
  </si>
  <si>
    <t>13-10-2007 00:00:00</t>
  </si>
  <si>
    <t>28149737</t>
  </si>
  <si>
    <t>ООО «Зодчий+»</t>
  </si>
  <si>
    <t>5013043762</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</si>
  <si>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</si>
  <si>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</si>
  <si>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</si>
  <si>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</si>
  <si>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</si>
  <si>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</si>
  <si>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</si>
  <si>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</si>
  <si>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</si>
  <si>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</si>
  <si>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31616021</t>
  </si>
  <si>
    <t>ООО «КриптонИнвест»</t>
  </si>
  <si>
    <t>7728352508</t>
  </si>
  <si>
    <t>01-11-2016 00:00:00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</si>
  <si>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</si>
  <si>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</si>
  <si>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</si>
  <si>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</si>
  <si>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</si>
  <si>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</si>
  <si>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</si>
  <si>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</si>
  <si>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</si>
  <si>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</si>
  <si>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</si>
  <si>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</si>
  <si>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</si>
  <si>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</si>
  <si>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</si>
  <si>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</si>
  <si>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</si>
  <si>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</si>
  <si>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26504771</t>
  </si>
  <si>
    <t>ООО «Системы жизнеобеспечения»</t>
  </si>
  <si>
    <t>5015003500</t>
  </si>
  <si>
    <t>31528512</t>
  </si>
  <si>
    <t>ООО «Смарт Энерго»</t>
  </si>
  <si>
    <t>5047252034</t>
  </si>
  <si>
    <t>27-05-2021 00:00:00</t>
  </si>
  <si>
    <t>28868900</t>
  </si>
  <si>
    <t>ООО «ТЕПЛОГЕНЕРАЦИЯ»</t>
  </si>
  <si>
    <t>5047153185</t>
  </si>
  <si>
    <t>31026212</t>
  </si>
  <si>
    <t>ООО «ТЕПЛОЭНЕРГОСБЫТ»</t>
  </si>
  <si>
    <t>5024172505</t>
  </si>
  <si>
    <t>07-02-2017 00:00:00</t>
  </si>
  <si>
    <t>31577708</t>
  </si>
  <si>
    <t>ООО «ТЭК - 9»</t>
  </si>
  <si>
    <t>5017126748</t>
  </si>
  <si>
    <t>06-10-2021 00:00:00</t>
  </si>
  <si>
    <t>28451478</t>
  </si>
  <si>
    <t>ООО «Теплосервис»</t>
  </si>
  <si>
    <t>5008051528</t>
  </si>
  <si>
    <t>26825800</t>
  </si>
  <si>
    <t>ООО «Теплоцентраль – ЖКХ»</t>
  </si>
  <si>
    <t>5013054796</t>
  </si>
  <si>
    <t>501301001</t>
  </si>
  <si>
    <t>26802294</t>
  </si>
  <si>
    <t>ООО «Теплоэлектрогенерация»</t>
  </si>
  <si>
    <t>5027153980</t>
  </si>
  <si>
    <t>31601762</t>
  </si>
  <si>
    <t>ООО «Техностром-Центр»</t>
  </si>
  <si>
    <t>5022060179</t>
  </si>
  <si>
    <t>30-04-2020 00:00:00</t>
  </si>
  <si>
    <t>28821045</t>
  </si>
  <si>
    <t>ООО «ЭК Солид»</t>
  </si>
  <si>
    <t>5027129723</t>
  </si>
  <si>
    <t>30838588</t>
  </si>
  <si>
    <t>ООО «Энерго Трансфер»</t>
  </si>
  <si>
    <t>5053031065</t>
  </si>
  <si>
    <t>26548237</t>
  </si>
  <si>
    <t>ООО Жилой комплекс  "Жемчужина"</t>
  </si>
  <si>
    <t>5032123685</t>
  </si>
  <si>
    <t>26357854</t>
  </si>
  <si>
    <t>ООО МЗ "Тонар"</t>
  </si>
  <si>
    <t>5034016022</t>
  </si>
  <si>
    <t>25-06-1998 00:00:00</t>
  </si>
  <si>
    <t>26360921</t>
  </si>
  <si>
    <t>ООО НПО "Союз-М"</t>
  </si>
  <si>
    <t>7701048405</t>
  </si>
  <si>
    <t>04-04-1995 00:00:00</t>
  </si>
  <si>
    <t>26517800</t>
  </si>
  <si>
    <t>ООО НПП "Галактика"</t>
  </si>
  <si>
    <t>5038000200</t>
  </si>
  <si>
    <t>26773009</t>
  </si>
  <si>
    <t>ООО Охранно-юридическое бюро"ПАРТНЕР"</t>
  </si>
  <si>
    <t>5027131666</t>
  </si>
  <si>
    <t>13-08-2008 00:00:00</t>
  </si>
  <si>
    <t>26357850</t>
  </si>
  <si>
    <t>ООО ПО "РемЖилСервис"</t>
  </si>
  <si>
    <t>5032133588</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</si>
  <si>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</si>
  <si>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</si>
  <si>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</si>
  <si>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</si>
  <si>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</si>
  <si>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</si>
  <si>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</si>
  <si>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</si>
  <si>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</si>
  <si>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</si>
  <si>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</si>
  <si>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</si>
  <si>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</si>
  <si>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</si>
  <si>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</si>
  <si>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28546513</t>
  </si>
  <si>
    <t>ООО Управляющая компания "ПрестижСервис"</t>
  </si>
  <si>
    <t>5045053900</t>
  </si>
  <si>
    <t>31225170</t>
  </si>
  <si>
    <t>ООО Фирма"Здоровье"</t>
  </si>
  <si>
    <t>7730713208</t>
  </si>
  <si>
    <t>25-09-2014 00:00:00</t>
  </si>
  <si>
    <t>26548241</t>
  </si>
  <si>
    <t>ООО Фонд развития Международного университета филиал "Кунцево"</t>
  </si>
  <si>
    <t>5032018296</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</si>
  <si>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</si>
  <si>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</si>
  <si>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</si>
  <si>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</si>
  <si>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</si>
  <si>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</si>
  <si>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</si>
  <si>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</si>
  <si>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</si>
  <si>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</si>
  <si>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</si>
  <si>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26583867</t>
  </si>
  <si>
    <t>Одинцовское ПАТП филиал ГУП МО "Мострансавто" г. Одинцово</t>
  </si>
  <si>
    <t>26509167</t>
  </si>
  <si>
    <t>Оздоровительное объединение "Солнечный городок" Банка России</t>
  </si>
  <si>
    <t>7702235133</t>
  </si>
  <si>
    <t>770245016</t>
  </si>
  <si>
    <t>17-01-2001 00:00:00</t>
  </si>
  <si>
    <t>27019654</t>
  </si>
  <si>
    <t>Отделение областных ТВ и ЧМ передатчиков</t>
  </si>
  <si>
    <t>7717127211</t>
  </si>
  <si>
    <t>505331002</t>
  </si>
  <si>
    <t>26785891</t>
  </si>
  <si>
    <t>Отделение филиала "РТРС" "МРЦ" - Радиоцентр № 9</t>
  </si>
  <si>
    <t>503131001</t>
  </si>
  <si>
    <t>26511072</t>
  </si>
  <si>
    <t>Отделение филиала "РТРС" "МРЦ" Радиоцентр №7</t>
  </si>
  <si>
    <t>503432001</t>
  </si>
  <si>
    <t>26324422</t>
  </si>
  <si>
    <t>Открытое акционерное общество "ГТ-ТЭЦ Энерго"</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</si>
  <si>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</si>
  <si>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</si>
  <si>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</si>
  <si>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</si>
  <si>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</si>
  <si>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</si>
  <si>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</si>
  <si>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</si>
  <si>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</si>
  <si>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</si>
  <si>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</si>
  <si>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</si>
  <si>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</si>
  <si>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</si>
  <si>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</si>
  <si>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</si>
  <si>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</si>
  <si>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</si>
  <si>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</si>
  <si>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</si>
  <si>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</si>
  <si>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</si>
  <si>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</si>
  <si>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</si>
  <si>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</si>
  <si>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</si>
  <si>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</si>
  <si>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</si>
  <si>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</si>
  <si>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</si>
  <si>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</si>
  <si>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</si>
  <si>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</si>
  <si>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</si>
  <si>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</si>
  <si>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</si>
  <si>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</si>
  <si>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</si>
  <si>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</si>
  <si>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</si>
  <si>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</si>
  <si>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</si>
  <si>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</si>
  <si>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</si>
  <si>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</si>
  <si>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</si>
  <si>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</si>
  <si>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</si>
  <si>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</si>
  <si>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</si>
  <si>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26358042</t>
  </si>
  <si>
    <t>ПК "Дулевский фарфор"</t>
  </si>
  <si>
    <t>5073087612</t>
  </si>
  <si>
    <t>26549249</t>
  </si>
  <si>
    <t>ПК "Корпорация Электрогорскмебель"</t>
  </si>
  <si>
    <t>5035025069</t>
  </si>
  <si>
    <t>509095001</t>
  </si>
  <si>
    <t>26357715</t>
  </si>
  <si>
    <t>ПСК ОАО "Щуровский комбинат"</t>
  </si>
  <si>
    <t>5022015063</t>
  </si>
  <si>
    <t>26357535</t>
  </si>
  <si>
    <t>Павлово-Посадское ПАТП филиал ГУП МО "Мострансавто"</t>
  </si>
  <si>
    <t>503502001</t>
  </si>
  <si>
    <t>26548189</t>
  </si>
  <si>
    <t>Пансионат "Морозовка"</t>
  </si>
  <si>
    <t>7736050003</t>
  </si>
  <si>
    <t>25-02-1993 00:00:00</t>
  </si>
  <si>
    <t>26357534</t>
  </si>
  <si>
    <t>Пансионат "Нара" филиал ГУП МО "Мострансавто"</t>
  </si>
  <si>
    <t>503002002</t>
  </si>
  <si>
    <t>25-08-1997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</si>
  <si>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</si>
  <si>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</si>
  <si>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</si>
  <si>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</si>
  <si>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</si>
  <si>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</si>
  <si>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</si>
  <si>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26357880</t>
  </si>
  <si>
    <t>Протвинский филиал ФГУП "НИИ НПО "Луч"</t>
  </si>
  <si>
    <t>5036005308</t>
  </si>
  <si>
    <t>503702001</t>
  </si>
  <si>
    <t>26357594</t>
  </si>
  <si>
    <t>Психоневрологический интернат №5</t>
  </si>
  <si>
    <t>5005001215</t>
  </si>
  <si>
    <t>22-01-2015 00:00:00</t>
  </si>
  <si>
    <t>26357996</t>
  </si>
  <si>
    <t>Пустошинское МУ ЖКП</t>
  </si>
  <si>
    <t>5049003971</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</si>
  <si>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</si>
  <si>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</si>
  <si>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</si>
  <si>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</si>
  <si>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</si>
  <si>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</si>
  <si>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</si>
  <si>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26357599</t>
  </si>
  <si>
    <t>РПО ЖКХ</t>
  </si>
  <si>
    <t>5005038663</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</si>
  <si>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</si>
  <si>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</si>
  <si>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</si>
  <si>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</si>
  <si>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</si>
  <si>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</si>
  <si>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</si>
  <si>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</si>
  <si>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</si>
  <si>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</si>
  <si>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</si>
  <si>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26360919</t>
  </si>
  <si>
    <t>СЭУ ОАО "Трансинжстрой"</t>
  </si>
  <si>
    <t>26449407</t>
  </si>
  <si>
    <t>Свечинский районный телекоммуникационный узел (РТУ) Кировского филиала ОАО "Волгателеком"</t>
  </si>
  <si>
    <t>5260901817</t>
  </si>
  <si>
    <t>432832002</t>
  </si>
  <si>
    <t>24-06-2011 00:00:00</t>
  </si>
  <si>
    <t>26358071</t>
  </si>
  <si>
    <t>Серпуховского района "ДЕЗ"</t>
  </si>
  <si>
    <t>5077015457</t>
  </si>
  <si>
    <t>26775088</t>
  </si>
  <si>
    <t>Серпуховское управление магистральных газопроводов ООО "Газпром трансгаз Москва"</t>
  </si>
  <si>
    <t>507702001</t>
  </si>
  <si>
    <t>26584987</t>
  </si>
  <si>
    <t>Солнечногорское ПАТП филиал ГУП МО "Мострансавто"</t>
  </si>
  <si>
    <t>26357946</t>
  </si>
  <si>
    <t>Ставропигиальный мужской монастырь Свято-Троицкая Сергиева Лавра</t>
  </si>
  <si>
    <t>5042016770</t>
  </si>
  <si>
    <t>26357859</t>
  </si>
  <si>
    <t>ТСЖ "Звезда"</t>
  </si>
  <si>
    <t>5034018252</t>
  </si>
  <si>
    <t>31521266</t>
  </si>
  <si>
    <t>ТСЖ "Опытное 22"</t>
  </si>
  <si>
    <t>5001054632</t>
  </si>
  <si>
    <t>23-12-2005 00:00:00</t>
  </si>
  <si>
    <t>26357597</t>
  </si>
  <si>
    <t>ТФ Возрождение</t>
  </si>
  <si>
    <t>26548203</t>
  </si>
  <si>
    <t>Туголесское МУЖКП</t>
  </si>
  <si>
    <t>5049003749</t>
  </si>
  <si>
    <t>05-12-2013 00:00:00</t>
  </si>
  <si>
    <t>26357735</t>
  </si>
  <si>
    <t>УМП "Лобненская Теплосеть"</t>
  </si>
  <si>
    <t>5025000315</t>
  </si>
  <si>
    <t>502501001</t>
  </si>
  <si>
    <t>26361043</t>
  </si>
  <si>
    <t>УСС №5 при Спецстрое России</t>
  </si>
  <si>
    <t>7720242535</t>
  </si>
  <si>
    <t>504102006</t>
  </si>
  <si>
    <t>26357596</t>
  </si>
  <si>
    <t>Управление по эксплуатации делового центра</t>
  </si>
  <si>
    <t>997250001</t>
  </si>
  <si>
    <t>26357913</t>
  </si>
  <si>
    <t>Учреждение Российской академии наук Институт биохимии и физиологии микроорганизмов им. Г.К. Скрябина</t>
  </si>
  <si>
    <t>5039000146</t>
  </si>
  <si>
    <t>31481499</t>
  </si>
  <si>
    <t>ФАУ "ЦИАМ им. П.И. Баранова"</t>
  </si>
  <si>
    <t>7722497881</t>
  </si>
  <si>
    <t>502745001</t>
  </si>
  <si>
    <t>01-03-2021 00:00:00</t>
  </si>
  <si>
    <t>26358044</t>
  </si>
  <si>
    <t>ФБУ «Санаторий «Вороново» Министерства экономического развития Российской Федерации»</t>
  </si>
  <si>
    <t>5074001505</t>
  </si>
  <si>
    <t>01-01-2015 00:00:00</t>
  </si>
  <si>
    <t>28049182</t>
  </si>
  <si>
    <t>ФГАУ "ОК "Рублево-Успенский"</t>
  </si>
  <si>
    <t>0710002588</t>
  </si>
  <si>
    <t>05-10-2001 00:00:00</t>
  </si>
  <si>
    <t>26357968</t>
  </si>
  <si>
    <t>ФГАУ "ОК "Шереметьевский" УДП РФ</t>
  </si>
  <si>
    <t>5047046105</t>
  </si>
  <si>
    <t>27-12-2017 00:00:00</t>
  </si>
  <si>
    <t>26357988</t>
  </si>
  <si>
    <t>ФГАУ «ОК «Шереметьевский» УДП РФ»</t>
  </si>
  <si>
    <t>28878536</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</si>
  <si>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</si>
  <si>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</si>
  <si>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</si>
  <si>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</si>
  <si>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</si>
  <si>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</si>
  <si>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</si>
  <si>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</si>
  <si>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</si>
  <si>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</si>
  <si>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</si>
  <si>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</si>
  <si>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</si>
  <si>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</si>
  <si>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</si>
  <si>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</si>
  <si>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</si>
  <si>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</si>
  <si>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</si>
  <si>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</si>
  <si>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</si>
  <si>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</si>
  <si>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</si>
  <si>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</si>
  <si>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</si>
  <si>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</si>
  <si>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</si>
  <si>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</si>
  <si>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</si>
  <si>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</si>
  <si>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</si>
  <si>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</si>
  <si>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</si>
  <si>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</si>
  <si>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</si>
  <si>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</si>
  <si>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</si>
  <si>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</si>
  <si>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</si>
  <si>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</si>
  <si>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</si>
  <si>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</si>
  <si>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</si>
  <si>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</si>
  <si>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</si>
  <si>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</si>
  <si>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</si>
  <si>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</si>
  <si>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</si>
  <si>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</si>
  <si>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</si>
  <si>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</si>
  <si>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28821410</t>
  </si>
  <si>
    <t>ФГБУ "ТЦСКР "Озеро Круглое"</t>
  </si>
  <si>
    <t>5007088910</t>
  </si>
  <si>
    <t>29-10-2014 00:00:00</t>
  </si>
  <si>
    <t>28441503</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</si>
  <si>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</si>
  <si>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</si>
  <si>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</si>
  <si>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</si>
  <si>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</si>
  <si>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</si>
  <si>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</si>
  <si>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</si>
  <si>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</si>
  <si>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</si>
  <si>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</si>
  <si>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</si>
  <si>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</si>
  <si>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</si>
  <si>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</si>
  <si>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</si>
  <si>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</si>
  <si>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</si>
  <si>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</si>
  <si>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</si>
  <si>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</si>
  <si>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</si>
  <si>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26357891</t>
  </si>
  <si>
    <t>ФГБУ ГНЦ ИФВЭ</t>
  </si>
  <si>
    <t>25-10-2012 00:00:00</t>
  </si>
  <si>
    <t>26357989</t>
  </si>
  <si>
    <t>ФГБУ Санаторий "Русское поле" для детей с родителями Минздрава России</t>
  </si>
  <si>
    <t>5048050739</t>
  </si>
  <si>
    <t>31442683</t>
  </si>
  <si>
    <t>ФГБУ ФКЦ ВМТ ФМБА России</t>
  </si>
  <si>
    <t>5047001270</t>
  </si>
  <si>
    <t>25-11-1993 00:00:00</t>
  </si>
  <si>
    <t>27579764</t>
  </si>
  <si>
    <t>ФГБУ ФНКЦ МРиК ФМБА России</t>
  </si>
  <si>
    <t>5044013246</t>
  </si>
  <si>
    <t>24-08-2021 00:00:00</t>
  </si>
  <si>
    <t>30834128</t>
  </si>
  <si>
    <t>ФГБУ санаторий "Ока" Минздрава России</t>
  </si>
  <si>
    <t>5033001760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</si>
  <si>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</si>
  <si>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</si>
  <si>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</si>
  <si>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</si>
  <si>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</si>
  <si>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</si>
  <si>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</si>
  <si>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</si>
  <si>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</si>
  <si>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</si>
  <si>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</si>
  <si>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</si>
  <si>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</si>
  <si>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</si>
  <si>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</si>
  <si>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</si>
  <si>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</si>
  <si>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</si>
  <si>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</si>
  <si>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</si>
  <si>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</si>
  <si>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</si>
  <si>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</si>
  <si>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</si>
  <si>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</si>
  <si>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</si>
  <si>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</si>
  <si>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</si>
  <si>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</si>
  <si>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</si>
  <si>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</si>
  <si>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27727572</t>
  </si>
  <si>
    <t>ФГКУ комбинат "Березка" Росрезерва</t>
  </si>
  <si>
    <t>5036025537</t>
  </si>
  <si>
    <t>12-11-2021 00:00:00</t>
  </si>
  <si>
    <t>26508705</t>
  </si>
  <si>
    <t>ФГКЭУ "Коломенская КЭЧ района" Министерства обороны РФ</t>
  </si>
  <si>
    <t>5022022261</t>
  </si>
  <si>
    <t>26357557</t>
  </si>
  <si>
    <t>ФГКЭУ "Теплый стан"</t>
  </si>
  <si>
    <t>5003014441</t>
  </si>
  <si>
    <t>26357936</t>
  </si>
  <si>
    <t>ФГОУ СПО "Всероссийский аграрный колледж"</t>
  </si>
  <si>
    <t>5042004292</t>
  </si>
  <si>
    <t>26776082</t>
  </si>
  <si>
    <t>ФГУ "Бронницкая КЭЧ района Минобороны России"</t>
  </si>
  <si>
    <t>5002099347</t>
  </si>
  <si>
    <t>26357835</t>
  </si>
  <si>
    <t>ФГУ "Клинический санаторий "Барвиха"</t>
  </si>
  <si>
    <t>5032028368</t>
  </si>
  <si>
    <t>26511046</t>
  </si>
  <si>
    <t>ФГУ "Марфинский центральный военный клинический санаторий" МО РФ</t>
  </si>
  <si>
    <t>5029030328</t>
  </si>
  <si>
    <t>26357769</t>
  </si>
  <si>
    <t>ФГУ "Мытищинская КЭЧ района" Минобороны России</t>
  </si>
  <si>
    <t>5029009189</t>
  </si>
  <si>
    <t>772501001</t>
  </si>
  <si>
    <t>26357720</t>
  </si>
  <si>
    <t>ФГУ 3 ЦВКГ им. А.А.Вишневского МО РФ"</t>
  </si>
  <si>
    <t>5024000030</t>
  </si>
  <si>
    <t>26357543</t>
  </si>
  <si>
    <t>ФГУ Балашихинская КЭЧ района МО</t>
  </si>
  <si>
    <t>5001001373</t>
  </si>
  <si>
    <t>26758748</t>
  </si>
  <si>
    <t>ФГУ ДЭП № 14</t>
  </si>
  <si>
    <t>5027034045</t>
  </si>
  <si>
    <t>26510872</t>
  </si>
  <si>
    <t>ФГУ ДЭП-24</t>
  </si>
  <si>
    <t>5024000633</t>
  </si>
  <si>
    <t>26357739</t>
  </si>
  <si>
    <t>ФГУ Комбинат "Первомайский"</t>
  </si>
  <si>
    <t>5027001755</t>
  </si>
  <si>
    <t>26357837</t>
  </si>
  <si>
    <t>ФГУ Петелинская КЭЧ</t>
  </si>
  <si>
    <t>5032030430</t>
  </si>
  <si>
    <t>26357722</t>
  </si>
  <si>
    <t>ФГУ ЦВКС "Архангельское"</t>
  </si>
  <si>
    <t>5024000256</t>
  </si>
  <si>
    <t>26357953</t>
  </si>
  <si>
    <t>ФГУ комбинат "Окский"</t>
  </si>
  <si>
    <t>5043006768</t>
  </si>
  <si>
    <t>26357749</t>
  </si>
  <si>
    <t>ФГУП "41 Центральный завод"</t>
  </si>
  <si>
    <t>5027035874</t>
  </si>
  <si>
    <t>26357954</t>
  </si>
  <si>
    <t>ФГУП "75 Арсенал"</t>
  </si>
  <si>
    <t>5043009720</t>
  </si>
  <si>
    <t>26504902</t>
  </si>
  <si>
    <t>ФГУП "АТУ" ФСБ России"</t>
  </si>
  <si>
    <t>5003005239</t>
  </si>
  <si>
    <t>22-03-2013 00:00:00</t>
  </si>
  <si>
    <t>26357961</t>
  </si>
  <si>
    <t>ФГУП "ВНИИФТРИ"</t>
  </si>
  <si>
    <t>5044000102</t>
  </si>
  <si>
    <t>28047438</t>
  </si>
  <si>
    <t>ФГУП "ГУССТ №1 при Спецстрое России"</t>
  </si>
  <si>
    <t>1835052755</t>
  </si>
  <si>
    <t>28176875</t>
  </si>
  <si>
    <t>ФГУП "Комплекс"</t>
  </si>
  <si>
    <t>910301001</t>
  </si>
  <si>
    <t>26778091</t>
  </si>
  <si>
    <t>ФГУП "Конструкторское бюро машиностроения"</t>
  </si>
  <si>
    <t>5022020899</t>
  </si>
  <si>
    <t>26357826</t>
  </si>
  <si>
    <t>ФГУП "Пиломакс" ФСБ РФ</t>
  </si>
  <si>
    <t>5032021718</t>
  </si>
  <si>
    <t>26360926</t>
  </si>
  <si>
    <t>ФГУП "РАДОН"</t>
  </si>
  <si>
    <t>7704009700</t>
  </si>
  <si>
    <t>27-05-1994 00:00:00</t>
  </si>
  <si>
    <t>26357847</t>
  </si>
  <si>
    <t>ФГУП "Рублево-Успенский ЛОК"</t>
  </si>
  <si>
    <t>5032067134</t>
  </si>
  <si>
    <t>29-05-2023 00:00:00</t>
  </si>
  <si>
    <t>26773416</t>
  </si>
  <si>
    <t>ФГУП "Совхоз имени XXI съезда КПСС"</t>
  </si>
  <si>
    <t>5003008991</t>
  </si>
  <si>
    <t>26511927</t>
  </si>
  <si>
    <t>ФГУП "УССТ № 1 при Спецстрое России"</t>
  </si>
  <si>
    <t>7734176339</t>
  </si>
  <si>
    <t>26434620</t>
  </si>
  <si>
    <t>ФГУП "ФТ-Центр"</t>
  </si>
  <si>
    <t>7709007859</t>
  </si>
  <si>
    <t>29-11-2022 00:00:00</t>
  </si>
  <si>
    <t>26357743</t>
  </si>
  <si>
    <t>ФГУП "ФЦДТ "Союз"</t>
  </si>
  <si>
    <t>5027030450</t>
  </si>
  <si>
    <t>505601001</t>
  </si>
  <si>
    <t>26361046</t>
  </si>
  <si>
    <t>ФГУП "ЦИАМ им. П.И. Баранова"</t>
  </si>
  <si>
    <t>7722016820</t>
  </si>
  <si>
    <t>26358008</t>
  </si>
  <si>
    <t>ФГУП "Щелковский биокомбинат"</t>
  </si>
  <si>
    <t>5050013999</t>
  </si>
  <si>
    <t>26357942</t>
  </si>
  <si>
    <t>5042010458</t>
  </si>
  <si>
    <t>29-12-1991 00:00:00</t>
  </si>
  <si>
    <t>26567456</t>
  </si>
  <si>
    <t>ФГУП «Коренево» Россельхозакадемии</t>
  </si>
  <si>
    <t>5027031319</t>
  </si>
  <si>
    <t>09-08-2021 00:00:00</t>
  </si>
  <si>
    <t>26357575</t>
  </si>
  <si>
    <t>ФГУП АПК "Воскресенский"</t>
  </si>
  <si>
    <t>5003034790</t>
  </si>
  <si>
    <t>10-02-2020 00:00:00</t>
  </si>
  <si>
    <t>26508663</t>
  </si>
  <si>
    <t>ФГУП ДЭП № 29</t>
  </si>
  <si>
    <t>5019022906</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</si>
  <si>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</si>
  <si>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</si>
  <si>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</si>
  <si>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</si>
  <si>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</si>
  <si>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</si>
  <si>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</si>
  <si>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</si>
  <si>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</si>
  <si>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</si>
  <si>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</si>
  <si>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</si>
  <si>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</si>
  <si>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</si>
  <si>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</si>
  <si>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</si>
  <si>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</si>
  <si>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</si>
  <si>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</si>
  <si>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</si>
  <si>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</si>
  <si>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</si>
  <si>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</si>
  <si>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</si>
  <si>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28261480</t>
  </si>
  <si>
    <t>ФКУ ФМС России "УМиРЦ "Болшево"</t>
  </si>
  <si>
    <t>5018036159</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</si>
  <si>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</si>
  <si>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</si>
  <si>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</si>
  <si>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</si>
  <si>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</si>
  <si>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</si>
  <si>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</si>
  <si>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</si>
  <si>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</si>
  <si>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27780543</t>
  </si>
  <si>
    <t>ФСО России</t>
  </si>
  <si>
    <t>7704055094</t>
  </si>
  <si>
    <t>770401000</t>
  </si>
  <si>
    <t>28454864</t>
  </si>
  <si>
    <t>04-02-2003 00:00:00</t>
  </si>
  <si>
    <t>26627352</t>
  </si>
  <si>
    <t>Филиал "ДЭЗС" ФГУП "УСС № 12 при Спецстрое России"</t>
  </si>
  <si>
    <t>773443005</t>
  </si>
  <si>
    <t>27980582</t>
  </si>
  <si>
    <t>Филиал "Каширская ГРЭС" АО "Интер РАО- Электрогенерация"</t>
  </si>
  <si>
    <t>7704784450</t>
  </si>
  <si>
    <t>501943001</t>
  </si>
  <si>
    <t>15-06-2011 00:00:00</t>
  </si>
  <si>
    <t>28868915</t>
  </si>
  <si>
    <t>Филиал "УМиА № 221" ФГУП "ГУИР № 2 при Спецстрое России"</t>
  </si>
  <si>
    <t>7714027459</t>
  </si>
  <si>
    <t>504702006</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</si>
  <si>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</si>
  <si>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</si>
  <si>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</si>
  <si>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</si>
  <si>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</si>
  <si>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</si>
  <si>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</si>
  <si>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</si>
  <si>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</si>
  <si>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26361216</t>
  </si>
  <si>
    <t>Филиал «Шатурская ГРЭС»</t>
  </si>
  <si>
    <t>5049014740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</si>
  <si>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</si>
  <si>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</si>
  <si>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</si>
  <si>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</si>
  <si>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</si>
  <si>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</si>
  <si>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</si>
  <si>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</si>
  <si>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</si>
  <si>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</si>
  <si>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28426965</t>
  </si>
  <si>
    <t>Филиал ГУП МО "КС МО" "РКС "</t>
  </si>
  <si>
    <t>505543001</t>
  </si>
  <si>
    <t>27-12-2002 00:00:00</t>
  </si>
  <si>
    <t>26508609</t>
  </si>
  <si>
    <t>Филиал ОАО "Лафарж Цемент" (Воскресенскцемент)</t>
  </si>
  <si>
    <t>5005001494</t>
  </si>
  <si>
    <t>500502001</t>
  </si>
  <si>
    <t>09-10-2007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</si>
  <si>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</si>
  <si>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</si>
  <si>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</si>
  <si>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</si>
  <si>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</si>
  <si>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</si>
  <si>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</si>
  <si>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</si>
  <si>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</si>
  <si>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</si>
  <si>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</si>
  <si>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</si>
  <si>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</si>
  <si>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</si>
  <si>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</si>
  <si>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</si>
  <si>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</si>
  <si>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</si>
  <si>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26358006</t>
  </si>
  <si>
    <t>Чкаловская квартирно-эксплутационная часть</t>
  </si>
  <si>
    <t>5050011180</t>
  </si>
  <si>
    <t>26548160</t>
  </si>
  <si>
    <t>ШПТО ГХ</t>
  </si>
  <si>
    <t>5049003153</t>
  </si>
  <si>
    <t>25-01-1999 00:00:00</t>
  </si>
  <si>
    <t>28441571</t>
  </si>
  <si>
    <t>Электрогорский филиал ООО «ТСК Мосэнерго»</t>
  </si>
  <si>
    <t>503543002</t>
  </si>
  <si>
    <t>26357723</t>
  </si>
  <si>
    <t>в/ч 03353</t>
  </si>
  <si>
    <t>5024000270</t>
  </si>
  <si>
    <t>26361014</t>
  </si>
  <si>
    <t>в/ч 67775</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</si>
  <si>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</si>
  <si>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</si>
  <si>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</si>
  <si>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</si>
  <si>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</si>
  <si>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</si>
  <si>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</si>
  <si>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</si>
  <si>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</si>
  <si>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</si>
  <si>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</si>
  <si>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30945710</t>
  </si>
  <si>
    <t>АО "ЮИТ МР"</t>
  </si>
  <si>
    <t>5005053622</t>
  </si>
  <si>
    <t>07-04-2011 00:00:00</t>
  </si>
  <si>
    <t>26548325</t>
  </si>
  <si>
    <t>АО МК "ШАТУРА"</t>
  </si>
  <si>
    <t>5049007736</t>
  </si>
  <si>
    <t>16-10-1992 00:00:00</t>
  </si>
  <si>
    <t>26794673</t>
  </si>
  <si>
    <t>АУ «Сельское поселение Буньковское»</t>
  </si>
  <si>
    <t>5031065409</t>
  </si>
  <si>
    <t>05-04-2019 00:00:00</t>
  </si>
  <si>
    <t>26652115</t>
  </si>
  <si>
    <t>В/ч 96000</t>
  </si>
  <si>
    <t>5012058639</t>
  </si>
  <si>
    <t>30873544</t>
  </si>
  <si>
    <t>ГБУЗ "ГБ № 45 ДЗМ"</t>
  </si>
  <si>
    <t>5032239506</t>
  </si>
  <si>
    <t>29-05-2016 00:00:00</t>
  </si>
  <si>
    <t>31-01-2019 00:00:00</t>
  </si>
  <si>
    <t>28047561</t>
  </si>
  <si>
    <t>ДНП "РОУД"</t>
  </si>
  <si>
    <t>5017054282</t>
  </si>
  <si>
    <t>28047529</t>
  </si>
  <si>
    <t>ДНП "Чистые пруды"</t>
  </si>
  <si>
    <t>5017088926</t>
  </si>
  <si>
    <t>08-12-2010 00:00:00</t>
  </si>
  <si>
    <t>26357638</t>
  </si>
  <si>
    <t>ЕМУП "Алникс"</t>
  </si>
  <si>
    <t>5011017380</t>
  </si>
  <si>
    <t>26548093</t>
  </si>
  <si>
    <t>ЗАО "Можайский"</t>
  </si>
  <si>
    <t>5028000377</t>
  </si>
  <si>
    <t>26504934</t>
  </si>
  <si>
    <t>ЗАО ПО «Карасевский керамический завод»</t>
  </si>
  <si>
    <t>5027130359</t>
  </si>
  <si>
    <t>26357633</t>
  </si>
  <si>
    <t>МУП  г. Дубны "ПТО ГХ"</t>
  </si>
  <si>
    <t>5010010769</t>
  </si>
  <si>
    <t>26548215</t>
  </si>
  <si>
    <t>5043019742</t>
  </si>
  <si>
    <t>27-09-2000 00:00:00</t>
  </si>
  <si>
    <t>26357966</t>
  </si>
  <si>
    <t>МУП "Городское хозяйство" г.о. Солнечногорск</t>
  </si>
  <si>
    <t>5044069577</t>
  </si>
  <si>
    <t>26771772</t>
  </si>
  <si>
    <t>МУП "Дирекция территориального развития и коммунального хозяйства г.п. Поварово"</t>
  </si>
  <si>
    <t>5044069471</t>
  </si>
  <si>
    <t>16-08-2019 00:00:00</t>
  </si>
  <si>
    <t>26357641</t>
  </si>
  <si>
    <t>МУП "Новь"</t>
  </si>
  <si>
    <t>5011018111</t>
  </si>
  <si>
    <t>28047610</t>
  </si>
  <si>
    <t>НП «ЦАРСКОЕ СЕЛО»</t>
  </si>
  <si>
    <t>5017088669</t>
  </si>
  <si>
    <t>28-10-2020 00:00:00</t>
  </si>
  <si>
    <t>26548061</t>
  </si>
  <si>
    <t>ОАО "Барвиха"</t>
  </si>
  <si>
    <t>5032200065</t>
  </si>
  <si>
    <t>26358039</t>
  </si>
  <si>
    <t>ОАО "Водотеплоканализационное хозяйство"</t>
  </si>
  <si>
    <t>5072724210</t>
  </si>
  <si>
    <t>27996896</t>
  </si>
  <si>
    <t>ОАО "ЖКХ г.п. Деденево"</t>
  </si>
  <si>
    <t>5007083703</t>
  </si>
  <si>
    <t>07-06-2021 00:00:00</t>
  </si>
  <si>
    <t>26548409</t>
  </si>
  <si>
    <t>ОАО "РЭП Ершово"</t>
  </si>
  <si>
    <t>5032200019</t>
  </si>
  <si>
    <t>26357801</t>
  </si>
  <si>
    <t>ООО  "502 завод по ремонту военно-технического имущества"</t>
  </si>
  <si>
    <t>5031085677</t>
  </si>
  <si>
    <t>28798805</t>
  </si>
  <si>
    <t>ООО "АВАНТЕЛЬ МЕНЕДЖМЕНТ"</t>
  </si>
  <si>
    <t>7706661380</t>
  </si>
  <si>
    <t>18-06-2007 00:00:00</t>
  </si>
  <si>
    <t>27517960</t>
  </si>
  <si>
    <t>ООО "Восток сервис"</t>
  </si>
  <si>
    <t>5031095523</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</si>
  <si>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</si>
  <si>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</si>
  <si>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</si>
  <si>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</si>
  <si>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</si>
  <si>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</si>
  <si>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</si>
  <si>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</si>
  <si>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</si>
  <si>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</si>
  <si>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</si>
  <si>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</si>
  <si>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27731444</t>
  </si>
  <si>
    <t>ООО "ОКС"</t>
  </si>
  <si>
    <t>5019023949</t>
  </si>
  <si>
    <t>26548183</t>
  </si>
  <si>
    <t>ООО "Промкомбинат"</t>
  </si>
  <si>
    <t>5009057480</t>
  </si>
  <si>
    <t>26776067</t>
  </si>
  <si>
    <t>ООО "СКМ Энергосервис" ОП</t>
  </si>
  <si>
    <t>26509255</t>
  </si>
  <si>
    <t>ООО "Строитель-плюс"</t>
  </si>
  <si>
    <t>5074012017</t>
  </si>
  <si>
    <t>27653209</t>
  </si>
  <si>
    <t>ООО "Тепло-ремсервиз"</t>
  </si>
  <si>
    <t>7704753363</t>
  </si>
  <si>
    <t>26650101</t>
  </si>
  <si>
    <t>ООО "УК "Новатор +"</t>
  </si>
  <si>
    <t>5031092184</t>
  </si>
  <si>
    <t>27284574</t>
  </si>
  <si>
    <t>ООО "УК Олимп+"</t>
  </si>
  <si>
    <t>5031094632</t>
  </si>
  <si>
    <t>26357647</t>
  </si>
  <si>
    <t>5011026560</t>
  </si>
  <si>
    <t>27583888</t>
  </si>
  <si>
    <t>ООО "Эксплуатирующая организация "Золотые Купола"</t>
  </si>
  <si>
    <t>5044066946</t>
  </si>
  <si>
    <t>26794668</t>
  </si>
  <si>
    <t>ООО «ЕДС – Ногинск»</t>
  </si>
  <si>
    <t>5031064148</t>
  </si>
  <si>
    <t>26794662</t>
  </si>
  <si>
    <t>ООО «УК «Обухово»</t>
  </si>
  <si>
    <t>5031067766</t>
  </si>
  <si>
    <t>09-10-2018 00:00:00</t>
  </si>
  <si>
    <t>26794665</t>
  </si>
  <si>
    <t>ООО «УК «Фрязево»</t>
  </si>
  <si>
    <t>5031069700</t>
  </si>
  <si>
    <t>28444314</t>
  </si>
  <si>
    <t>ООО ПСК "Подмосковье"</t>
  </si>
  <si>
    <t>5022013475</t>
  </si>
  <si>
    <t>29-11-2021 00:00:00</t>
  </si>
  <si>
    <t>26549219</t>
  </si>
  <si>
    <t>УК "Мамонтово-Ямкино"</t>
  </si>
  <si>
    <t>5031067893</t>
  </si>
  <si>
    <t>26548156</t>
  </si>
  <si>
    <t>ФГУП "УЭ НЦЧ РАН"</t>
  </si>
  <si>
    <t>503104001</t>
  </si>
  <si>
    <t>13-03-2018 00:00:00</t>
  </si>
  <si>
    <t>26361030</t>
  </si>
  <si>
    <t>Филиал «РТРС» «МРЦ»</t>
  </si>
  <si>
    <t>771702001</t>
  </si>
  <si>
    <t>27524295</t>
  </si>
  <si>
    <t>Филиал ОАО «РЭУ» «Западный»</t>
  </si>
  <si>
    <t>503243001</t>
  </si>
  <si>
    <t>26548293</t>
  </si>
  <si>
    <t>"МУП "Водоканал" г. Троицк"</t>
  </si>
  <si>
    <t>5046048090</t>
  </si>
  <si>
    <t>26548031</t>
  </si>
  <si>
    <t>"НИЦИАМТ-ФГУП-НАМИ"</t>
  </si>
  <si>
    <t>7711000924</t>
  </si>
  <si>
    <t>26548361</t>
  </si>
  <si>
    <t>2217 Отделение Морской Инженерной Службы</t>
  </si>
  <si>
    <t>5007020446</t>
  </si>
  <si>
    <t>31254818</t>
  </si>
  <si>
    <t>OOO "Совхоз Электростальский"</t>
  </si>
  <si>
    <t>5053040581</t>
  </si>
  <si>
    <t>20-05-2005 00:00:00</t>
  </si>
  <si>
    <t>26576681</t>
  </si>
  <si>
    <t>«Конструкторское бюро химического машиностроения им. А.М. Исаева – филиал ФГУП «Государственный Казенный научно-производственный центр им. М.В. Хруничева»</t>
  </si>
  <si>
    <t>7730052050</t>
  </si>
  <si>
    <t>17-11-2017 00:00:00</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</si>
  <si>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</si>
  <si>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</si>
  <si>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</si>
  <si>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</si>
  <si>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</si>
  <si>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</si>
  <si>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</si>
  <si>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</si>
  <si>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</si>
  <si>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</si>
  <si>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</si>
  <si>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</si>
  <si>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</si>
  <si>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</si>
  <si>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</si>
  <si>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</si>
  <si>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</si>
  <si>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</si>
  <si>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</si>
  <si>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</si>
  <si>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</si>
  <si>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</si>
  <si>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28268636</t>
  </si>
  <si>
    <t>АО "ГКНПЦ им.М.В.Хруничева", "КБхиммаш им. А.М. Исаева" - филиал АО "ГКНПЦ им. М.В. Хруничева"</t>
  </si>
  <si>
    <t>501832001</t>
  </si>
  <si>
    <t>15-01-2008 00:00:00</t>
  </si>
  <si>
    <t>31033154</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</si>
  <si>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</si>
  <si>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</si>
  <si>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</si>
  <si>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</si>
  <si>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</si>
  <si>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</si>
  <si>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</si>
  <si>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</si>
  <si>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</si>
  <si>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</si>
  <si>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</si>
  <si>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</si>
  <si>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</si>
  <si>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</si>
  <si>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</si>
  <si>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</si>
  <si>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</si>
  <si>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</si>
  <si>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</si>
  <si>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</si>
  <si>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</si>
  <si>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</si>
  <si>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</si>
  <si>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</si>
  <si>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</si>
  <si>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</si>
  <si>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</si>
  <si>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</si>
  <si>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</si>
  <si>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</si>
  <si>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</si>
  <si>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</si>
  <si>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</si>
  <si>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</si>
  <si>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</si>
  <si>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</si>
  <si>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</si>
  <si>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</si>
  <si>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</si>
  <si>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</si>
  <si>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</si>
  <si>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</si>
  <si>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26548103</t>
  </si>
  <si>
    <t>АО "Опытный завод №31 ГА"</t>
  </si>
  <si>
    <t>5050012314</t>
  </si>
  <si>
    <t>24-07-1997 00:00:00</t>
  </si>
  <si>
    <t>01-02-2022 00:00:00</t>
  </si>
  <si>
    <t>28075993</t>
  </si>
  <si>
    <t>АО "Особые экономические зоны"</t>
  </si>
  <si>
    <t>7703591134</t>
  </si>
  <si>
    <t>27-04-2006 00:00:00</t>
  </si>
  <si>
    <t>01-11-2023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</si>
  <si>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</si>
  <si>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</si>
  <si>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</si>
  <si>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</si>
  <si>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</si>
  <si>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</si>
  <si>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</si>
  <si>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</si>
  <si>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</si>
  <si>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</si>
  <si>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</si>
  <si>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28055912</t>
  </si>
  <si>
    <t>АО "Славянка" (Филиал "Тверской")</t>
  </si>
  <si>
    <t>7702707386</t>
  </si>
  <si>
    <t>695043001</t>
  </si>
  <si>
    <t>30-04-2009 00:00:00</t>
  </si>
  <si>
    <t>10-02-2021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</si>
  <si>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</si>
  <si>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</si>
  <si>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</si>
  <si>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</si>
  <si>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</si>
  <si>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</si>
  <si>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</si>
  <si>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</si>
  <si>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</si>
  <si>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</si>
  <si>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</si>
  <si>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</si>
  <si>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</si>
  <si>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</si>
  <si>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</si>
  <si>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</si>
  <si>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30924475</t>
  </si>
  <si>
    <t>АО "ЮИТ Московия"</t>
  </si>
  <si>
    <t>5040059722</t>
  </si>
  <si>
    <t>08-01-2004 00:00:00</t>
  </si>
  <si>
    <t>31-01-2018 00:00:00</t>
  </si>
  <si>
    <t>28436067</t>
  </si>
  <si>
    <t>АО "ЮЛИЯ"</t>
  </si>
  <si>
    <t>7733770067</t>
  </si>
  <si>
    <t>31280306</t>
  </si>
  <si>
    <t>АО «ВЕЛЕДНИКОВО»</t>
  </si>
  <si>
    <t>5017115344</t>
  </si>
  <si>
    <t>26505038</t>
  </si>
  <si>
    <t>АО «ГНЦ РФ ТРИНИТИ»</t>
  </si>
  <si>
    <t>5046005360</t>
  </si>
  <si>
    <t>26505020</t>
  </si>
  <si>
    <t>АО «ЭУК Подмосковье-Сервис»</t>
  </si>
  <si>
    <t>5032047850</t>
  </si>
  <si>
    <t>26548315</t>
  </si>
  <si>
    <t>АО Племхоз "Наро-Осановский"</t>
  </si>
  <si>
    <t>5032025455</t>
  </si>
  <si>
    <t>07-07-1993 00:00:00</t>
  </si>
  <si>
    <t>26568661</t>
  </si>
  <si>
    <t>АУ "С/п Буньковское"</t>
  </si>
  <si>
    <t>5031087410</t>
  </si>
  <si>
    <t>26548255</t>
  </si>
  <si>
    <t>Архангельская КЭЧ</t>
  </si>
  <si>
    <t>5024000070</t>
  </si>
  <si>
    <t>26572745</t>
  </si>
  <si>
    <t>БГГЭ ФГУП "ИМГРЭ"</t>
  </si>
  <si>
    <t>7731007371</t>
  </si>
  <si>
    <t>504002001</t>
  </si>
  <si>
    <t>07-10-1999 00:00:00</t>
  </si>
  <si>
    <t>31347314</t>
  </si>
  <si>
    <t>Банк России</t>
  </si>
  <si>
    <t>02-12-1990 00:00:00</t>
  </si>
  <si>
    <t>26548207</t>
  </si>
  <si>
    <t>В/Ч 73535</t>
  </si>
  <si>
    <t>5032031265</t>
  </si>
  <si>
    <t>26651694</t>
  </si>
  <si>
    <t>ВДО "Космодром"</t>
  </si>
  <si>
    <t>5038019360</t>
  </si>
  <si>
    <t>26548239</t>
  </si>
  <si>
    <t>ВНИЦ ВЭИ – филиал ФГУП ВЭИ</t>
  </si>
  <si>
    <t>7722026032</t>
  </si>
  <si>
    <t>01-03-1992 00:00:00</t>
  </si>
  <si>
    <t>29-12-2017 00:00:00</t>
  </si>
  <si>
    <t>26772706</t>
  </si>
  <si>
    <t>Войсковая часть 12517</t>
  </si>
  <si>
    <t>5038073159</t>
  </si>
  <si>
    <t>502043001</t>
  </si>
  <si>
    <t>13-02-2019 00:00:00</t>
  </si>
  <si>
    <t>26803940</t>
  </si>
  <si>
    <t>Войсковая часть 35690</t>
  </si>
  <si>
    <t>7702232171</t>
  </si>
  <si>
    <t>500102001</t>
  </si>
  <si>
    <t>26548263</t>
  </si>
  <si>
    <t>ГБСУСО МО "Колычевский ПНИ"</t>
  </si>
  <si>
    <t>5011005930</t>
  </si>
  <si>
    <t>15-09-2022 00:00:00</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</si>
  <si>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</si>
  <si>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</si>
  <si>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</si>
  <si>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</si>
  <si>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</si>
  <si>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</si>
  <si>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</si>
  <si>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</si>
  <si>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</si>
  <si>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</si>
  <si>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</si>
  <si>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</si>
  <si>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</si>
  <si>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</si>
  <si>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</si>
  <si>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</si>
  <si>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30837059</t>
  </si>
  <si>
    <t>ГБУЗ МО "МПБ"</t>
  </si>
  <si>
    <t>5029029442</t>
  </si>
  <si>
    <t>15-06-2000 00:00:00</t>
  </si>
  <si>
    <t>26548401</t>
  </si>
  <si>
    <t>ГБУЗ МО "ПБ № 12"</t>
  </si>
  <si>
    <t>5071001391</t>
  </si>
  <si>
    <t>15-03-1994 00:00:00</t>
  </si>
  <si>
    <t>12-08-2022 00:00:00</t>
  </si>
  <si>
    <t>31623493</t>
  </si>
  <si>
    <t>ГБУЗ МО "ПБ № 4" ОСП Микулинское</t>
  </si>
  <si>
    <t>5075003671</t>
  </si>
  <si>
    <t>01-10-1998 00:00:00</t>
  </si>
  <si>
    <t>26548373</t>
  </si>
  <si>
    <t>ГБУЗ МО ПБ №3</t>
  </si>
  <si>
    <t>5011011388</t>
  </si>
  <si>
    <t>31-03-2003 00:00:00</t>
  </si>
  <si>
    <t>26548142</t>
  </si>
  <si>
    <t>ГПУ "Медицинский центр" санаторий Отрадное"</t>
  </si>
  <si>
    <t>772907141</t>
  </si>
  <si>
    <t>26548073</t>
  </si>
  <si>
    <t>ГУЗ "Городская клиническая больница №45 департамента здравоохранения г.Москвы"</t>
  </si>
  <si>
    <t>5032029890</t>
  </si>
  <si>
    <t>26548069</t>
  </si>
  <si>
    <t>ГУП  "Медицинский центр"</t>
  </si>
  <si>
    <t>26548227</t>
  </si>
  <si>
    <t>ГУП "Московский метрополитен"</t>
  </si>
  <si>
    <t>7702038150</t>
  </si>
  <si>
    <t>503203001</t>
  </si>
  <si>
    <t>26548085</t>
  </si>
  <si>
    <t>ГУП ППЗ "Птичное"</t>
  </si>
  <si>
    <t>5030005679</t>
  </si>
  <si>
    <t>28975181</t>
  </si>
  <si>
    <t>ДНП "Зеленые холмы"</t>
  </si>
  <si>
    <t>5024120627</t>
  </si>
  <si>
    <t>04-05-2011 00:00:00</t>
  </si>
  <si>
    <t>20-04-2022 00:00:00</t>
  </si>
  <si>
    <t>28493071</t>
  </si>
  <si>
    <t>ДНП "Новый посёлок"</t>
  </si>
  <si>
    <t>5044017402</t>
  </si>
  <si>
    <t>28511372</t>
  </si>
  <si>
    <t>ДНП "УК КП "Виктория Клаб"</t>
  </si>
  <si>
    <t>5031063835</t>
  </si>
  <si>
    <t>26-09-2005 00:00:00</t>
  </si>
  <si>
    <t>26548039</t>
  </si>
  <si>
    <t>ДОЛ "Небо Москвы"</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</si>
  <si>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</si>
  <si>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</si>
  <si>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</si>
  <si>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</si>
  <si>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</si>
  <si>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</si>
  <si>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</si>
  <si>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</si>
  <si>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</si>
  <si>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</si>
  <si>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</si>
  <si>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5020051845</t>
  </si>
  <si>
    <t>27-09-2007 00:00:00</t>
  </si>
  <si>
    <t>26548447</t>
  </si>
  <si>
    <t>05-12-2019 00:00:00</t>
  </si>
  <si>
    <t>26357783</t>
  </si>
  <si>
    <t>ЗАО "ЗЭИМ "Элинар"</t>
  </si>
  <si>
    <t>5030035264</t>
  </si>
  <si>
    <t>26548277</t>
  </si>
  <si>
    <t>ЗАО "ИСК "Новое строительство"</t>
  </si>
  <si>
    <t>7710155065</t>
  </si>
  <si>
    <t>26548175</t>
  </si>
  <si>
    <t>ЗАО "КОМПЛЕКС-ЧИГ"</t>
  </si>
  <si>
    <t>7703065332</t>
  </si>
  <si>
    <t>26508665</t>
  </si>
  <si>
    <t>ЗАО "Каширское"</t>
  </si>
  <si>
    <t>5019015634</t>
  </si>
  <si>
    <t>12-10-2021 00:00:00</t>
  </si>
  <si>
    <t>26548243</t>
  </si>
  <si>
    <t>ЗАО "Константиновская птицефабрика"</t>
  </si>
  <si>
    <t>5040072681</t>
  </si>
  <si>
    <t>26548146</t>
  </si>
  <si>
    <t>ЗАО "Краснополянская птицефабрика"</t>
  </si>
  <si>
    <t>5029014809</t>
  </si>
  <si>
    <t>26785033</t>
  </si>
  <si>
    <t>ЗАО "Леонтьево"</t>
  </si>
  <si>
    <t>5045001966</t>
  </si>
  <si>
    <t>26650567</t>
  </si>
  <si>
    <t>ЗАО "Матвеевское"</t>
  </si>
  <si>
    <t>5032025310</t>
  </si>
  <si>
    <t>26548327</t>
  </si>
  <si>
    <t>ЗАО "Международный аэропорт Домодедово"</t>
  </si>
  <si>
    <t>997650002</t>
  </si>
  <si>
    <t>26567385</t>
  </si>
  <si>
    <t>ЗАО "Металоре"</t>
  </si>
  <si>
    <t>5003083558</t>
  </si>
  <si>
    <t>26548341</t>
  </si>
  <si>
    <t>ЗАО "Московский конный завод № 1"</t>
  </si>
  <si>
    <t>5032039592</t>
  </si>
  <si>
    <t>26548369</t>
  </si>
  <si>
    <t>5003760880</t>
  </si>
  <si>
    <t>500307001</t>
  </si>
  <si>
    <t>26548065</t>
  </si>
  <si>
    <t>ЗАО "Новый Быт"</t>
  </si>
  <si>
    <t>5048019136</t>
  </si>
  <si>
    <t>26548021</t>
  </si>
  <si>
    <t>ЗАО "Ногинское"</t>
  </si>
  <si>
    <t>5031015180</t>
  </si>
  <si>
    <t>26548289</t>
  </si>
  <si>
    <t>ЗАО "Племенной завод "Барыбино"</t>
  </si>
  <si>
    <t>26650368</t>
  </si>
  <si>
    <t>ЗАО "Продснаб АПК Раменский"</t>
  </si>
  <si>
    <t>5040034453</t>
  </si>
  <si>
    <t>26548321</t>
  </si>
  <si>
    <t>ЗАО "СИК КОНКОР"</t>
  </si>
  <si>
    <t>7734049820</t>
  </si>
  <si>
    <t>500731001</t>
  </si>
  <si>
    <t>05-05-2017 00:00:00</t>
  </si>
  <si>
    <t>26548345</t>
  </si>
  <si>
    <t>ЗАО "Сергиевское ВМК"</t>
  </si>
  <si>
    <t>5022060362</t>
  </si>
  <si>
    <t>26777934</t>
  </si>
  <si>
    <t>ЗАО "Станция очистки"</t>
  </si>
  <si>
    <t>5005033834</t>
  </si>
  <si>
    <t>25-09-2001 00:00:00</t>
  </si>
  <si>
    <t>26548120</t>
  </si>
  <si>
    <t>ЗАО "Туристский комплекс Клязьминское водохранилище"</t>
  </si>
  <si>
    <t>5029026466</t>
  </si>
  <si>
    <t>26357617</t>
  </si>
  <si>
    <t>ЗАО "Универсал-нефть"</t>
  </si>
  <si>
    <t>5008028511</t>
  </si>
  <si>
    <t>26-12-2019 00:00:00</t>
  </si>
  <si>
    <t>26548152</t>
  </si>
  <si>
    <t>ЗАО "Шарапово"</t>
  </si>
  <si>
    <t>5032002264</t>
  </si>
  <si>
    <t>26647957</t>
  </si>
  <si>
    <t>ЗАО "Элинар-Бройлер"</t>
  </si>
  <si>
    <t>5030036290</t>
  </si>
  <si>
    <t>30-09-1999 00:00:00</t>
  </si>
  <si>
    <t>02-02-2015 00:00:00</t>
  </si>
  <si>
    <t>26777937</t>
  </si>
  <si>
    <t>ЗАО «Воскресенское»</t>
  </si>
  <si>
    <t>5005001776</t>
  </si>
  <si>
    <t>26773206</t>
  </si>
  <si>
    <t>ЗАО «Петелинская птицефабрика»</t>
  </si>
  <si>
    <t>502032001</t>
  </si>
  <si>
    <t>30797965</t>
  </si>
  <si>
    <t>ЗАО «Совместное предприятие «Евразия М4»</t>
  </si>
  <si>
    <t>5009056102</t>
  </si>
  <si>
    <t>01-03-2006 00:00:00</t>
  </si>
  <si>
    <t>26650381</t>
  </si>
  <si>
    <t>ЗАО ПХ "Чулковское"</t>
  </si>
  <si>
    <t>5040004160</t>
  </si>
  <si>
    <t>26548055</t>
  </si>
  <si>
    <t>7704065166</t>
  </si>
  <si>
    <t>31397265</t>
  </si>
  <si>
    <t>ИП Галкина Г.В.</t>
  </si>
  <si>
    <t>773100377842</t>
  </si>
  <si>
    <t>31643966</t>
  </si>
  <si>
    <t>ИП Пыжиков А.С.</t>
  </si>
  <si>
    <t>504010843770</t>
  </si>
  <si>
    <t>18-10-2007 00:00:00</t>
  </si>
  <si>
    <t>26548445</t>
  </si>
  <si>
    <t>ИПЛИТ РАН</t>
  </si>
  <si>
    <t>5049005016</t>
  </si>
  <si>
    <t>28891397</t>
  </si>
  <si>
    <t>КОО "МИЛЛГРИН ЛИМИТЕД"</t>
  </si>
  <si>
    <t>9909326221</t>
  </si>
  <si>
    <t>502451001</t>
  </si>
  <si>
    <t>30870970</t>
  </si>
  <si>
    <t>МКП "Коммунальный комплекс"</t>
  </si>
  <si>
    <t>5044097550</t>
  </si>
  <si>
    <t>24-03-2016 00:00:00</t>
  </si>
  <si>
    <t>26548165</t>
  </si>
  <si>
    <t>МП "Водоканал"</t>
  </si>
  <si>
    <t>5022556672</t>
  </si>
  <si>
    <t>05-04-2016 00:00:00</t>
  </si>
  <si>
    <t>26548421</t>
  </si>
  <si>
    <t>5026000090</t>
  </si>
  <si>
    <t>31454488</t>
  </si>
  <si>
    <t>МП "ИНЖТЕХСЕРВИС"</t>
  </si>
  <si>
    <t>5013001748</t>
  </si>
  <si>
    <t>01-10-2020 00:00:00</t>
  </si>
  <si>
    <t>26357677</t>
  </si>
  <si>
    <t>МУП "Букаревское РЭП ЖКХ"</t>
  </si>
  <si>
    <t>5017030997</t>
  </si>
  <si>
    <t>20-10-1995 00:00:00</t>
  </si>
  <si>
    <t>26548126</t>
  </si>
  <si>
    <t>МУП "ВК и ЖКХ "Поведники"</t>
  </si>
  <si>
    <t>5029007008</t>
  </si>
  <si>
    <t>31296976</t>
  </si>
  <si>
    <t>МУП "ВОДОКАНАЛ ДМИТРОВ"</t>
  </si>
  <si>
    <t>5007099823</t>
  </si>
  <si>
    <t>12-12-2016 00:00:00</t>
  </si>
  <si>
    <t>26548249</t>
  </si>
  <si>
    <t>МУП "Водоканал Наро-Фоминского городского округа"</t>
  </si>
  <si>
    <t>5030015500</t>
  </si>
  <si>
    <t>26548059</t>
  </si>
  <si>
    <t>5012027045</t>
  </si>
  <si>
    <t>23-06-2004 00:00:00</t>
  </si>
  <si>
    <t>11-01-2019 00:00:00</t>
  </si>
  <si>
    <t>26548427</t>
  </si>
  <si>
    <t>5052009050</t>
  </si>
  <si>
    <t>28-12-2023 00:00:00</t>
  </si>
  <si>
    <t>26548269</t>
  </si>
  <si>
    <t>5021012542</t>
  </si>
  <si>
    <t>26548357</t>
  </si>
  <si>
    <t>5042002584</t>
  </si>
  <si>
    <t>25-08-1992 00:00:00</t>
  </si>
  <si>
    <t>26548335</t>
  </si>
  <si>
    <t>МУП "Водоресурс"</t>
  </si>
  <si>
    <t>5019017166</t>
  </si>
  <si>
    <t>09-01-2018 00:00:00</t>
  </si>
  <si>
    <t>26650361</t>
  </si>
  <si>
    <t>МУП "Деденевское ЖКХ"</t>
  </si>
  <si>
    <t>5007041654</t>
  </si>
  <si>
    <t>16-08-2011 00:00:00</t>
  </si>
  <si>
    <t>26548075</t>
  </si>
  <si>
    <t>МУП "Домодедовский водоканал"</t>
  </si>
  <si>
    <t>5009034660</t>
  </si>
  <si>
    <t>27-03-2002 00:00:00</t>
  </si>
  <si>
    <t>26548287</t>
  </si>
  <si>
    <t>МУП "Жилкомсервис"</t>
  </si>
  <si>
    <t>5078015900</t>
  </si>
  <si>
    <t>27-11-2017 00:00:00</t>
  </si>
  <si>
    <t>26548371</t>
  </si>
  <si>
    <t>МУП "Ивантеевский Водоканал"</t>
  </si>
  <si>
    <t>5016013318</t>
  </si>
  <si>
    <t>08-06-2021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</si>
  <si>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</si>
  <si>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</si>
  <si>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</si>
  <si>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</si>
  <si>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</si>
  <si>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</si>
  <si>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</si>
  <si>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</si>
  <si>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</si>
  <si>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</si>
  <si>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</si>
  <si>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</si>
  <si>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</si>
  <si>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</si>
  <si>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</si>
  <si>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26548435</t>
  </si>
  <si>
    <t>МУП "Комбинат вспомогательных производств"</t>
  </si>
  <si>
    <t>5034030595</t>
  </si>
  <si>
    <t>31-12-2012 00:00:00</t>
  </si>
  <si>
    <t>26548158</t>
  </si>
  <si>
    <t>МУП "Коммунальные сети"</t>
  </si>
  <si>
    <t>5042110156</t>
  </si>
  <si>
    <t>05-02-2021 00:00:00</t>
  </si>
  <si>
    <t>26508623</t>
  </si>
  <si>
    <t>МУП "Лопатинское ЖКХ"</t>
  </si>
  <si>
    <t>31029554</t>
  </si>
  <si>
    <t>МУП "Некрасовский водоканал"</t>
  </si>
  <si>
    <t>5007091951</t>
  </si>
  <si>
    <t>26508617</t>
  </si>
  <si>
    <t>МУП "Нерское ЖКХ"</t>
  </si>
  <si>
    <t>5005038688</t>
  </si>
  <si>
    <t>26548163</t>
  </si>
  <si>
    <t>МУП "ОКТЯБРЬСКИЙ ВОДОКАНАЛ"</t>
  </si>
  <si>
    <t>5027089781</t>
  </si>
  <si>
    <t>07-11-2002 00:00:00</t>
  </si>
  <si>
    <t>26818252</t>
  </si>
  <si>
    <t>МУП "ПТК"</t>
  </si>
  <si>
    <t>5019022504</t>
  </si>
  <si>
    <t>27-05-2010 00:00:00</t>
  </si>
  <si>
    <t>28981360</t>
  </si>
  <si>
    <t>МУП "ПТО ГХ г. Рошаля"</t>
  </si>
  <si>
    <t>5049002223</t>
  </si>
  <si>
    <t>26357678</t>
  </si>
  <si>
    <t>МУП "Павло-Слободское РЭП ЖКХ"</t>
  </si>
  <si>
    <t>5017031077</t>
  </si>
  <si>
    <t>26548223</t>
  </si>
  <si>
    <t>МУП "Пушкинский Водоканал"</t>
  </si>
  <si>
    <t>5038057693</t>
  </si>
  <si>
    <t>26548144</t>
  </si>
  <si>
    <t>МУП "Реутовский водоканал"</t>
  </si>
  <si>
    <t>5012028497</t>
  </si>
  <si>
    <t>18-02-2005 00:00:00</t>
  </si>
  <si>
    <t>30837586</t>
  </si>
  <si>
    <t>МУП "УКС"</t>
  </si>
  <si>
    <t>5050115535</t>
  </si>
  <si>
    <t>15-01-2015 00:00:00</t>
  </si>
  <si>
    <t>07-02-2023 00:00:00</t>
  </si>
  <si>
    <t>26579672</t>
  </si>
  <si>
    <t>МУП "Федоскинские инженерные системы"</t>
  </si>
  <si>
    <t>5029136483</t>
  </si>
  <si>
    <t>31-10-2014 00:00:00</t>
  </si>
  <si>
    <t>30802843</t>
  </si>
  <si>
    <t>МУП "Энергоснабжение"</t>
  </si>
  <si>
    <t>5005031555</t>
  </si>
  <si>
    <t>31-05-2000 00:00:00</t>
  </si>
  <si>
    <t>15-07-2021 00:00:00</t>
  </si>
  <si>
    <t>26808077</t>
  </si>
  <si>
    <t>МУП «ГЖЭУ-4»</t>
  </si>
  <si>
    <t>5029033350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</si>
  <si>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</si>
  <si>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</si>
  <si>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</si>
  <si>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</si>
  <si>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</si>
  <si>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</si>
  <si>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</si>
  <si>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</si>
  <si>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</si>
  <si>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</si>
  <si>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</si>
  <si>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</si>
  <si>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</si>
  <si>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</si>
  <si>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</si>
  <si>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</si>
  <si>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</si>
  <si>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</si>
  <si>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</si>
  <si>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</si>
  <si>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</si>
  <si>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</si>
  <si>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</si>
  <si>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</si>
  <si>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</si>
  <si>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26357779</t>
  </si>
  <si>
    <t>Наро-Фоминская КЭЧ</t>
  </si>
  <si>
    <t>5030011009</t>
  </si>
  <si>
    <t>26548393</t>
  </si>
  <si>
    <t>Некоммерческое партнерство "Турейка"</t>
  </si>
  <si>
    <t>5030030724</t>
  </si>
  <si>
    <t>15-07-2020 00:00:00</t>
  </si>
  <si>
    <t>26653548</t>
  </si>
  <si>
    <t>Некоммерческое партнерство «ЛэндиКо»</t>
  </si>
  <si>
    <t>5044052816</t>
  </si>
  <si>
    <t>26653825</t>
  </si>
  <si>
    <t>Некоммерческое партнерство «Царское село»</t>
  </si>
  <si>
    <t>5017055624</t>
  </si>
  <si>
    <t>16-05-2023 00:00:00</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</si>
  <si>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</si>
  <si>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</si>
  <si>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</si>
  <si>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</si>
  <si>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</si>
  <si>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</si>
  <si>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</si>
  <si>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</si>
  <si>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</si>
  <si>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</si>
  <si>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</si>
  <si>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</si>
  <si>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26548403</t>
  </si>
  <si>
    <t>997650008</t>
  </si>
  <si>
    <t>26774429</t>
  </si>
  <si>
    <t>ОАО "Водоканал"</t>
  </si>
  <si>
    <t>1108020501</t>
  </si>
  <si>
    <t>110801001</t>
  </si>
  <si>
    <t>26548349</t>
  </si>
  <si>
    <t>ОАО "ГУОВ МО"</t>
  </si>
  <si>
    <t>7703033130</t>
  </si>
  <si>
    <t>26357823</t>
  </si>
  <si>
    <t>ОАО "Голицынский ОЗСА"</t>
  </si>
  <si>
    <t>5032012696</t>
  </si>
  <si>
    <t>26357845</t>
  </si>
  <si>
    <t>ОАО "Голицынский автобусный завод"</t>
  </si>
  <si>
    <t>5032063891</t>
  </si>
  <si>
    <t>26548431</t>
  </si>
  <si>
    <t>ОАО "Гололобовский кирпичный завод"</t>
  </si>
  <si>
    <t>5070000010</t>
  </si>
  <si>
    <t>26548029</t>
  </si>
  <si>
    <t>ОАО "Дашковка"</t>
  </si>
  <si>
    <t>5077000154</t>
  </si>
  <si>
    <t>26-04-1998 00:00:00</t>
  </si>
  <si>
    <t>26804316</t>
  </si>
  <si>
    <t>ОАО "Дулевский красочный завод"</t>
  </si>
  <si>
    <t>5073050115</t>
  </si>
  <si>
    <t>15-11-2022 00:00:00</t>
  </si>
  <si>
    <t>26548154</t>
  </si>
  <si>
    <t>ОАО "Заря Подмоскоя"</t>
  </si>
  <si>
    <t>5009041096</t>
  </si>
  <si>
    <t>997650007</t>
  </si>
  <si>
    <t>09-09-2021 00:00:00</t>
  </si>
  <si>
    <t>26548441</t>
  </si>
  <si>
    <t>ОАО "Карболит"</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</si>
  <si>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</si>
  <si>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</si>
  <si>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</si>
  <si>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</si>
  <si>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</si>
  <si>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</si>
  <si>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</si>
  <si>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</si>
  <si>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</si>
  <si>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</si>
  <si>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</si>
  <si>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</si>
  <si>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26548041</t>
  </si>
  <si>
    <t>ОАО "Ожерельевский комбикормовый завод"</t>
  </si>
  <si>
    <t>5019002410</t>
  </si>
  <si>
    <t>26511013</t>
  </si>
  <si>
    <t>ОАО "Особое конструкторское бюро кабельной промышленности"</t>
  </si>
  <si>
    <t>5029150262</t>
  </si>
  <si>
    <t>26548027</t>
  </si>
  <si>
    <t>26548433</t>
  </si>
  <si>
    <t>ОАО "Подводтрубопроводстрой фил. №1"</t>
  </si>
  <si>
    <t>7706003937</t>
  </si>
  <si>
    <t>772513181</t>
  </si>
  <si>
    <t>13-01-2021 00:00:00</t>
  </si>
  <si>
    <t>26814895</t>
  </si>
  <si>
    <t>ОАО "РЖД" (Октябрьская дирекция по тепловодоснабжению - СП Центральной дирекции по тепловодоснабжению - филиала ОАО "РЖД")</t>
  </si>
  <si>
    <t>780445015</t>
  </si>
  <si>
    <t>26357829</t>
  </si>
  <si>
    <t>ОАО "РЭП "Каринское"</t>
  </si>
  <si>
    <t>5032200026</t>
  </si>
  <si>
    <t>02-05-2017 00:00:00</t>
  </si>
  <si>
    <t>26548329</t>
  </si>
  <si>
    <t>ОАО "Раменский комбинат хлебопродуктов имени В.Я.Печенова"</t>
  </si>
  <si>
    <t>5040009908</t>
  </si>
  <si>
    <t>26548423</t>
  </si>
  <si>
    <t>ОАО "Речицкий фарфоровый завод"</t>
  </si>
  <si>
    <t>5040003695</t>
  </si>
  <si>
    <t>27583950</t>
  </si>
  <si>
    <t>ОАО "Славянка" (Филиал "Кубинский")</t>
  </si>
  <si>
    <t>26801802</t>
  </si>
  <si>
    <t>ОАО "Славянка" (Филиал "Ногинский")</t>
  </si>
  <si>
    <t>26885538</t>
  </si>
  <si>
    <t>ОАО "Славянка" филиал "Рязанский"</t>
  </si>
  <si>
    <t>623043001</t>
  </si>
  <si>
    <t>28877628</t>
  </si>
  <si>
    <t>ОАО "Славянка" филиал "Тверской"</t>
  </si>
  <si>
    <t>616543001</t>
  </si>
  <si>
    <t>26-01-2015 00:00:00</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</si>
  <si>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</si>
  <si>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</si>
  <si>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</si>
  <si>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</si>
  <si>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</si>
  <si>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</si>
  <si>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</si>
  <si>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</si>
  <si>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</si>
  <si>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</si>
  <si>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</si>
  <si>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</si>
  <si>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</si>
  <si>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</si>
  <si>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</si>
  <si>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</si>
  <si>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</si>
  <si>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</si>
  <si>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</si>
  <si>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</si>
  <si>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</si>
  <si>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</si>
  <si>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</si>
  <si>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</si>
  <si>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27619856</t>
  </si>
  <si>
    <t>ОАО «Славянка» (Филиал «Подольский»)</t>
  </si>
  <si>
    <t>24-01-2011 00:00:00</t>
  </si>
  <si>
    <t>27524283</t>
  </si>
  <si>
    <t>ОАО «Славянка» (Филиал «Солнечногорский»)</t>
  </si>
  <si>
    <t>504443001</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</si>
  <si>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</si>
  <si>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</si>
  <si>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</si>
  <si>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</si>
  <si>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</si>
  <si>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</si>
  <si>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</si>
  <si>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</si>
  <si>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</si>
  <si>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</si>
  <si>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</si>
  <si>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</si>
  <si>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</si>
  <si>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28813000</t>
  </si>
  <si>
    <t>ООО "Агидель"</t>
  </si>
  <si>
    <t>7704700820</t>
  </si>
  <si>
    <t>31528995</t>
  </si>
  <si>
    <t>31153741</t>
  </si>
  <si>
    <t>ООО "Агранта"</t>
  </si>
  <si>
    <t>7724671888</t>
  </si>
  <si>
    <t>20-08-2008 00:00:00</t>
  </si>
  <si>
    <t>31500085</t>
  </si>
  <si>
    <t>ООО "Агроком"</t>
  </si>
  <si>
    <t>5032202136</t>
  </si>
  <si>
    <t>03-04-2015 00:00:00</t>
  </si>
  <si>
    <t>28494047</t>
  </si>
  <si>
    <t>ООО "Адмирал"</t>
  </si>
  <si>
    <t>7723337295</t>
  </si>
  <si>
    <t>04-06-2004 00:00:00</t>
  </si>
  <si>
    <t>26-07-2018 00:00:00</t>
  </si>
  <si>
    <t>30984401</t>
  </si>
  <si>
    <t>ООО "АкваРесурс-АП"</t>
  </si>
  <si>
    <t>5050116465</t>
  </si>
  <si>
    <t>25-02-2015 00:00:00</t>
  </si>
  <si>
    <t>27584008</t>
  </si>
  <si>
    <t>5072722540</t>
  </si>
  <si>
    <t>13-05-2019 00:00:00</t>
  </si>
  <si>
    <t>27580877</t>
  </si>
  <si>
    <t>ООО "Арсана-2000"</t>
  </si>
  <si>
    <t>7726280008</t>
  </si>
  <si>
    <t>26650537</t>
  </si>
  <si>
    <t>ООО "Астрон"</t>
  </si>
  <si>
    <t>7729240204</t>
  </si>
  <si>
    <t>27583129</t>
  </si>
  <si>
    <t>ООО "Атлас Комэкс"</t>
  </si>
  <si>
    <t>7710756997</t>
  </si>
  <si>
    <t>31519386</t>
  </si>
  <si>
    <t>ООО "БАРАКАТ ГРУПП"</t>
  </si>
  <si>
    <t>7720790436</t>
  </si>
  <si>
    <t>04-09-2013 00:00:00</t>
  </si>
  <si>
    <t>28047300</t>
  </si>
  <si>
    <t>ООО "Балгорводхоз"</t>
  </si>
  <si>
    <t>5001085373</t>
  </si>
  <si>
    <t>18-02-2019 00:00:00</t>
  </si>
  <si>
    <t>27584124</t>
  </si>
  <si>
    <t>ООО "Барьер"</t>
  </si>
  <si>
    <t>5072001965</t>
  </si>
  <si>
    <t>26548355</t>
  </si>
  <si>
    <t>ООО "Белостолбовская универсальная оптовая торговая база МСПК</t>
  </si>
  <si>
    <t>5009040173</t>
  </si>
  <si>
    <t>997650009</t>
  </si>
  <si>
    <t>31463816</t>
  </si>
  <si>
    <t>ООО "Белый берег"</t>
  </si>
  <si>
    <t>5040067988</t>
  </si>
  <si>
    <t>27584054</t>
  </si>
  <si>
    <t>ООО "Бизнес"</t>
  </si>
  <si>
    <t>5072001972</t>
  </si>
  <si>
    <t>26807294</t>
  </si>
  <si>
    <t>ООО "В Берлоге"</t>
  </si>
  <si>
    <t>5022088287</t>
  </si>
  <si>
    <t>10-12-2007 00:00:00</t>
  </si>
  <si>
    <t>30955620</t>
  </si>
  <si>
    <t>ООО "ВЕЛЕДНИКОВО"</t>
  </si>
  <si>
    <t>5017044830</t>
  </si>
  <si>
    <t>28820003</t>
  </si>
  <si>
    <t>ООО "ВЭЛС"</t>
  </si>
  <si>
    <t>7704822352</t>
  </si>
  <si>
    <t>12-03-2014 00:00:00</t>
  </si>
  <si>
    <t>27-10-2023 00:00:00</t>
  </si>
  <si>
    <t>27584103</t>
  </si>
  <si>
    <t>ООО "Вектор"</t>
  </si>
  <si>
    <t>5072001940</t>
  </si>
  <si>
    <t>30833098</t>
  </si>
  <si>
    <t>ООО "Водозабор "Ромашково"</t>
  </si>
  <si>
    <t>5032247850</t>
  </si>
  <si>
    <t>04-07-2016 00:00:00</t>
  </si>
  <si>
    <t>19-09-2023 00:00:00</t>
  </si>
  <si>
    <t>28426823</t>
  </si>
  <si>
    <t>ООО "Водоканал"</t>
  </si>
  <si>
    <t>5078018370</t>
  </si>
  <si>
    <t>26567454</t>
  </si>
  <si>
    <t>ООО "Водосервис"</t>
  </si>
  <si>
    <t>7720535852</t>
  </si>
  <si>
    <t>27-09-2005 00:00:00</t>
  </si>
  <si>
    <t>27584112</t>
  </si>
  <si>
    <t>ООО "Вояж"</t>
  </si>
  <si>
    <t>5072722332</t>
  </si>
  <si>
    <t>08-06-2017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</si>
  <si>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</si>
  <si>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</si>
  <si>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</si>
  <si>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</si>
  <si>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</si>
  <si>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</si>
  <si>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</si>
  <si>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</si>
  <si>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</si>
  <si>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</si>
  <si>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</si>
  <si>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</si>
  <si>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27584082</t>
  </si>
  <si>
    <t>ООО "Гермес-Сервис"</t>
  </si>
  <si>
    <t>5072000016</t>
  </si>
  <si>
    <t>26548267</t>
  </si>
  <si>
    <t>ООО "Глобал Гасиз энд Энерджи"</t>
  </si>
  <si>
    <t>997650010</t>
  </si>
  <si>
    <t>22-02-2019 00:00:00</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</si>
  <si>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</si>
  <si>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</si>
  <si>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</si>
  <si>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</si>
  <si>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</si>
  <si>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</si>
  <si>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</si>
  <si>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</si>
  <si>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</si>
  <si>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</si>
  <si>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</si>
  <si>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</si>
  <si>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</si>
  <si>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</si>
  <si>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</si>
  <si>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26548047</t>
  </si>
  <si>
    <t>ООО "Дмитровский колос"</t>
  </si>
  <si>
    <t>5007052173</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</si>
  <si>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</si>
  <si>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</si>
  <si>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</si>
  <si>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</si>
  <si>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</si>
  <si>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</si>
  <si>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</si>
  <si>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</si>
  <si>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</si>
  <si>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</si>
  <si>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</si>
  <si>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</si>
  <si>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</si>
  <si>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26540793</t>
  </si>
  <si>
    <t>ООО "ЖКК Селково"</t>
  </si>
  <si>
    <t>5042097748</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</si>
  <si>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</si>
  <si>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</si>
  <si>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</si>
  <si>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</si>
  <si>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</si>
  <si>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</si>
  <si>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</si>
  <si>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</si>
  <si>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</si>
  <si>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</si>
  <si>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</si>
  <si>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</si>
  <si>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</si>
  <si>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</si>
  <si>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</si>
  <si>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</si>
  <si>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</si>
  <si>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</si>
  <si>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</si>
  <si>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</si>
  <si>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</si>
  <si>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</si>
  <si>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</si>
  <si>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</si>
  <si>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</si>
  <si>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</si>
  <si>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</si>
  <si>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</si>
  <si>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</si>
  <si>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</si>
  <si>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</si>
  <si>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</si>
  <si>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</si>
  <si>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</si>
  <si>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</si>
  <si>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</si>
  <si>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</si>
  <si>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</si>
  <si>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</si>
  <si>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</si>
  <si>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</si>
  <si>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</si>
  <si>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</si>
  <si>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28823384</t>
  </si>
  <si>
    <t>ООО "Капитель"</t>
  </si>
  <si>
    <t>5018151112</t>
  </si>
  <si>
    <t>16-04-2012 00:00:00</t>
  </si>
  <si>
    <t>15-12-2020 00:00:00</t>
  </si>
  <si>
    <t>26548375</t>
  </si>
  <si>
    <t>ООО "Клинволокно Гидротехника"</t>
  </si>
  <si>
    <t>5020028846</t>
  </si>
  <si>
    <t>22-12-2023 00:00:00</t>
  </si>
  <si>
    <t>26548297</t>
  </si>
  <si>
    <t>ООО "Колхоз им. Владимира Ильича"</t>
  </si>
  <si>
    <t>5003040515</t>
  </si>
  <si>
    <t>20-04-2018 00:00:00</t>
  </si>
  <si>
    <t>30401534</t>
  </si>
  <si>
    <t>ООО "Коммунальный Сервис"</t>
  </si>
  <si>
    <t>6914017720</t>
  </si>
  <si>
    <t>02-07-2014 00:00:00</t>
  </si>
  <si>
    <t>28882610</t>
  </si>
  <si>
    <t>691401001</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</si>
  <si>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</si>
  <si>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</si>
  <si>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</si>
  <si>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</si>
  <si>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</si>
  <si>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</si>
  <si>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</si>
  <si>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</si>
  <si>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</si>
  <si>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</si>
  <si>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</si>
  <si>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</si>
  <si>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</si>
  <si>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</si>
  <si>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</si>
  <si>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</si>
  <si>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</si>
  <si>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</si>
  <si>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</si>
  <si>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</si>
  <si>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</si>
  <si>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</si>
  <si>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</si>
  <si>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</si>
  <si>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</si>
  <si>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</si>
  <si>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</si>
  <si>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</si>
  <si>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</si>
  <si>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</si>
  <si>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</si>
  <si>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</si>
  <si>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</si>
  <si>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</si>
  <si>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</si>
  <si>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</si>
  <si>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</si>
  <si>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</si>
  <si>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</si>
  <si>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</si>
  <si>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</si>
  <si>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</si>
  <si>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</si>
  <si>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</si>
  <si>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</si>
  <si>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</si>
  <si>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</si>
  <si>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</si>
  <si>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</si>
  <si>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</si>
  <si>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</si>
  <si>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</si>
  <si>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26652088</t>
  </si>
  <si>
    <t>ООО "МСК"</t>
  </si>
  <si>
    <t>5050084693</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</si>
  <si>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</si>
  <si>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</si>
  <si>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</si>
  <si>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</si>
  <si>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</si>
  <si>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</si>
  <si>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</si>
  <si>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</si>
  <si>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</si>
  <si>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</si>
  <si>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</si>
  <si>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</si>
  <si>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</si>
  <si>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</si>
  <si>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</si>
  <si>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</si>
  <si>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</si>
  <si>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</si>
  <si>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</si>
  <si>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</si>
  <si>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</si>
  <si>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</si>
  <si>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</si>
  <si>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</si>
  <si>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</si>
  <si>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</si>
  <si>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</si>
  <si>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</si>
  <si>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</si>
  <si>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</si>
  <si>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</si>
  <si>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</si>
  <si>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</si>
  <si>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</si>
  <si>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26548079</t>
  </si>
  <si>
    <t>ООО "Орехово-Зуевский городской Водоканал"</t>
  </si>
  <si>
    <t>5034027835</t>
  </si>
  <si>
    <t>26650727</t>
  </si>
  <si>
    <t>ООО "ПЖК Николино"</t>
  </si>
  <si>
    <t>5032118935</t>
  </si>
  <si>
    <t>31-08-2004 00:00:00</t>
  </si>
  <si>
    <t>26357613</t>
  </si>
  <si>
    <t>ООО "ПК Ресурс"</t>
  </si>
  <si>
    <t>5007056805</t>
  </si>
  <si>
    <t>21-12-2018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</si>
  <si>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</si>
  <si>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</si>
  <si>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</si>
  <si>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</si>
  <si>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</si>
  <si>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</si>
  <si>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</si>
  <si>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</si>
  <si>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</si>
  <si>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</si>
  <si>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</si>
  <si>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30918175</t>
  </si>
  <si>
    <t>ООО "Павловский водоканал"</t>
  </si>
  <si>
    <t>7731286333</t>
  </si>
  <si>
    <t>29-05-2015 00:00:00</t>
  </si>
  <si>
    <t>30939065</t>
  </si>
  <si>
    <t>ООО "Павловский квартал"</t>
  </si>
  <si>
    <t>7707655156</t>
  </si>
  <si>
    <t>18-02-2008 00:00:00</t>
  </si>
  <si>
    <t>28493168</t>
  </si>
  <si>
    <t>ООО "Панорама-Сервис"</t>
  </si>
  <si>
    <t>7722583812</t>
  </si>
  <si>
    <t>26784883</t>
  </si>
  <si>
    <t>ООО "Пансионат "Соколова Пустынь"</t>
  </si>
  <si>
    <t>5045047030</t>
  </si>
  <si>
    <t>26845479</t>
  </si>
  <si>
    <t>ООО "Пешковские коммунальные системы"</t>
  </si>
  <si>
    <t>5044072900</t>
  </si>
  <si>
    <t>16-09-2019 00:00:00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</si>
  <si>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</si>
  <si>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</si>
  <si>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</si>
  <si>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</si>
  <si>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</si>
  <si>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</si>
  <si>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</si>
  <si>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</si>
  <si>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</si>
  <si>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</si>
  <si>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</si>
  <si>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</si>
  <si>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</si>
  <si>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</si>
  <si>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</si>
  <si>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</si>
  <si>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</si>
  <si>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</si>
  <si>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</si>
  <si>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</si>
  <si>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</si>
  <si>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</si>
  <si>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</si>
  <si>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</si>
  <si>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</si>
  <si>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26357947</t>
  </si>
  <si>
    <t>ООО "Ресурс"</t>
  </si>
  <si>
    <t>5042107019</t>
  </si>
  <si>
    <t>09-10-2017 00:00:00</t>
  </si>
  <si>
    <t>26566861</t>
  </si>
  <si>
    <t>ООО "Ресурс-С"</t>
  </si>
  <si>
    <t>5044068012</t>
  </si>
  <si>
    <t>27588369</t>
  </si>
  <si>
    <t>ООО "Реутовский водоканал"</t>
  </si>
  <si>
    <t>5012055050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</si>
  <si>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</si>
  <si>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</si>
  <si>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</si>
  <si>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</si>
  <si>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</si>
  <si>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</si>
  <si>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</si>
  <si>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</si>
  <si>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</si>
  <si>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</si>
  <si>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</si>
  <si>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30877107</t>
  </si>
  <si>
    <t>ООО "СКОРТЭКС"</t>
  </si>
  <si>
    <t>5029064609</t>
  </si>
  <si>
    <t>31384081</t>
  </si>
  <si>
    <t>ООО "СКС "</t>
  </si>
  <si>
    <t>5030095070</t>
  </si>
  <si>
    <t>21-11-2018 00:00:00</t>
  </si>
  <si>
    <t>26548081</t>
  </si>
  <si>
    <t>ООО "СП "Песчанный берег"</t>
  </si>
  <si>
    <t>5017070559</t>
  </si>
  <si>
    <t>03-10-2023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</si>
  <si>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</si>
  <si>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</si>
  <si>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</si>
  <si>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</si>
  <si>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</si>
  <si>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</si>
  <si>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</si>
  <si>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</si>
  <si>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</si>
  <si>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</si>
  <si>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</si>
  <si>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</si>
  <si>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</si>
  <si>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</si>
  <si>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</si>
  <si>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</si>
  <si>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</si>
  <si>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</si>
  <si>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</si>
  <si>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</si>
  <si>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</si>
  <si>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26837949</t>
  </si>
  <si>
    <t>ООО "ТЭКА"</t>
  </si>
  <si>
    <t>5003065710</t>
  </si>
  <si>
    <t>03-07-2017 00:00:00</t>
  </si>
  <si>
    <t>27584090</t>
  </si>
  <si>
    <t>ООО "Талисман"</t>
  </si>
  <si>
    <t>5072001958</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</si>
  <si>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</si>
  <si>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</si>
  <si>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</si>
  <si>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</si>
  <si>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</si>
  <si>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</si>
  <si>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</si>
  <si>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</si>
  <si>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</si>
  <si>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</si>
  <si>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</si>
  <si>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</si>
  <si>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</si>
  <si>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</si>
  <si>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</si>
  <si>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</si>
  <si>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28468396</t>
  </si>
  <si>
    <t>ООО "УК Нехлюдово"</t>
  </si>
  <si>
    <t>5029180563</t>
  </si>
  <si>
    <t>06-06-2023 00:00:00</t>
  </si>
  <si>
    <t>30990695</t>
  </si>
  <si>
    <t>ООО "УК СТУПИНО КВАДРАТ"</t>
  </si>
  <si>
    <t>5045054140</t>
  </si>
  <si>
    <t>04-09-2023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</si>
  <si>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</si>
  <si>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</si>
  <si>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</si>
  <si>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</si>
  <si>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</si>
  <si>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</si>
  <si>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</si>
  <si>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</si>
  <si>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</si>
  <si>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</si>
  <si>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</si>
  <si>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</si>
  <si>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</si>
  <si>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</si>
  <si>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</si>
  <si>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</si>
  <si>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</si>
  <si>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</si>
  <si>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28940768</t>
  </si>
  <si>
    <t>ООО "ФЕДОСКИНСКИЙ ВОДОКАНАЛ"</t>
  </si>
  <si>
    <t>5024128785</t>
  </si>
  <si>
    <t>04-06-2012 00:00:00</t>
  </si>
  <si>
    <t>27584018</t>
  </si>
  <si>
    <t>ООО "ФЕНИКС-ГРУП-К"</t>
  </si>
  <si>
    <t>5072726802</t>
  </si>
  <si>
    <t>28-10-2019 00:00:00</t>
  </si>
  <si>
    <t>26548281</t>
  </si>
  <si>
    <t>ООО "Фаворит"</t>
  </si>
  <si>
    <t>7715844990</t>
  </si>
  <si>
    <t>24-12-2010 00:00:00</t>
  </si>
  <si>
    <t>26647991</t>
  </si>
  <si>
    <t>ООО "Фаскон-1"</t>
  </si>
  <si>
    <t>7705298854</t>
  </si>
  <si>
    <t>26357609</t>
  </si>
  <si>
    <t>ООО "Фонте Аква"</t>
  </si>
  <si>
    <t>5007039750</t>
  </si>
  <si>
    <t>26548381</t>
  </si>
  <si>
    <t>ООО "Чайка"</t>
  </si>
  <si>
    <t>5025017750</t>
  </si>
  <si>
    <t>12-12-2022 00:00:00</t>
  </si>
  <si>
    <t>27580956</t>
  </si>
  <si>
    <t>ООО "Чепца"</t>
  </si>
  <si>
    <t>4309006380</t>
  </si>
  <si>
    <t>430901001</t>
  </si>
  <si>
    <t>30363421</t>
  </si>
  <si>
    <t>ООО "ШАТУРСКИЙ ВОДОКАНАЛ"</t>
  </si>
  <si>
    <t>5049022156</t>
  </si>
  <si>
    <t>10-10-2014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</si>
  <si>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</si>
  <si>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</si>
  <si>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</si>
  <si>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</si>
  <si>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</si>
  <si>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</si>
  <si>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</si>
  <si>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</si>
  <si>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</si>
  <si>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</si>
  <si>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</si>
  <si>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</si>
  <si>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</si>
  <si>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</si>
  <si>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</si>
  <si>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</si>
  <si>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</si>
  <si>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</si>
  <si>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</si>
  <si>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</si>
  <si>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</si>
  <si>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27580926</t>
  </si>
  <si>
    <t>ООО "Электра"</t>
  </si>
  <si>
    <t>7727510448</t>
  </si>
  <si>
    <t>30-04-2004 00:00:00</t>
  </si>
  <si>
    <t>30847596</t>
  </si>
  <si>
    <t>ООО "Энергия Плюс-Эл"</t>
  </si>
  <si>
    <t>5031119069</t>
  </si>
  <si>
    <t>29-12-2015 00:00:00</t>
  </si>
  <si>
    <t>06-05-2020 00:00:00</t>
  </si>
  <si>
    <t>31312785</t>
  </si>
  <si>
    <t>ООО "Южный Водоканал"</t>
  </si>
  <si>
    <t>5009057184</t>
  </si>
  <si>
    <t>16-03-2007 00:00:00</t>
  </si>
  <si>
    <t>26803937</t>
  </si>
  <si>
    <t>ООО "Ямал-Ф"</t>
  </si>
  <si>
    <t>5012021741</t>
  </si>
  <si>
    <t>01-02-2014 00:00:00</t>
  </si>
  <si>
    <t>26653053</t>
  </si>
  <si>
    <t>ООО «Авдеевское»</t>
  </si>
  <si>
    <t>5014010086</t>
  </si>
  <si>
    <t>05-07-2023 00:00:00</t>
  </si>
  <si>
    <t>27250109</t>
  </si>
  <si>
    <t>ООО «Жилкомфондсервис»)</t>
  </si>
  <si>
    <t>5037061792</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</si>
  <si>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</si>
  <si>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</si>
  <si>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</si>
  <si>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</si>
  <si>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</si>
  <si>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</si>
  <si>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</si>
  <si>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</si>
  <si>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</si>
  <si>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</si>
  <si>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</si>
  <si>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</si>
  <si>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</si>
  <si>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</si>
  <si>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</si>
  <si>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</si>
  <si>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</si>
  <si>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</si>
  <si>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</si>
  <si>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31716338</t>
  </si>
  <si>
    <t>ООО «МП-НЕДВИЖИМОСТЬ»</t>
  </si>
  <si>
    <t>5003136880</t>
  </si>
  <si>
    <t>26654029</t>
  </si>
  <si>
    <t>ООО «Мираж -4К»</t>
  </si>
  <si>
    <t>5035033655</t>
  </si>
  <si>
    <t>26654014</t>
  </si>
  <si>
    <t>ООО «Мираж-3К»</t>
  </si>
  <si>
    <t>5035021402</t>
  </si>
  <si>
    <t>31701313</t>
  </si>
  <si>
    <t>ООО «ПО СК»</t>
  </si>
  <si>
    <t>7736573934</t>
  </si>
  <si>
    <t>12-03-2008 00:00:00</t>
  </si>
  <si>
    <t>26807304</t>
  </si>
  <si>
    <t>ООО «РОДЭКС-Девелопмент»</t>
  </si>
  <si>
    <t>5032086440</t>
  </si>
  <si>
    <t>05-10-2023 00:00:00</t>
  </si>
  <si>
    <t>30848988</t>
  </si>
  <si>
    <t>ООО «Софрино»</t>
  </si>
  <si>
    <t>5038122053</t>
  </si>
  <si>
    <t>27-07-2016 00:00:00</t>
  </si>
  <si>
    <t>31029946</t>
  </si>
  <si>
    <t>ООО «СпектрСервис»</t>
  </si>
  <si>
    <t>5040094572</t>
  </si>
  <si>
    <t>26-10-2009 00:00:00</t>
  </si>
  <si>
    <t>26654022</t>
  </si>
  <si>
    <t>ООО «Стройэксперт»</t>
  </si>
  <si>
    <t>5035039449</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</si>
  <si>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</si>
  <si>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</si>
  <si>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</si>
  <si>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</si>
  <si>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</si>
  <si>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</si>
  <si>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</si>
  <si>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</si>
  <si>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</si>
  <si>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</si>
  <si>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</si>
  <si>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</si>
  <si>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</si>
  <si>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</si>
  <si>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</si>
  <si>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</si>
  <si>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</si>
  <si>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</si>
  <si>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</si>
  <si>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</si>
  <si>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</si>
  <si>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26652100</t>
  </si>
  <si>
    <t>ООО «Управляющая компания «Жилищный сервис»</t>
  </si>
  <si>
    <t>5044069217</t>
  </si>
  <si>
    <t>31210727</t>
  </si>
  <si>
    <t>ООО «Управляющая компания БАРЭКС-2»</t>
  </si>
  <si>
    <t>7702682100</t>
  </si>
  <si>
    <t>19-08-2008 00:00:00</t>
  </si>
  <si>
    <t>26654025</t>
  </si>
  <si>
    <t>ООО «Чистый город»</t>
  </si>
  <si>
    <t>7831000122</t>
  </si>
  <si>
    <t>26654031</t>
  </si>
  <si>
    <t>ООО «Элинком»</t>
  </si>
  <si>
    <t>5035025990</t>
  </si>
  <si>
    <t>26548043</t>
  </si>
  <si>
    <t>ООО АПК "Шатурский"</t>
  </si>
  <si>
    <t>5049018880</t>
  </si>
  <si>
    <t>31381098</t>
  </si>
  <si>
    <t>ООО Кутузовское-1</t>
  </si>
  <si>
    <t>5044074560</t>
  </si>
  <si>
    <t>05-08-2014 00:00:00</t>
  </si>
  <si>
    <t>26548089</t>
  </si>
  <si>
    <t>31710705</t>
  </si>
  <si>
    <t>ООО ПЛЕМЗАВОД "БАРЫБИНО"</t>
  </si>
  <si>
    <t>5009097370</t>
  </si>
  <si>
    <t>28979581</t>
  </si>
  <si>
    <t>ООО УК "Полянка"</t>
  </si>
  <si>
    <t>5038111848</t>
  </si>
  <si>
    <t>27-02-2015 00:00:00</t>
  </si>
  <si>
    <t>26548150</t>
  </si>
  <si>
    <t>Психиатрическая больница №2 им. О.В.Кербикова</t>
  </si>
  <si>
    <t>997650012</t>
  </si>
  <si>
    <t>08-02-2016 00:00:00</t>
  </si>
  <si>
    <t>26653045</t>
  </si>
  <si>
    <t>СПК "Сельхозпродукты-2"</t>
  </si>
  <si>
    <t>5014008792</t>
  </si>
  <si>
    <t>04-01-2003 00:00:00</t>
  </si>
  <si>
    <t>26548167</t>
  </si>
  <si>
    <t>СПК "Чеховское"</t>
  </si>
  <si>
    <t>5048040297</t>
  </si>
  <si>
    <t>26548309</t>
  </si>
  <si>
    <t>СУ "Управление служебными зданиями"</t>
  </si>
  <si>
    <t>7708226907</t>
  </si>
  <si>
    <t>25-08-2020 00:00:00</t>
  </si>
  <si>
    <t>26653519</t>
  </si>
  <si>
    <t>УТРОХ Дом творчества и отдыха художников «Сенеж»</t>
  </si>
  <si>
    <t>5044026809</t>
  </si>
  <si>
    <t>11-12-2019 00:00:00</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</si>
  <si>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</si>
  <si>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</si>
  <si>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</si>
  <si>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</si>
  <si>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</si>
  <si>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</si>
  <si>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</si>
  <si>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</si>
  <si>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</si>
  <si>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</si>
  <si>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</si>
  <si>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</si>
  <si>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</si>
  <si>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</si>
  <si>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</si>
  <si>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</si>
  <si>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</si>
  <si>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</si>
  <si>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</si>
  <si>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</si>
  <si>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</si>
  <si>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26548417</t>
  </si>
  <si>
    <t>ФГКУ  комбинат "Сосновка" Росрезерва</t>
  </si>
  <si>
    <t>5049005753</t>
  </si>
  <si>
    <t>01-10-2021 00:00:00</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</si>
  <si>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</si>
  <si>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</si>
  <si>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</si>
  <si>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</si>
  <si>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</si>
  <si>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</si>
  <si>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</si>
  <si>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</si>
  <si>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</si>
  <si>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</si>
  <si>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</si>
  <si>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</si>
  <si>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</si>
  <si>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</si>
  <si>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</si>
  <si>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</si>
  <si>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26504898</t>
  </si>
  <si>
    <t>ФГУ «48 ЦНИИ Минобороны России» - «Вирусологический центр»</t>
  </si>
  <si>
    <t>4345145445</t>
  </si>
  <si>
    <t>504231001</t>
  </si>
  <si>
    <t>26548193</t>
  </si>
  <si>
    <t>ФГУ НЦ БМТ РАМН "Белый мох"</t>
  </si>
  <si>
    <t>7709379649</t>
  </si>
  <si>
    <t>26548187</t>
  </si>
  <si>
    <t>ФГУП "22 БТРЗ МО РФ"</t>
  </si>
  <si>
    <t>7734022459</t>
  </si>
  <si>
    <t>26548051</t>
  </si>
  <si>
    <t>ФГУП "ВНИИА" им. Н.Л.Духова ДОЛ "Искорка"</t>
  </si>
  <si>
    <t>7707074137</t>
  </si>
  <si>
    <t>997650015</t>
  </si>
  <si>
    <t>26548437</t>
  </si>
  <si>
    <t>ФГУП "Гостиница "Золотое кольцо"</t>
  </si>
  <si>
    <t>7704218503</t>
  </si>
  <si>
    <t>27581531</t>
  </si>
  <si>
    <t>ФГУП "Каменка" Россельхозакадемии</t>
  </si>
  <si>
    <t>5074000653</t>
  </si>
  <si>
    <t>26548091</t>
  </si>
  <si>
    <t>ФГУП "ЦАГИ"</t>
  </si>
  <si>
    <t>5013009056</t>
  </si>
  <si>
    <t>26548365</t>
  </si>
  <si>
    <t>ФГУП "государственный фонд кинофильмов РФ"</t>
  </si>
  <si>
    <t>997650014</t>
  </si>
  <si>
    <t>26505084</t>
  </si>
  <si>
    <t>ФГУП «ГК НПЦ им. М.В.Хруничева»</t>
  </si>
  <si>
    <t>500532001</t>
  </si>
  <si>
    <t>28510969</t>
  </si>
  <si>
    <t>ФГУП НИИР</t>
  </si>
  <si>
    <t>7709025230</t>
  </si>
  <si>
    <t>26-05-1992 00:00:00</t>
  </si>
  <si>
    <t>26548132</t>
  </si>
  <si>
    <t>ФГУП Центр радиотехнического оборудования и связи гражданской авиации</t>
  </si>
  <si>
    <t>7714045842</t>
  </si>
  <si>
    <t>30998809</t>
  </si>
  <si>
    <t>ФИЛИАЛ ГУП МО «КС МО» «ЭЛЕКТРОСТАЛЬСКИЙ»</t>
  </si>
  <si>
    <t>505343001</t>
  </si>
  <si>
    <t>30896278</t>
  </si>
  <si>
    <t>ФКОО «ЛИДКОМ ИНВЕСТМЕНТС ЛИМИТЕД»</t>
  </si>
  <si>
    <t>9909369754</t>
  </si>
  <si>
    <t>774751001</t>
  </si>
  <si>
    <t>01-06-2012 00:00:00</t>
  </si>
  <si>
    <t>26357560</t>
  </si>
  <si>
    <t>ФКП "ВГКАЗ"</t>
  </si>
  <si>
    <t>5005021250</t>
  </si>
  <si>
    <t>19-06-1997 00:00:00</t>
  </si>
  <si>
    <t>30836831</t>
  </si>
  <si>
    <t>ФКУЗ "ЦВМИР "ОЗЕРО ДОЛГОЕ" МВД РОССИИ"</t>
  </si>
  <si>
    <t>5007011642</t>
  </si>
  <si>
    <t>30-05-1995 00:00:00</t>
  </si>
  <si>
    <t>27552293</t>
  </si>
  <si>
    <t>Филиал "Калужский" ОАО "Славянка"</t>
  </si>
  <si>
    <t>402443001</t>
  </si>
  <si>
    <t>30-01-2015 00:00:00</t>
  </si>
  <si>
    <t>30851006</t>
  </si>
  <si>
    <t>Филиал ГУП "КС МО" "НРСВ"</t>
  </si>
  <si>
    <t>28268327</t>
  </si>
  <si>
    <t>Филиал ГУП МО "КС МО" "ВСВ"</t>
  </si>
  <si>
    <t>503443001</t>
  </si>
  <si>
    <t>30983351</t>
  </si>
  <si>
    <t>Филиал ГУП МО "КС МО" "ЛП ВК"</t>
  </si>
  <si>
    <t>505043001</t>
  </si>
  <si>
    <t>26802877</t>
  </si>
  <si>
    <t>Филиал ОАО "Малино"</t>
  </si>
  <si>
    <t>7722014069</t>
  </si>
  <si>
    <t>28543956</t>
  </si>
  <si>
    <t>Филиал ООО "Газпром трансгаз Москва" Московское ЛПУМГ</t>
  </si>
  <si>
    <t>775143002</t>
  </si>
  <si>
    <t>26814783</t>
  </si>
  <si>
    <t>Филиал ООО "Газпром трансгаз Москва" УЭЗC</t>
  </si>
  <si>
    <t>26548107</t>
  </si>
  <si>
    <t>Филиал ПАО «Газпром» «Дом приемов «Богородское»</t>
  </si>
  <si>
    <t>775102001</t>
  </si>
  <si>
    <t>28134387</t>
  </si>
  <si>
    <t>Филиал ПАО «Россети» - Московское ПМЭС</t>
  </si>
  <si>
    <t>500743002</t>
  </si>
  <si>
    <t>26548273</t>
  </si>
  <si>
    <t>26548138</t>
  </si>
  <si>
    <t>в/ч 52531</t>
  </si>
  <si>
    <t>5050006328</t>
  </si>
  <si>
    <t>12-05-2017 00:00:00</t>
  </si>
  <si>
    <t>31560994</t>
  </si>
  <si>
    <t>отделение филиала "РТРС" "МРЦ" - Радиоцентр № 6</t>
  </si>
  <si>
    <t>507402001</t>
  </si>
  <si>
    <t>23-11-2001 00:00:00</t>
  </si>
  <si>
    <t>30951241</t>
  </si>
  <si>
    <t>филиал МУП ЩМР "Межрайонный Щелковский Водоканал" - "Водоканал Пушкинского района"</t>
  </si>
  <si>
    <t>503843002</t>
  </si>
  <si>
    <t>26-06-1998 00:00:00</t>
  </si>
  <si>
    <t>30795519</t>
  </si>
  <si>
    <t>филиал МУП ЩМР "Межрайонный Щелковский Водоканал"-"Водоканал городского округа Фрязино"</t>
  </si>
  <si>
    <t>26549245</t>
  </si>
  <si>
    <t>АМО ЗИЛ</t>
  </si>
  <si>
    <t>7725043886</t>
  </si>
  <si>
    <t>504905001</t>
  </si>
  <si>
    <t>23-09-1992 00:00:00</t>
  </si>
  <si>
    <t>31390985</t>
  </si>
  <si>
    <t>АНО "Гастроэнтерологический санаторий "Монино"</t>
  </si>
  <si>
    <t>5050133157</t>
  </si>
  <si>
    <t>30924744</t>
  </si>
  <si>
    <t>АО "АИС"</t>
  </si>
  <si>
    <t>7810858086</t>
  </si>
  <si>
    <t>781001001</t>
  </si>
  <si>
    <t>14-02-2012 00:00:00</t>
  </si>
  <si>
    <t>26549247</t>
  </si>
  <si>
    <t>АО "Завод ХИМРЕАКТИВКОМПЛЕКТ"</t>
  </si>
  <si>
    <t>5031024890</t>
  </si>
  <si>
    <t>17-01-1994 00:00:00</t>
  </si>
  <si>
    <t>26567398</t>
  </si>
  <si>
    <t>АО "Куровские очистные сооружения</t>
  </si>
  <si>
    <t>5073009371</t>
  </si>
  <si>
    <t>27-06-2002 00:00:00</t>
  </si>
  <si>
    <t>28-10-2021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</si>
  <si>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</si>
  <si>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</si>
  <si>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</si>
  <si>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</si>
  <si>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</si>
  <si>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</si>
  <si>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</si>
  <si>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</si>
  <si>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</si>
  <si>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</si>
  <si>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</si>
  <si>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</si>
  <si>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</si>
  <si>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</si>
  <si>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26549223</t>
  </si>
  <si>
    <t>ГП "ВНИИПП"</t>
  </si>
  <si>
    <t>5044003400</t>
  </si>
  <si>
    <t>26802886</t>
  </si>
  <si>
    <t>ЗАО "Агрофирма "Красная заря"</t>
  </si>
  <si>
    <t>5045003120</t>
  </si>
  <si>
    <t>26549237</t>
  </si>
  <si>
    <t>ЗАО "Круговская птицефабрика"</t>
  </si>
  <si>
    <t>5020000640</t>
  </si>
  <si>
    <t>30-12-2021 00:00:00</t>
  </si>
  <si>
    <t>26567391</t>
  </si>
  <si>
    <t>ЗАО "МАСШТАБ-Сервис"</t>
  </si>
  <si>
    <t>5003003136</t>
  </si>
  <si>
    <t>26549215</t>
  </si>
  <si>
    <t>ЗАО "Пановский"</t>
  </si>
  <si>
    <t>5070001053</t>
  </si>
  <si>
    <t>26357791</t>
  </si>
  <si>
    <t>ЗАО "ТФ "Купавна"</t>
  </si>
  <si>
    <t>5031005093</t>
  </si>
  <si>
    <t>23-05-2022 00:00:00</t>
  </si>
  <si>
    <t>26549265</t>
  </si>
  <si>
    <t>ЗАО "Центрдорстрой-ЦРМ""</t>
  </si>
  <si>
    <t>5031044254</t>
  </si>
  <si>
    <t>26808485</t>
  </si>
  <si>
    <t>ЗАО "ЧЕХОВСКИЙ МЕБЕЛЬНЫЙ КОМБИНАТ"</t>
  </si>
  <si>
    <t>5048080525</t>
  </si>
  <si>
    <t>27-08-2002 00:00:00</t>
  </si>
  <si>
    <t>31189313</t>
  </si>
  <si>
    <t>ЗАО "ЭКА Транс"</t>
  </si>
  <si>
    <t>7719632202</t>
  </si>
  <si>
    <t>03-05-2007 00:00:00</t>
  </si>
  <si>
    <t>26358014</t>
  </si>
  <si>
    <t>ЗАО "ЭКОАЭРОСТАЛКЕР"</t>
  </si>
  <si>
    <t>5050026067</t>
  </si>
  <si>
    <t>28-09-1998 00:00:00</t>
  </si>
  <si>
    <t>16-05-2022 00:00:00</t>
  </si>
  <si>
    <t>26777931</t>
  </si>
  <si>
    <t>ЗАО «ВЗЖБИ»</t>
  </si>
  <si>
    <t>5005000250</t>
  </si>
  <si>
    <t>12-01-2023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</si>
  <si>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</si>
  <si>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</si>
  <si>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</si>
  <si>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</si>
  <si>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</si>
  <si>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</si>
  <si>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</si>
  <si>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</si>
  <si>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</si>
  <si>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</si>
  <si>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</si>
  <si>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26549227</t>
  </si>
  <si>
    <t>МУП "БУЖКХ"</t>
  </si>
  <si>
    <t>5031024748</t>
  </si>
  <si>
    <t>26807282</t>
  </si>
  <si>
    <t>МУП "ЖКХ сельского поселения Борисовское"</t>
  </si>
  <si>
    <t>5028025332</t>
  </si>
  <si>
    <t>19-08-2019 00:00:00</t>
  </si>
  <si>
    <t>26549273</t>
  </si>
  <si>
    <t>МУП "Клинводоканал"</t>
  </si>
  <si>
    <t>5020031133</t>
  </si>
  <si>
    <t>31696146</t>
  </si>
  <si>
    <t>МУП «Химводосток»</t>
  </si>
  <si>
    <t>5047132210</t>
  </si>
  <si>
    <t>09-04-2012 00:00:00</t>
  </si>
  <si>
    <t>28427760</t>
  </si>
  <si>
    <t>ОАО "Волоколамскхлеб"</t>
  </si>
  <si>
    <t>5004002329</t>
  </si>
  <si>
    <t>26549257</t>
  </si>
  <si>
    <t>ОАО "Ивантеевский элеватормельмаш"</t>
  </si>
  <si>
    <t>5016005250</t>
  </si>
  <si>
    <t>26357994</t>
  </si>
  <si>
    <t>ОАО "КВЗ"</t>
  </si>
  <si>
    <t>5048080483</t>
  </si>
  <si>
    <t>04-09-1993 00:00:00</t>
  </si>
  <si>
    <t>26549217</t>
  </si>
  <si>
    <t>ОАО "Каширский завод "Центролит"</t>
  </si>
  <si>
    <t>5019000814</t>
  </si>
  <si>
    <t>21-05-2018 00:00:00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</si>
  <si>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</si>
  <si>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</si>
  <si>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</si>
  <si>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</si>
  <si>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</si>
  <si>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</si>
  <si>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</si>
  <si>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</si>
  <si>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</si>
  <si>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</si>
  <si>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26436691</t>
  </si>
  <si>
    <t>ОАО "Экотехнопарк"</t>
  </si>
  <si>
    <t>5040052759</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</si>
  <si>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</si>
  <si>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</si>
  <si>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</si>
  <si>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</si>
  <si>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</si>
  <si>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</si>
  <si>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</si>
  <si>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</si>
  <si>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</si>
  <si>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</si>
  <si>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</si>
  <si>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</si>
  <si>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</si>
  <si>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</si>
  <si>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</si>
  <si>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</si>
  <si>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</si>
  <si>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</si>
  <si>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</si>
  <si>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</si>
  <si>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</si>
  <si>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</si>
  <si>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</si>
  <si>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</si>
  <si>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</si>
  <si>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</si>
  <si>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</si>
  <si>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26549259</t>
  </si>
  <si>
    <t>ООО "Дмитровское село"</t>
  </si>
  <si>
    <t>5007034463</t>
  </si>
  <si>
    <t>26549269</t>
  </si>
  <si>
    <t>ООО "Дом отдыха Кратово"</t>
  </si>
  <si>
    <t>5040048576</t>
  </si>
  <si>
    <t>18-02-2021 00:00:00</t>
  </si>
  <si>
    <t>31187954</t>
  </si>
  <si>
    <t>ООО "Домогнеупор"</t>
  </si>
  <si>
    <t>5009096056</t>
  </si>
  <si>
    <t>26652090</t>
  </si>
  <si>
    <t>ООО "ЕДС-Протвино"</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</si>
  <si>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</si>
  <si>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</si>
  <si>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</si>
  <si>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</si>
  <si>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</si>
  <si>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</si>
  <si>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</si>
  <si>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</si>
  <si>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</si>
  <si>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</si>
  <si>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</si>
  <si>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</si>
  <si>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</si>
  <si>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</si>
  <si>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</si>
  <si>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</si>
  <si>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</si>
  <si>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</si>
  <si>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</si>
  <si>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</si>
  <si>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</si>
  <si>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</si>
  <si>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</si>
  <si>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27285703</t>
  </si>
  <si>
    <t>ООО "Паллада+"</t>
  </si>
  <si>
    <t>5031096485</t>
  </si>
  <si>
    <t>26549261</t>
  </si>
  <si>
    <t>ООО "Пансионат с лечением "Елочка"</t>
  </si>
  <si>
    <t>5032043599</t>
  </si>
  <si>
    <t>26837668</t>
  </si>
  <si>
    <t>ООО "Пересвет ТоргСервис"</t>
  </si>
  <si>
    <t>5042075335</t>
  </si>
  <si>
    <t>504201011</t>
  </si>
  <si>
    <t>26649284</t>
  </si>
  <si>
    <t>ООО "Полимер-МГ"</t>
  </si>
  <si>
    <t>5038034946</t>
  </si>
  <si>
    <t>28812739</t>
  </si>
  <si>
    <t>ООО "СКОРОПУСКОВСКИЙ СИНТЕЗ"</t>
  </si>
  <si>
    <t>5042065880</t>
  </si>
  <si>
    <t>525901001</t>
  </si>
  <si>
    <t>19-07-2001 00:00:00</t>
  </si>
  <si>
    <t>11-10-2023 00:00:00</t>
  </si>
  <si>
    <t>26837664</t>
  </si>
  <si>
    <t>ООО "СПО "Росстрой"</t>
  </si>
  <si>
    <t>5042043358</t>
  </si>
  <si>
    <t>04-09-2017 00:00:00</t>
  </si>
  <si>
    <t>26650801</t>
  </si>
  <si>
    <t>ООО "Сервис - Центр"</t>
  </si>
  <si>
    <t>5029067977</t>
  </si>
  <si>
    <t>08-02-2019 00:00:00</t>
  </si>
  <si>
    <t>27583665</t>
  </si>
  <si>
    <t>ООО "Сервис ВиК"</t>
  </si>
  <si>
    <t>5046074220</t>
  </si>
  <si>
    <t>26549241</t>
  </si>
  <si>
    <t>31415051</t>
  </si>
  <si>
    <t>ООО "Смоленские водные системы"</t>
  </si>
  <si>
    <t>7743310358</t>
  </si>
  <si>
    <t>29-07-2019 00:00:00</t>
  </si>
  <si>
    <t>26570929</t>
  </si>
  <si>
    <t>ООО "Соколовское"</t>
  </si>
  <si>
    <t>5050027208</t>
  </si>
  <si>
    <t>09-08-2018 00:00:00</t>
  </si>
  <si>
    <t>30363601</t>
  </si>
  <si>
    <t>ООО "Стандарт"</t>
  </si>
  <si>
    <t>5033001400</t>
  </si>
  <si>
    <t>13-01-2015 00:00:00</t>
  </si>
  <si>
    <t>31110509</t>
  </si>
  <si>
    <t>ООО "УНР 1187"</t>
  </si>
  <si>
    <t>5024097216</t>
  </si>
  <si>
    <t>27-06-2008 00:00:00</t>
  </si>
  <si>
    <t>26649269</t>
  </si>
  <si>
    <t>ООО "Управляющая компания "ЭлитМенеджмент"</t>
  </si>
  <si>
    <t>5038048498</t>
  </si>
  <si>
    <t>12-03-2019 00:00:00</t>
  </si>
  <si>
    <t>26567642</t>
  </si>
  <si>
    <t>ООО "Флагман"</t>
  </si>
  <si>
    <t>7720628747</t>
  </si>
  <si>
    <t>30363627</t>
  </si>
  <si>
    <t>ООО "ЭКОСТАНДАРТ"</t>
  </si>
  <si>
    <t>7720802716</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</si>
  <si>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</si>
  <si>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</si>
  <si>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</si>
  <si>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</si>
  <si>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</si>
  <si>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</si>
  <si>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</si>
  <si>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</si>
  <si>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</si>
  <si>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</si>
  <si>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</si>
  <si>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</si>
  <si>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</si>
  <si>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</si>
  <si>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</si>
  <si>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</si>
  <si>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</si>
  <si>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</si>
  <si>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28454733</t>
  </si>
  <si>
    <t>ООО "ЭнергоКомплекс"</t>
  </si>
  <si>
    <t>5019024928</t>
  </si>
  <si>
    <t>13-01-2023 00:00:00</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</si>
  <si>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</si>
  <si>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</si>
  <si>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</si>
  <si>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</si>
  <si>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</si>
  <si>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</si>
  <si>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</si>
  <si>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</si>
  <si>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</si>
  <si>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</si>
  <si>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</si>
  <si>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</si>
  <si>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</si>
  <si>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</si>
  <si>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26820881</t>
  </si>
  <si>
    <t>ООО «НефтеПрогрессЦентр»</t>
  </si>
  <si>
    <t>5035022847</t>
  </si>
  <si>
    <t>07-03-2017 00:00:00</t>
  </si>
  <si>
    <t>30363486</t>
  </si>
  <si>
    <t>ООО «Складской комплекс «Толбино»</t>
  </si>
  <si>
    <t>5074038720</t>
  </si>
  <si>
    <t>25-07-2007 00:00:00</t>
  </si>
  <si>
    <t>08-09-2022 00:00:00</t>
  </si>
  <si>
    <t>27583690</t>
  </si>
  <si>
    <t>ООО «Созидание»</t>
  </si>
  <si>
    <t>5012046337</t>
  </si>
  <si>
    <t>27583720</t>
  </si>
  <si>
    <t>ООО «Управляющая компания «ЦентрЖилСервис»</t>
  </si>
  <si>
    <t>5012061705</t>
  </si>
  <si>
    <t>28145314</t>
  </si>
  <si>
    <t>ООО"УК"Ямкино-Мамонтово"</t>
  </si>
  <si>
    <t>5031102837</t>
  </si>
  <si>
    <t>23-08-2022 00:00:00</t>
  </si>
  <si>
    <t>26549255</t>
  </si>
  <si>
    <t>РВЦ "Орбита-2"</t>
  </si>
  <si>
    <t>28271968</t>
  </si>
  <si>
    <t>ТСЖ "Вешки-Сити"</t>
  </si>
  <si>
    <t>5029058362</t>
  </si>
  <si>
    <t>06-06-2001 00:00:00</t>
  </si>
  <si>
    <t>26807220</t>
  </si>
  <si>
    <t>ФГУП "Биотехнологический завод"</t>
  </si>
  <si>
    <t>5076000296</t>
  </si>
  <si>
    <t>26549271</t>
  </si>
  <si>
    <t>ФГУП "НИИССВ "Прогресс"</t>
  </si>
  <si>
    <t>5031014362</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</si>
  <si>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</si>
  <si>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</si>
  <si>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</si>
  <si>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</si>
  <si>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</si>
  <si>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</si>
  <si>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</si>
  <si>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</si>
  <si>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</si>
  <si>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</si>
  <si>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</si>
  <si>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</si>
  <si>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</si>
  <si>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</si>
  <si>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</si>
  <si>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</si>
  <si>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</si>
  <si>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</si>
  <si>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</si>
  <si>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</si>
  <si>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</si>
  <si>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</si>
  <si>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</si>
  <si>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</si>
  <si>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</si>
  <si>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</si>
  <si>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</si>
  <si>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</si>
  <si>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26549344</t>
  </si>
  <si>
    <t>МУП "Орехово-Зуевское ГПКХиБ"</t>
  </si>
  <si>
    <t>5034060173</t>
  </si>
  <si>
    <t>26-04-2022 00:00:00</t>
  </si>
  <si>
    <t>26549320</t>
  </si>
  <si>
    <t>МУП "ПОЛИГОН"</t>
  </si>
  <si>
    <t>5028025269</t>
  </si>
  <si>
    <t>26549298</t>
  </si>
  <si>
    <t>МУП "Полигон"</t>
  </si>
  <si>
    <t>5029055629</t>
  </si>
  <si>
    <t>24-11-2022 00:00:00</t>
  </si>
  <si>
    <t>26549334</t>
  </si>
  <si>
    <t>МУП "Спецавтохозяйство"</t>
  </si>
  <si>
    <t>5022013860</t>
  </si>
  <si>
    <t>27952361</t>
  </si>
  <si>
    <t>ОАО "Полигон"</t>
  </si>
  <si>
    <t>5072002510</t>
  </si>
  <si>
    <t>18-11-2011 00:00:00</t>
  </si>
  <si>
    <t>16-03-2021 00:00:00</t>
  </si>
  <si>
    <t>26646336</t>
  </si>
  <si>
    <t>ОАО "Полигон-сервис"</t>
  </si>
  <si>
    <t>5049018664</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</si>
  <si>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</si>
  <si>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</si>
  <si>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</si>
  <si>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</si>
  <si>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</si>
  <si>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</si>
  <si>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</si>
  <si>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</si>
  <si>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</si>
  <si>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</si>
  <si>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</si>
  <si>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</si>
  <si>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</si>
  <si>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</si>
  <si>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</si>
  <si>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</si>
  <si>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</si>
  <si>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</si>
  <si>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</si>
  <si>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</si>
  <si>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</si>
  <si>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</si>
  <si>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</si>
  <si>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</si>
  <si>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</si>
  <si>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</si>
  <si>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</si>
  <si>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</si>
  <si>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</si>
  <si>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</si>
  <si>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</si>
  <si>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</si>
  <si>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</si>
  <si>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</si>
  <si>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</si>
  <si>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</si>
  <si>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</si>
  <si>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</si>
  <si>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</si>
  <si>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</si>
  <si>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</si>
  <si>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</si>
  <si>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</si>
  <si>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</si>
  <si>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</si>
  <si>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</si>
  <si>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</si>
  <si>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</si>
  <si>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</si>
  <si>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</si>
  <si>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</si>
  <si>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</si>
  <si>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31290357</t>
  </si>
  <si>
    <t>ООО "КОМТЕХМАШ"</t>
  </si>
  <si>
    <t>5074051418</t>
  </si>
  <si>
    <t>30-10-2014 00:00:00</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</si>
  <si>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</si>
  <si>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</si>
  <si>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</si>
  <si>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</si>
  <si>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</si>
  <si>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</si>
  <si>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</si>
  <si>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</si>
  <si>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</si>
  <si>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</si>
  <si>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</si>
  <si>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</si>
  <si>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</si>
  <si>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</si>
  <si>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</si>
  <si>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</si>
  <si>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</si>
  <si>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</si>
  <si>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</si>
  <si>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</si>
  <si>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</si>
  <si>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</si>
  <si>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</si>
  <si>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</si>
  <si>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</si>
  <si>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</si>
  <si>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</si>
  <si>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</si>
  <si>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</si>
  <si>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</si>
  <si>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</si>
  <si>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</si>
  <si>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</si>
  <si>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</si>
  <si>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</si>
  <si>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</si>
  <si>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</si>
  <si>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</si>
  <si>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</si>
  <si>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</si>
  <si>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</si>
  <si>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</si>
  <si>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</si>
  <si>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</si>
  <si>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</si>
  <si>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</si>
  <si>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</si>
  <si>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</si>
  <si>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</si>
  <si>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</si>
  <si>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</si>
  <si>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</si>
  <si>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</si>
  <si>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</si>
  <si>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</si>
  <si>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</si>
  <si>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</si>
  <si>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</si>
  <si>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</si>
  <si>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</si>
  <si>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</si>
  <si>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</si>
  <si>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</si>
  <si>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</si>
  <si>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</si>
  <si>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</si>
  <si>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</si>
  <si>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</si>
  <si>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</si>
  <si>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</si>
  <si>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</si>
  <si>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</si>
  <si>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</si>
  <si>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</si>
  <si>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</si>
  <si>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</si>
  <si>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</si>
  <si>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</si>
  <si>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</si>
  <si>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</si>
  <si>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</si>
  <si>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</si>
  <si>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</si>
  <si>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</si>
  <si>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</si>
  <si>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</si>
  <si>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</si>
  <si>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</si>
  <si>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</si>
  <si>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</si>
  <si>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</si>
  <si>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</si>
  <si>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</si>
  <si>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</si>
  <si>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</si>
  <si>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</si>
  <si>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</si>
  <si>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</si>
  <si>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</si>
  <si>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</si>
  <si>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</si>
  <si>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</si>
  <si>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</si>
  <si>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</si>
  <si>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</si>
  <si>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</si>
  <si>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</si>
  <si>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</si>
  <si>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</si>
  <si>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</si>
  <si>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</si>
  <si>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</si>
  <si>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</si>
  <si>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</si>
  <si>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</si>
  <si>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</si>
  <si>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</si>
  <si>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</si>
  <si>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</si>
  <si>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</si>
  <si>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</si>
  <si>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</si>
  <si>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</si>
  <si>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</si>
  <si>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</si>
  <si>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</si>
  <si>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</si>
  <si>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</si>
  <si>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</si>
  <si>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</si>
  <si>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</si>
  <si>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</si>
  <si>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</si>
  <si>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</si>
  <si>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</si>
  <si>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26549342</t>
  </si>
  <si>
    <t>ООО "ЭкоПолигон-Щелково"</t>
  </si>
  <si>
    <t>5050040738</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</si>
  <si>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</si>
  <si>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</si>
  <si>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</si>
  <si>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</si>
  <si>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</si>
  <si>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</si>
  <si>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</si>
  <si>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</si>
  <si>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</si>
  <si>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</si>
  <si>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</si>
  <si>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</si>
  <si>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</si>
  <si>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</si>
  <si>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</si>
  <si>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</si>
  <si>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</si>
  <si>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26811002</t>
  </si>
  <si>
    <t>ООО «ЭкоПолигон-Щелково»</t>
  </si>
  <si>
    <t>5050075480</t>
  </si>
  <si>
    <t>10-06-2021 00:00:00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</si>
  <si>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</si>
  <si>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</si>
  <si>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</si>
  <si>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</si>
  <si>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</si>
  <si>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</si>
  <si>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</si>
  <si>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</si>
  <si>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</si>
  <si>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</si>
  <si>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</si>
  <si>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</si>
  <si>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</si>
  <si>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</si>
  <si>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</si>
  <si>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</si>
  <si>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</si>
  <si>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</si>
  <si>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</si>
  <si>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</si>
  <si>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</si>
  <si>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</si>
  <si>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</si>
  <si>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</si>
  <si>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</si>
  <si>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</si>
  <si>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район</t>
  </si>
  <si>
    <t>46605000</t>
  </si>
  <si>
    <t>муниципальный район</t>
  </si>
  <si>
    <t>городское поселение Волоколамск</t>
  </si>
  <si>
    <t>46605101</t>
  </si>
  <si>
    <t>городское поселение, в состав которого входит город</t>
  </si>
  <si>
    <t>городское поселение Сычево</t>
  </si>
  <si>
    <t>46605158</t>
  </si>
  <si>
    <t>городское поселение, в состав которого входит поселок</t>
  </si>
  <si>
    <t>сельское поселение Кашинское</t>
  </si>
  <si>
    <t>46605422</t>
  </si>
  <si>
    <t>сельское поселение</t>
  </si>
  <si>
    <t>сельское поселение Осташевское</t>
  </si>
  <si>
    <t>46605431</t>
  </si>
  <si>
    <t>сельское поселение Спасское</t>
  </si>
  <si>
    <t>46605434</t>
  </si>
  <si>
    <t>сельское поселение Теряевское</t>
  </si>
  <si>
    <t>46605449</t>
  </si>
  <si>
    <t>сельское поселение Чисменское</t>
  </si>
  <si>
    <t>46605461</t>
  </si>
  <si>
    <t>сельское поселение Ярополецкое</t>
  </si>
  <si>
    <t>46605467</t>
  </si>
  <si>
    <t>Воскресенский муниципальный район</t>
  </si>
  <si>
    <t>46606000</t>
  </si>
  <si>
    <t>городское поселение Белоозерский</t>
  </si>
  <si>
    <t>46606154</t>
  </si>
  <si>
    <t>городское поселение Воскресенск</t>
  </si>
  <si>
    <t>46606101</t>
  </si>
  <si>
    <t>городское поселение Хорлово</t>
  </si>
  <si>
    <t>46606167</t>
  </si>
  <si>
    <t>городское поселение им. Цюрупы</t>
  </si>
  <si>
    <t>46606180</t>
  </si>
  <si>
    <t>сельское поселение Ашитковское</t>
  </si>
  <si>
    <t>46606402</t>
  </si>
  <si>
    <t>сельское поселение Фединское</t>
  </si>
  <si>
    <t>46606413</t>
  </si>
  <si>
    <t>Дмитровский</t>
  </si>
  <si>
    <t>46715000</t>
  </si>
  <si>
    <t>Дмитровский муниципальный район</t>
  </si>
  <si>
    <t>46608000</t>
  </si>
  <si>
    <t>городское поселение Деденево</t>
  </si>
  <si>
    <t>46608154</t>
  </si>
  <si>
    <t>городское поселение Дмитров</t>
  </si>
  <si>
    <t>46608101</t>
  </si>
  <si>
    <t>городское поселение Икша</t>
  </si>
  <si>
    <t>46608157</t>
  </si>
  <si>
    <t>городское поселение Некрасовский</t>
  </si>
  <si>
    <t>46608163</t>
  </si>
  <si>
    <t>городское поселение Яхрома</t>
  </si>
  <si>
    <t>46608105</t>
  </si>
  <si>
    <t>сельское поселение Большерогачевское</t>
  </si>
  <si>
    <t>46608407</t>
  </si>
  <si>
    <t>сельское поселение Габовское</t>
  </si>
  <si>
    <t>46608413</t>
  </si>
  <si>
    <t>сельское поселение Костинское</t>
  </si>
  <si>
    <t>46608431</t>
  </si>
  <si>
    <t>сельское поселение Куликовское</t>
  </si>
  <si>
    <t>46608437</t>
  </si>
  <si>
    <t>сельское поселение Синьковское</t>
  </si>
  <si>
    <t>46608461</t>
  </si>
  <si>
    <t>сельское поселение Якотское</t>
  </si>
  <si>
    <t>46608470</t>
  </si>
  <si>
    <t>Егорьевский муниципальный район</t>
  </si>
  <si>
    <t>46612000</t>
  </si>
  <si>
    <t>городское поселение Егорьевск</t>
  </si>
  <si>
    <t>46612101</t>
  </si>
  <si>
    <t>городское поселение Рязановский</t>
  </si>
  <si>
    <t>46612160</t>
  </si>
  <si>
    <t>сельское поселение Раменское</t>
  </si>
  <si>
    <t>46612440</t>
  </si>
  <si>
    <t>сельское поселение Саввинское</t>
  </si>
  <si>
    <t>46612443</t>
  </si>
  <si>
    <t>сельское поселение Юрцовское</t>
  </si>
  <si>
    <t>46612434</t>
  </si>
  <si>
    <t>Зарайск</t>
  </si>
  <si>
    <t>46729000</t>
  </si>
  <si>
    <t>Зарайский муниципальный район</t>
  </si>
  <si>
    <t>46616000</t>
  </si>
  <si>
    <t>городское поселение Зарайск</t>
  </si>
  <si>
    <t>46616101</t>
  </si>
  <si>
    <t>сельское поселение Гололобовское</t>
  </si>
  <si>
    <t>46616408</t>
  </si>
  <si>
    <t>сельское поселение Каринское</t>
  </si>
  <si>
    <t>46616416</t>
  </si>
  <si>
    <t>сельское поселение Машоновское</t>
  </si>
  <si>
    <t>46616428</t>
  </si>
  <si>
    <t>сельское поселение Струпненское</t>
  </si>
  <si>
    <t>46616437</t>
  </si>
  <si>
    <t>Истра</t>
  </si>
  <si>
    <t>46733000</t>
  </si>
  <si>
    <t>Истринский муниципальный район</t>
  </si>
  <si>
    <t>46618000</t>
  </si>
  <si>
    <t>городское поселение Дедовск</t>
  </si>
  <si>
    <t>46618103</t>
  </si>
  <si>
    <t>городское поселение Истра</t>
  </si>
  <si>
    <t>46618101</t>
  </si>
  <si>
    <t>городское поселение Снегири</t>
  </si>
  <si>
    <t>46618156</t>
  </si>
  <si>
    <t>сельское поселение Бужаровское</t>
  </si>
  <si>
    <t>46618402</t>
  </si>
  <si>
    <t>сельское поселение Букаревское</t>
  </si>
  <si>
    <t>46618404</t>
  </si>
  <si>
    <t>сельское поселение Ермолинское</t>
  </si>
  <si>
    <t>46618413</t>
  </si>
  <si>
    <t>сельское поселение Ивановское</t>
  </si>
  <si>
    <t>46618416</t>
  </si>
  <si>
    <t>сельское поселение Костровское</t>
  </si>
  <si>
    <t>46618419</t>
  </si>
  <si>
    <t>сельское поселение Лучинское</t>
  </si>
  <si>
    <t>46618425</t>
  </si>
  <si>
    <t>сельское поселение Новопетровское</t>
  </si>
  <si>
    <t>46618428</t>
  </si>
  <si>
    <t>сельское поселение Обушковское</t>
  </si>
  <si>
    <t>46618431</t>
  </si>
  <si>
    <t>сельское поселение Онуфриевское</t>
  </si>
  <si>
    <t>46618434</t>
  </si>
  <si>
    <t>сельское поселение Павло-Слободское</t>
  </si>
  <si>
    <t>46618437</t>
  </si>
  <si>
    <t>60</t>
  </si>
  <si>
    <t>сельское поселение Ядроминское</t>
  </si>
  <si>
    <t>46618443</t>
  </si>
  <si>
    <t>61</t>
  </si>
  <si>
    <t>Каширский муниципальный район</t>
  </si>
  <si>
    <t>46620000</t>
  </si>
  <si>
    <t>62</t>
  </si>
  <si>
    <t>городское поселение Кашира</t>
  </si>
  <si>
    <t>46620101</t>
  </si>
  <si>
    <t>63</t>
  </si>
  <si>
    <t>городское поселение Ожерелье</t>
  </si>
  <si>
    <t>46620104</t>
  </si>
  <si>
    <t>64</t>
  </si>
  <si>
    <t>сельское поселение Базаровское</t>
  </si>
  <si>
    <t>46620402</t>
  </si>
  <si>
    <t>65</t>
  </si>
  <si>
    <t>сельское поселение Домнинское</t>
  </si>
  <si>
    <t>46620407</t>
  </si>
  <si>
    <t>сельское поселение Знаменское</t>
  </si>
  <si>
    <t>46620410</t>
  </si>
  <si>
    <t>67</t>
  </si>
  <si>
    <t>сельское поселение Колтовское</t>
  </si>
  <si>
    <t>46620413</t>
  </si>
  <si>
    <t>сельское поселение Топкановское</t>
  </si>
  <si>
    <t>46620419</t>
  </si>
  <si>
    <t>69</t>
  </si>
  <si>
    <t>Клинский муниципальный район</t>
  </si>
  <si>
    <t>46621000</t>
  </si>
  <si>
    <t>71</t>
  </si>
  <si>
    <t>городское поселение Высоковск</t>
  </si>
  <si>
    <t>46621103</t>
  </si>
  <si>
    <t>72</t>
  </si>
  <si>
    <t>городское поселение Клин</t>
  </si>
  <si>
    <t>46621101</t>
  </si>
  <si>
    <t>73</t>
  </si>
  <si>
    <t>городское поселение Решетниково</t>
  </si>
  <si>
    <t>46621154</t>
  </si>
  <si>
    <t>74</t>
  </si>
  <si>
    <t>сельское поселение Воздвиженское</t>
  </si>
  <si>
    <t>46621407</t>
  </si>
  <si>
    <t>75</t>
  </si>
  <si>
    <t>сельское поселение Воронинское</t>
  </si>
  <si>
    <t>46621410</t>
  </si>
  <si>
    <t>76</t>
  </si>
  <si>
    <t>сельское поселение Зубовское</t>
  </si>
  <si>
    <t>46621416</t>
  </si>
  <si>
    <t>77</t>
  </si>
  <si>
    <t>сельское поселение Нудольское</t>
  </si>
  <si>
    <t>46621434</t>
  </si>
  <si>
    <t>78</t>
  </si>
  <si>
    <t>сельское поселение Петровское</t>
  </si>
  <si>
    <t>46621437</t>
  </si>
  <si>
    <t>79</t>
  </si>
  <si>
    <t>Коломенский муниципальный район</t>
  </si>
  <si>
    <t>46622000</t>
  </si>
  <si>
    <t>80</t>
  </si>
  <si>
    <t>городское поселение Пески</t>
  </si>
  <si>
    <t>46622154</t>
  </si>
  <si>
    <t>81</t>
  </si>
  <si>
    <t>сельское поселение Акатьевское</t>
  </si>
  <si>
    <t>46622402</t>
  </si>
  <si>
    <t>82</t>
  </si>
  <si>
    <t>сельское поселение Биорковское</t>
  </si>
  <si>
    <t>46622404</t>
  </si>
  <si>
    <t>83</t>
  </si>
  <si>
    <t>сельское поселение Заруденское</t>
  </si>
  <si>
    <t>46622416</t>
  </si>
  <si>
    <t>84</t>
  </si>
  <si>
    <t>сельское поселение Непецинское</t>
  </si>
  <si>
    <t>46622419</t>
  </si>
  <si>
    <t>85</t>
  </si>
  <si>
    <t>сельское поселение Пестриковское</t>
  </si>
  <si>
    <t>46622425</t>
  </si>
  <si>
    <t>86</t>
  </si>
  <si>
    <t>сельское поселение Проводниковское</t>
  </si>
  <si>
    <t>46622431</t>
  </si>
  <si>
    <t>87</t>
  </si>
  <si>
    <t>сельское поселение Радужное</t>
  </si>
  <si>
    <t>46622422</t>
  </si>
  <si>
    <t>88</t>
  </si>
  <si>
    <t>сельское поселение Хорошовское</t>
  </si>
  <si>
    <t>46622434</t>
  </si>
  <si>
    <t>89</t>
  </si>
  <si>
    <t>Коломна</t>
  </si>
  <si>
    <t>46738000</t>
  </si>
  <si>
    <t>90</t>
  </si>
  <si>
    <t>Красногорск</t>
  </si>
  <si>
    <t>46744000</t>
  </si>
  <si>
    <t>91</t>
  </si>
  <si>
    <t>Красногорский муниципальный район</t>
  </si>
  <si>
    <t>46623000</t>
  </si>
  <si>
    <t>92</t>
  </si>
  <si>
    <t>городское поселение Красногорск</t>
  </si>
  <si>
    <t>46623101</t>
  </si>
  <si>
    <t>93</t>
  </si>
  <si>
    <t>городское поселение Нахабино</t>
  </si>
  <si>
    <t>46623154</t>
  </si>
  <si>
    <t>94</t>
  </si>
  <si>
    <t>сельское поселение Ильинское</t>
  </si>
  <si>
    <t>46623404</t>
  </si>
  <si>
    <t>95</t>
  </si>
  <si>
    <t>сельское поселение Отрадненское</t>
  </si>
  <si>
    <t>46623407</t>
  </si>
  <si>
    <t>96</t>
  </si>
  <si>
    <t>Ленинский</t>
  </si>
  <si>
    <t>46707000</t>
  </si>
  <si>
    <t>97</t>
  </si>
  <si>
    <t>Ленинский муниципальный район</t>
  </si>
  <si>
    <t>46628000</t>
  </si>
  <si>
    <t>98</t>
  </si>
  <si>
    <t>городское поселение Видное</t>
  </si>
  <si>
    <t>46628101</t>
  </si>
  <si>
    <t>99</t>
  </si>
  <si>
    <t>городское поселение Горки Ленинские</t>
  </si>
  <si>
    <t>46628155</t>
  </si>
  <si>
    <t>100</t>
  </si>
  <si>
    <t>сельское поселение Булатниковское</t>
  </si>
  <si>
    <t>46628402</t>
  </si>
  <si>
    <t>101</t>
  </si>
  <si>
    <t>сельское поселение Володарское</t>
  </si>
  <si>
    <t>46628407</t>
  </si>
  <si>
    <t>102</t>
  </si>
  <si>
    <t>сельское поселение Молоковское</t>
  </si>
  <si>
    <t>46628422</t>
  </si>
  <si>
    <t>103</t>
  </si>
  <si>
    <t>сельское поселение Развилковское</t>
  </si>
  <si>
    <t>46628416</t>
  </si>
  <si>
    <t>104</t>
  </si>
  <si>
    <t>сельское поселение Совхоз имени Ленина</t>
  </si>
  <si>
    <t>46628411</t>
  </si>
  <si>
    <t>105</t>
  </si>
  <si>
    <t>Ликино-Дулёво</t>
  </si>
  <si>
    <t>46749000</t>
  </si>
  <si>
    <t>106</t>
  </si>
  <si>
    <t>Лотошино</t>
  </si>
  <si>
    <t>46752000</t>
  </si>
  <si>
    <t>107</t>
  </si>
  <si>
    <t>Лотошинский муниципальный район</t>
  </si>
  <si>
    <t>46629000</t>
  </si>
  <si>
    <t>108</t>
  </si>
  <si>
    <t>городское поселение Лотошино</t>
  </si>
  <si>
    <t>46629151</t>
  </si>
  <si>
    <t>109</t>
  </si>
  <si>
    <t>сельское поселение Микулинское</t>
  </si>
  <si>
    <t>46629416</t>
  </si>
  <si>
    <t>110</t>
  </si>
  <si>
    <t>сельское поселение Ошейкинское</t>
  </si>
  <si>
    <t>46629428</t>
  </si>
  <si>
    <t>111</t>
  </si>
  <si>
    <t>Луховицкий муниципальный район</t>
  </si>
  <si>
    <t>46630000</t>
  </si>
  <si>
    <t>112</t>
  </si>
  <si>
    <t>городское поселение Белоомут</t>
  </si>
  <si>
    <t>46630153</t>
  </si>
  <si>
    <t>113</t>
  </si>
  <si>
    <t>городское поселение Луховицы</t>
  </si>
  <si>
    <t>46630101</t>
  </si>
  <si>
    <t>114</t>
  </si>
  <si>
    <t>сельское поселение Астаповское</t>
  </si>
  <si>
    <t>46630407</t>
  </si>
  <si>
    <t>115</t>
  </si>
  <si>
    <t>сельское поселение Газопроводское</t>
  </si>
  <si>
    <t>46630413</t>
  </si>
  <si>
    <t>116</t>
  </si>
  <si>
    <t>сельское поселение Головачевское</t>
  </si>
  <si>
    <t>46630416</t>
  </si>
  <si>
    <t>117</t>
  </si>
  <si>
    <t>сельское поселение Дединовское</t>
  </si>
  <si>
    <t>46630425</t>
  </si>
  <si>
    <t>118</t>
  </si>
  <si>
    <t>сельское поселение Краснопоймовское</t>
  </si>
  <si>
    <t>46630431</t>
  </si>
  <si>
    <t>119</t>
  </si>
  <si>
    <t>сельское поселение Фруктовское</t>
  </si>
  <si>
    <t>46630452</t>
  </si>
  <si>
    <t>120</t>
  </si>
  <si>
    <t>Луховицы</t>
  </si>
  <si>
    <t>46747000</t>
  </si>
  <si>
    <t>121</t>
  </si>
  <si>
    <t>Люберецкий муниципальный район</t>
  </si>
  <si>
    <t>46631000</t>
  </si>
  <si>
    <t>122</t>
  </si>
  <si>
    <t>городское поселение Красково</t>
  </si>
  <si>
    <t>46631165</t>
  </si>
  <si>
    <t>123</t>
  </si>
  <si>
    <t>городское поселение Люберцы</t>
  </si>
  <si>
    <t>46631101</t>
  </si>
  <si>
    <t>124</t>
  </si>
  <si>
    <t>городское поселение Малаховка</t>
  </si>
  <si>
    <t>46631167</t>
  </si>
  <si>
    <t>125</t>
  </si>
  <si>
    <t>городское поселение Октябрьский</t>
  </si>
  <si>
    <t>46631170</t>
  </si>
  <si>
    <t>126</t>
  </si>
  <si>
    <t>городское поселение Томилино</t>
  </si>
  <si>
    <t>46631173</t>
  </si>
  <si>
    <t>127</t>
  </si>
  <si>
    <t>Люберцы</t>
  </si>
  <si>
    <t>46748000</t>
  </si>
  <si>
    <t>128</t>
  </si>
  <si>
    <t>Можайский</t>
  </si>
  <si>
    <t>46745000</t>
  </si>
  <si>
    <t>129</t>
  </si>
  <si>
    <t>Можайский муниципальный район</t>
  </si>
  <si>
    <t>46633000</t>
  </si>
  <si>
    <t>130</t>
  </si>
  <si>
    <t>городское поселение Можайск</t>
  </si>
  <si>
    <t>46633101</t>
  </si>
  <si>
    <t>131</t>
  </si>
  <si>
    <t>городское поселение Уваровка</t>
  </si>
  <si>
    <t>46633154</t>
  </si>
  <si>
    <t>132</t>
  </si>
  <si>
    <t>сельское поселение Борисовское</t>
  </si>
  <si>
    <t>46633402</t>
  </si>
  <si>
    <t>133</t>
  </si>
  <si>
    <t>сельское поселение Бородинское</t>
  </si>
  <si>
    <t>46633404</t>
  </si>
  <si>
    <t>134</t>
  </si>
  <si>
    <t>сельское поселение Горетовское</t>
  </si>
  <si>
    <t>46633410</t>
  </si>
  <si>
    <t>135</t>
  </si>
  <si>
    <t>сельское поселение Дровнинский</t>
  </si>
  <si>
    <t>46633416</t>
  </si>
  <si>
    <t>136</t>
  </si>
  <si>
    <t>сельское поселение Замошинское</t>
  </si>
  <si>
    <t>46633419</t>
  </si>
  <si>
    <t>137</t>
  </si>
  <si>
    <t>сельское поселение Клементьевский</t>
  </si>
  <si>
    <t>46633422</t>
  </si>
  <si>
    <t>138</t>
  </si>
  <si>
    <t>сельское поселение Порецкое</t>
  </si>
  <si>
    <t>46633437</t>
  </si>
  <si>
    <t>139</t>
  </si>
  <si>
    <t>сельское поселение Спутник</t>
  </si>
  <si>
    <t>46633425</t>
  </si>
  <si>
    <t>140</t>
  </si>
  <si>
    <t>сельское поселение Юрловское</t>
  </si>
  <si>
    <t>46633449</t>
  </si>
  <si>
    <t>141</t>
  </si>
  <si>
    <t>Мытищинский муниципальный район</t>
  </si>
  <si>
    <t>46634000</t>
  </si>
  <si>
    <t>142</t>
  </si>
  <si>
    <t>городское поселение Мытищи</t>
  </si>
  <si>
    <t>46634101</t>
  </si>
  <si>
    <t>143</t>
  </si>
  <si>
    <t>городское поселение Пироговский</t>
  </si>
  <si>
    <t>46634162</t>
  </si>
  <si>
    <t>144</t>
  </si>
  <si>
    <t>сельское поселение Федоскинское</t>
  </si>
  <si>
    <t>46634422</t>
  </si>
  <si>
    <t>145</t>
  </si>
  <si>
    <t>Наро-Фоминский</t>
  </si>
  <si>
    <t>46750000</t>
  </si>
  <si>
    <t>146</t>
  </si>
  <si>
    <t>Наро-Фоминский муниципальный район</t>
  </si>
  <si>
    <t>46638000</t>
  </si>
  <si>
    <t>Городское поселение Наро-Фоминск</t>
  </si>
  <si>
    <t>46638101</t>
  </si>
  <si>
    <t>147</t>
  </si>
  <si>
    <t>148</t>
  </si>
  <si>
    <t>городское поселение Апрелевка</t>
  </si>
  <si>
    <t>46638102</t>
  </si>
  <si>
    <t>149</t>
  </si>
  <si>
    <t>городское поселение Верея</t>
  </si>
  <si>
    <t>46638105</t>
  </si>
  <si>
    <t>150</t>
  </si>
  <si>
    <t>городское поселение Калининец</t>
  </si>
  <si>
    <t>46638155</t>
  </si>
  <si>
    <t>151</t>
  </si>
  <si>
    <t>городское поселение Селятино</t>
  </si>
  <si>
    <t>46638168</t>
  </si>
  <si>
    <t>152</t>
  </si>
  <si>
    <t>сельское поселение Атепцевское</t>
  </si>
  <si>
    <t>46638404</t>
  </si>
  <si>
    <t>153</t>
  </si>
  <si>
    <t>сельское поселение Веселевское</t>
  </si>
  <si>
    <t>46638410</t>
  </si>
  <si>
    <t>154</t>
  </si>
  <si>
    <t>сельское поселение Волченковское</t>
  </si>
  <si>
    <t>46638407</t>
  </si>
  <si>
    <t>155</t>
  </si>
  <si>
    <t>сельское поселение Ташировское</t>
  </si>
  <si>
    <t>46638440</t>
  </si>
  <si>
    <t>156</t>
  </si>
  <si>
    <t>Ногинский муниципальный район</t>
  </si>
  <si>
    <t>46639000</t>
  </si>
  <si>
    <t>157</t>
  </si>
  <si>
    <t>городское поселение Ногинск</t>
  </si>
  <si>
    <t>46639101</t>
  </si>
  <si>
    <t>158</t>
  </si>
  <si>
    <t>городское поселение Обухово</t>
  </si>
  <si>
    <t>46639158</t>
  </si>
  <si>
    <t>159</t>
  </si>
  <si>
    <t>городское поселение Старая Купавна</t>
  </si>
  <si>
    <t>46639103</t>
  </si>
  <si>
    <t>160</t>
  </si>
  <si>
    <t>городское поселение Электроугли</t>
  </si>
  <si>
    <t>46639105</t>
  </si>
  <si>
    <t>161</t>
  </si>
  <si>
    <t>городское поселение им. Воровского</t>
  </si>
  <si>
    <t>46639154</t>
  </si>
  <si>
    <t>162</t>
  </si>
  <si>
    <t>сельское поселение Аксено-Бутырское</t>
  </si>
  <si>
    <t>46639402</t>
  </si>
  <si>
    <t>163</t>
  </si>
  <si>
    <t>сельское поселение Буньковское</t>
  </si>
  <si>
    <t>46639407</t>
  </si>
  <si>
    <t>164</t>
  </si>
  <si>
    <t>сельское поселение Мамонтовское</t>
  </si>
  <si>
    <t>46639416</t>
  </si>
  <si>
    <t>165</t>
  </si>
  <si>
    <t>сельское поселение Степановское</t>
  </si>
  <si>
    <t>46639422</t>
  </si>
  <si>
    <t>166</t>
  </si>
  <si>
    <t>сельское поселение Ямкинское</t>
  </si>
  <si>
    <t>46639428</t>
  </si>
  <si>
    <t>167</t>
  </si>
  <si>
    <t>Одинцовский</t>
  </si>
  <si>
    <t>46755000</t>
  </si>
  <si>
    <t>168</t>
  </si>
  <si>
    <t>Одинцовский муниципальный район</t>
  </si>
  <si>
    <t>46641000</t>
  </si>
  <si>
    <t>169</t>
  </si>
  <si>
    <t>городское поселение Большие Вяземы</t>
  </si>
  <si>
    <t>46641152</t>
  </si>
  <si>
    <t>170</t>
  </si>
  <si>
    <t>городское поселение Голицыно</t>
  </si>
  <si>
    <t>46641104</t>
  </si>
  <si>
    <t>171</t>
  </si>
  <si>
    <t>городское поселение Заречье</t>
  </si>
  <si>
    <t>46641157</t>
  </si>
  <si>
    <t>172</t>
  </si>
  <si>
    <t>городское поселение Кубинка</t>
  </si>
  <si>
    <t>46641110</t>
  </si>
  <si>
    <t>173</t>
  </si>
  <si>
    <t>городское поселение Лесной Городок</t>
  </si>
  <si>
    <t>46641160</t>
  </si>
  <si>
    <t>174</t>
  </si>
  <si>
    <t>городское поселение Новоивановское</t>
  </si>
  <si>
    <t>46641162</t>
  </si>
  <si>
    <t>175</t>
  </si>
  <si>
    <t>городское поселение Одинцово</t>
  </si>
  <si>
    <t>46641101</t>
  </si>
  <si>
    <t>176</t>
  </si>
  <si>
    <t>сельское поселение Барвихинское</t>
  </si>
  <si>
    <t>46641404</t>
  </si>
  <si>
    <t>177</t>
  </si>
  <si>
    <t>сельское поселение Горское</t>
  </si>
  <si>
    <t>46641413</t>
  </si>
  <si>
    <t>178</t>
  </si>
  <si>
    <t>сельское поселение Ершовское</t>
  </si>
  <si>
    <t>46641419</t>
  </si>
  <si>
    <t>179</t>
  </si>
  <si>
    <t>сельское поселение Жаворонковское</t>
  </si>
  <si>
    <t>46641470</t>
  </si>
  <si>
    <t>180</t>
  </si>
  <si>
    <t>сельское поселение Захаровское</t>
  </si>
  <si>
    <t>46641425</t>
  </si>
  <si>
    <t>181</t>
  </si>
  <si>
    <t>сельское поселение Назарьевское</t>
  </si>
  <si>
    <t>46641440</t>
  </si>
  <si>
    <t>182</t>
  </si>
  <si>
    <t>сельское поселение Никольское</t>
  </si>
  <si>
    <t>46641449</t>
  </si>
  <si>
    <t>183</t>
  </si>
  <si>
    <t>сельское поселение Успенское</t>
  </si>
  <si>
    <t>46641461</t>
  </si>
  <si>
    <t>184</t>
  </si>
  <si>
    <t>сельское поселение Часцовское</t>
  </si>
  <si>
    <t>46641464</t>
  </si>
  <si>
    <t>185</t>
  </si>
  <si>
    <t>Озерский муниципальный район</t>
  </si>
  <si>
    <t>46642000</t>
  </si>
  <si>
    <t>186</t>
  </si>
  <si>
    <t>городское поселение Озеры</t>
  </si>
  <si>
    <t>46642101</t>
  </si>
  <si>
    <t>187</t>
  </si>
  <si>
    <t>сельское поселение Бояркинское</t>
  </si>
  <si>
    <t>46642402</t>
  </si>
  <si>
    <t>188</t>
  </si>
  <si>
    <t>сельское поселение Клишинское</t>
  </si>
  <si>
    <t>46642410</t>
  </si>
  <si>
    <t>189</t>
  </si>
  <si>
    <t>Орехово-Зуевский</t>
  </si>
  <si>
    <t>46757000</t>
  </si>
  <si>
    <t>190</t>
  </si>
  <si>
    <t>Орехово-Зуевский муниципальный район</t>
  </si>
  <si>
    <t>46643000</t>
  </si>
  <si>
    <t>191</t>
  </si>
  <si>
    <t>городское поселение Дрезна</t>
  </si>
  <si>
    <t>46643104</t>
  </si>
  <si>
    <t>192</t>
  </si>
  <si>
    <t>городское поселение Куровское</t>
  </si>
  <si>
    <t>46643108</t>
  </si>
  <si>
    <t>193</t>
  </si>
  <si>
    <t>городское поселение Ликино-Дулево</t>
  </si>
  <si>
    <t>46643113</t>
  </si>
  <si>
    <t>194</t>
  </si>
  <si>
    <t>сельское поселение Белавинское</t>
  </si>
  <si>
    <t>46643407</t>
  </si>
  <si>
    <t>195</t>
  </si>
  <si>
    <t>сельское поселение Верейское</t>
  </si>
  <si>
    <t>46643408</t>
  </si>
  <si>
    <t>196</t>
  </si>
  <si>
    <t>46643413</t>
  </si>
  <si>
    <t>197</t>
  </si>
  <si>
    <t>сельское поселение Давыдовское</t>
  </si>
  <si>
    <t>46643419</t>
  </si>
  <si>
    <t>198</t>
  </si>
  <si>
    <t>сельское поселение Демиховское</t>
  </si>
  <si>
    <t>46643422</t>
  </si>
  <si>
    <t>199</t>
  </si>
  <si>
    <t>сельское поселение Дороховское</t>
  </si>
  <si>
    <t>46643425</t>
  </si>
  <si>
    <t>200</t>
  </si>
  <si>
    <t>46643431</t>
  </si>
  <si>
    <t>201</t>
  </si>
  <si>
    <t>сельское поселение Малодубенское</t>
  </si>
  <si>
    <t>46643437</t>
  </si>
  <si>
    <t>202</t>
  </si>
  <si>
    <t>сельское поселение Новинское</t>
  </si>
  <si>
    <t>46643443</t>
  </si>
  <si>
    <t>203</t>
  </si>
  <si>
    <t>сельское поселение Соболевское</t>
  </si>
  <si>
    <t>46643446</t>
  </si>
  <si>
    <t>204</t>
  </si>
  <si>
    <t>Павлово-Посадский</t>
  </si>
  <si>
    <t>46759000</t>
  </si>
  <si>
    <t>205</t>
  </si>
  <si>
    <t>Павлово-Посадский муниципальный район</t>
  </si>
  <si>
    <t>46645000</t>
  </si>
  <si>
    <t>206</t>
  </si>
  <si>
    <t>городское поселение Большие Дворы</t>
  </si>
  <si>
    <t>46645152</t>
  </si>
  <si>
    <t>207</t>
  </si>
  <si>
    <t>городское поселение Павловский Посад</t>
  </si>
  <si>
    <t>46645101</t>
  </si>
  <si>
    <t>208</t>
  </si>
  <si>
    <t>сельское поселение Аверкиевское</t>
  </si>
  <si>
    <t>46645402</t>
  </si>
  <si>
    <t>209</t>
  </si>
  <si>
    <t>сельское поселение Кузнецовское</t>
  </si>
  <si>
    <t>46645404</t>
  </si>
  <si>
    <t>210</t>
  </si>
  <si>
    <t>сельское поселение Рахмановское</t>
  </si>
  <si>
    <t>46645410</t>
  </si>
  <si>
    <t>211</t>
  </si>
  <si>
    <t>сельское поселение Улитинское</t>
  </si>
  <si>
    <t>46645416</t>
  </si>
  <si>
    <t>212</t>
  </si>
  <si>
    <t>Подольский муниципальный район</t>
  </si>
  <si>
    <t>46646000</t>
  </si>
  <si>
    <t>Город Подольск</t>
  </si>
  <si>
    <t>213</t>
  </si>
  <si>
    <t>214</t>
  </si>
  <si>
    <t>городское поселение Львовский</t>
  </si>
  <si>
    <t>46646154</t>
  </si>
  <si>
    <t>215</t>
  </si>
  <si>
    <t>сельское поселение Дубровицкое</t>
  </si>
  <si>
    <t>46646413</t>
  </si>
  <si>
    <t>216</t>
  </si>
  <si>
    <t>сельское поселение Лаговское</t>
  </si>
  <si>
    <t>46646416</t>
  </si>
  <si>
    <t>217</t>
  </si>
  <si>
    <t>сельское поселение Стрелковское</t>
  </si>
  <si>
    <t>46646428</t>
  </si>
  <si>
    <t>218</t>
  </si>
  <si>
    <t>Пушкинский муниципальный район</t>
  </si>
  <si>
    <t>46647000</t>
  </si>
  <si>
    <t>220</t>
  </si>
  <si>
    <t>городское поселение Ашукино</t>
  </si>
  <si>
    <t>46647152</t>
  </si>
  <si>
    <t>221</t>
  </si>
  <si>
    <t>городское поселение Зеленоградский</t>
  </si>
  <si>
    <t>46647154</t>
  </si>
  <si>
    <t>222</t>
  </si>
  <si>
    <t>городское поселение Лесной</t>
  </si>
  <si>
    <t>46647156</t>
  </si>
  <si>
    <t>223</t>
  </si>
  <si>
    <t>городское поселение Правдинский</t>
  </si>
  <si>
    <t>46647158</t>
  </si>
  <si>
    <t>224</t>
  </si>
  <si>
    <t>городское поселение Пушкино</t>
  </si>
  <si>
    <t>46647101</t>
  </si>
  <si>
    <t>225</t>
  </si>
  <si>
    <t>городское поселение Софрино</t>
  </si>
  <si>
    <t>46647163</t>
  </si>
  <si>
    <t>226</t>
  </si>
  <si>
    <t>городское поселение Черкизово</t>
  </si>
  <si>
    <t>46647168</t>
  </si>
  <si>
    <t>227</t>
  </si>
  <si>
    <t>сельское поселение Ельдигинское</t>
  </si>
  <si>
    <t>46647407</t>
  </si>
  <si>
    <t>228</t>
  </si>
  <si>
    <t>сельское поселение Тарасовское</t>
  </si>
  <si>
    <t>46647437</t>
  </si>
  <si>
    <t>229</t>
  </si>
  <si>
    <t>сельское поселение Царевское</t>
  </si>
  <si>
    <t>46647443</t>
  </si>
  <si>
    <t>230</t>
  </si>
  <si>
    <t>Раменский</t>
  </si>
  <si>
    <t>46768000</t>
  </si>
  <si>
    <t>231</t>
  </si>
  <si>
    <t>Раменский муниципальный район</t>
  </si>
  <si>
    <t>46648000</t>
  </si>
  <si>
    <t>232</t>
  </si>
  <si>
    <t>городское поселение Быково</t>
  </si>
  <si>
    <t>46648152</t>
  </si>
  <si>
    <t>233</t>
  </si>
  <si>
    <t>городское поселение Ильинский</t>
  </si>
  <si>
    <t>46648155</t>
  </si>
  <si>
    <t>234</t>
  </si>
  <si>
    <t>городское поселение Кратово</t>
  </si>
  <si>
    <t>46648157</t>
  </si>
  <si>
    <t>235</t>
  </si>
  <si>
    <t>городское поселение Раменское</t>
  </si>
  <si>
    <t>46648101</t>
  </si>
  <si>
    <t>236</t>
  </si>
  <si>
    <t>городское поселение Родники</t>
  </si>
  <si>
    <t>46648162</t>
  </si>
  <si>
    <t>237</t>
  </si>
  <si>
    <t>городское поселение Удельная</t>
  </si>
  <si>
    <t>46648168</t>
  </si>
  <si>
    <t>238</t>
  </si>
  <si>
    <t>46648402</t>
  </si>
  <si>
    <t>239</t>
  </si>
  <si>
    <t>сельское поселение Вялковское</t>
  </si>
  <si>
    <t>46648407</t>
  </si>
  <si>
    <t>240</t>
  </si>
  <si>
    <t>сельское поселение Ганусовское</t>
  </si>
  <si>
    <t>46648410</t>
  </si>
  <si>
    <t>241</t>
  </si>
  <si>
    <t>сельское поселение Гжельское</t>
  </si>
  <si>
    <t>46648413</t>
  </si>
  <si>
    <t>242</t>
  </si>
  <si>
    <t>сельское поселение Заболотьевское</t>
  </si>
  <si>
    <t>46648422</t>
  </si>
  <si>
    <t>243</t>
  </si>
  <si>
    <t>сельское поселение Константиновское</t>
  </si>
  <si>
    <t>46648434</t>
  </si>
  <si>
    <t>244</t>
  </si>
  <si>
    <t>46648443</t>
  </si>
  <si>
    <t>245</t>
  </si>
  <si>
    <t>сельское поселение Никоновское</t>
  </si>
  <si>
    <t>46648455</t>
  </si>
  <si>
    <t>246</t>
  </si>
  <si>
    <t>сельское поселение Новохаритоновское</t>
  </si>
  <si>
    <t>46648458</t>
  </si>
  <si>
    <t>247</t>
  </si>
  <si>
    <t>сельское поселение Островецкое</t>
  </si>
  <si>
    <t>46648461</t>
  </si>
  <si>
    <t>248</t>
  </si>
  <si>
    <t>сельское поселение Рыболовское</t>
  </si>
  <si>
    <t>46648470</t>
  </si>
  <si>
    <t>249</t>
  </si>
  <si>
    <t>сельское поселение Сафоновское</t>
  </si>
  <si>
    <t>46648473</t>
  </si>
  <si>
    <t>250</t>
  </si>
  <si>
    <t>сельское поселение Софьинское</t>
  </si>
  <si>
    <t>46648476</t>
  </si>
  <si>
    <t>251</t>
  </si>
  <si>
    <t>сельское поселение Ульянинское</t>
  </si>
  <si>
    <t>46648488</t>
  </si>
  <si>
    <t>252</t>
  </si>
  <si>
    <t>сельское поселение Чулковское</t>
  </si>
  <si>
    <t>46648491</t>
  </si>
  <si>
    <t>253</t>
  </si>
  <si>
    <t>Рузский</t>
  </si>
  <si>
    <t>46766000</t>
  </si>
  <si>
    <t>254</t>
  </si>
  <si>
    <t>Рузский муниципальный район</t>
  </si>
  <si>
    <t>46649000</t>
  </si>
  <si>
    <t>255</t>
  </si>
  <si>
    <t>городское поселение Руза</t>
  </si>
  <si>
    <t>46649101</t>
  </si>
  <si>
    <t>256</t>
  </si>
  <si>
    <t>городское поселение Тучково</t>
  </si>
  <si>
    <t>46649163</t>
  </si>
  <si>
    <t>257</t>
  </si>
  <si>
    <t>сельское поселение Волковское</t>
  </si>
  <si>
    <t>46649404</t>
  </si>
  <si>
    <t>258</t>
  </si>
  <si>
    <t>46649428</t>
  </si>
  <si>
    <t>259</t>
  </si>
  <si>
    <t>46649407</t>
  </si>
  <si>
    <t>260</t>
  </si>
  <si>
    <t>сельское поселение Колюбакинское</t>
  </si>
  <si>
    <t>46649402</t>
  </si>
  <si>
    <t>261</t>
  </si>
  <si>
    <t>сельское поселение Старорузское</t>
  </si>
  <si>
    <t>46649431</t>
  </si>
  <si>
    <t>262</t>
  </si>
  <si>
    <t>Сергиево-Посадский муниципальный район</t>
  </si>
  <si>
    <t>46615000</t>
  </si>
  <si>
    <t>Город Сергиев Посад</t>
  </si>
  <si>
    <t>46615101</t>
  </si>
  <si>
    <t>264</t>
  </si>
  <si>
    <t>265</t>
  </si>
  <si>
    <t>городское поселение Богородское</t>
  </si>
  <si>
    <t>46615153</t>
  </si>
  <si>
    <t>266</t>
  </si>
  <si>
    <t>городское поселение Краснозаводск</t>
  </si>
  <si>
    <t>46615103</t>
  </si>
  <si>
    <t>267</t>
  </si>
  <si>
    <t>городское поселение Пересвет</t>
  </si>
  <si>
    <t>46615105</t>
  </si>
  <si>
    <t>268</t>
  </si>
  <si>
    <t>городское поселение Скоропусковский</t>
  </si>
  <si>
    <t>46615161</t>
  </si>
  <si>
    <t>269</t>
  </si>
  <si>
    <t>городское поселение Хотьково</t>
  </si>
  <si>
    <t>46615106</t>
  </si>
  <si>
    <t>270</t>
  </si>
  <si>
    <t>сельское поселение Березняковское</t>
  </si>
  <si>
    <t>46615406</t>
  </si>
  <si>
    <t>271</t>
  </si>
  <si>
    <t>сельское поселение Васильевское</t>
  </si>
  <si>
    <t>46615413</t>
  </si>
  <si>
    <t>272</t>
  </si>
  <si>
    <t>сельское поселение Лозовское</t>
  </si>
  <si>
    <t>46615458</t>
  </si>
  <si>
    <t>273</t>
  </si>
  <si>
    <t>сельское поселение Реммаш</t>
  </si>
  <si>
    <t>46615446</t>
  </si>
  <si>
    <t>274</t>
  </si>
  <si>
    <t>сельское поселение Селковское</t>
  </si>
  <si>
    <t>46615452</t>
  </si>
  <si>
    <t>275</t>
  </si>
  <si>
    <t>сельское поселение Шеметовское</t>
  </si>
  <si>
    <t>46615461</t>
  </si>
  <si>
    <t>276</t>
  </si>
  <si>
    <t>Серебряно-Прудский муниципальный район</t>
  </si>
  <si>
    <t>46650000</t>
  </si>
  <si>
    <t>277</t>
  </si>
  <si>
    <t>городское поселение Серебряные Пруды</t>
  </si>
  <si>
    <t>46650151</t>
  </si>
  <si>
    <t>278</t>
  </si>
  <si>
    <t>сельское поселение Мочильское</t>
  </si>
  <si>
    <t>46650409</t>
  </si>
  <si>
    <t>279</t>
  </si>
  <si>
    <t>сельское поселение Узуновское</t>
  </si>
  <si>
    <t>46650419</t>
  </si>
  <si>
    <t>280</t>
  </si>
  <si>
    <t>46650416</t>
  </si>
  <si>
    <t>281</t>
  </si>
  <si>
    <t>Серпуховский муниципальный район</t>
  </si>
  <si>
    <t>46651000</t>
  </si>
  <si>
    <t>282</t>
  </si>
  <si>
    <t>городское поселение Оболенск</t>
  </si>
  <si>
    <t>46651152</t>
  </si>
  <si>
    <t>283</t>
  </si>
  <si>
    <t>городское поселение Пролетарский</t>
  </si>
  <si>
    <t>46651154</t>
  </si>
  <si>
    <t>284</t>
  </si>
  <si>
    <t>46651410</t>
  </si>
  <si>
    <t>285</t>
  </si>
  <si>
    <t>сельское поселение Данковское</t>
  </si>
  <si>
    <t>46651407</t>
  </si>
  <si>
    <t>286</t>
  </si>
  <si>
    <t>сельское поселение Дашковское</t>
  </si>
  <si>
    <t>46651413</t>
  </si>
  <si>
    <t>287</t>
  </si>
  <si>
    <t>сельское поселение Калиновское</t>
  </si>
  <si>
    <t>46651416</t>
  </si>
  <si>
    <t>288</t>
  </si>
  <si>
    <t>сельское поселение Липицкое</t>
  </si>
  <si>
    <t>46651422</t>
  </si>
  <si>
    <t>289</t>
  </si>
  <si>
    <t>Солнечногорский муниципальный район</t>
  </si>
  <si>
    <t>46652000</t>
  </si>
  <si>
    <t>291</t>
  </si>
  <si>
    <t>городское поселение Андреевка</t>
  </si>
  <si>
    <t>46652153</t>
  </si>
  <si>
    <t>292</t>
  </si>
  <si>
    <t>городское поселение Менделеево</t>
  </si>
  <si>
    <t>46652158</t>
  </si>
  <si>
    <t>293</t>
  </si>
  <si>
    <t>городское поселение Поварово</t>
  </si>
  <si>
    <t>46652162</t>
  </si>
  <si>
    <t>294</t>
  </si>
  <si>
    <t>городское поселение Ржавки</t>
  </si>
  <si>
    <t>46652164</t>
  </si>
  <si>
    <t>295</t>
  </si>
  <si>
    <t>городское поселение Солнечногорск</t>
  </si>
  <si>
    <t>46652101</t>
  </si>
  <si>
    <t>296</t>
  </si>
  <si>
    <t>сельское поселение Кривцовское</t>
  </si>
  <si>
    <t>46652428</t>
  </si>
  <si>
    <t>297</t>
  </si>
  <si>
    <t>сельское поселение Кутузовское</t>
  </si>
  <si>
    <t>46652422</t>
  </si>
  <si>
    <t>298</t>
  </si>
  <si>
    <t>сельское поселение Луневское</t>
  </si>
  <si>
    <t>46652416</t>
  </si>
  <si>
    <t>299</t>
  </si>
  <si>
    <t>сельское поселение Пешковское</t>
  </si>
  <si>
    <t>46652431</t>
  </si>
  <si>
    <t>300</t>
  </si>
  <si>
    <t>сельское поселение Смирновское</t>
  </si>
  <si>
    <t>46652425</t>
  </si>
  <si>
    <t>301</t>
  </si>
  <si>
    <t>сельское поселение Соколовское</t>
  </si>
  <si>
    <t>46652446</t>
  </si>
  <si>
    <t>302</t>
  </si>
  <si>
    <t>Ступино</t>
  </si>
  <si>
    <t>46776000</t>
  </si>
  <si>
    <t>303</t>
  </si>
  <si>
    <t>Ступинский муниципальный район</t>
  </si>
  <si>
    <t>46653000</t>
  </si>
  <si>
    <t>304</t>
  </si>
  <si>
    <t>городское поселение Жилёво</t>
  </si>
  <si>
    <t>46653154</t>
  </si>
  <si>
    <t>305</t>
  </si>
  <si>
    <t>городское поселение Малино</t>
  </si>
  <si>
    <t>46653156</t>
  </si>
  <si>
    <t>306</t>
  </si>
  <si>
    <t>городское поселение Михнево</t>
  </si>
  <si>
    <t>46653158</t>
  </si>
  <si>
    <t>307</t>
  </si>
  <si>
    <t>городское поселение Ступино</t>
  </si>
  <si>
    <t>46653101</t>
  </si>
  <si>
    <t>308</t>
  </si>
  <si>
    <t>сельское поселение Аксиньинское</t>
  </si>
  <si>
    <t>46653402</t>
  </si>
  <si>
    <t>309</t>
  </si>
  <si>
    <t>сельское поселение Леонтьевское</t>
  </si>
  <si>
    <t>46653422</t>
  </si>
  <si>
    <t>310</t>
  </si>
  <si>
    <t>сельское поселение Семеновское</t>
  </si>
  <si>
    <t>46653436</t>
  </si>
  <si>
    <t>311</t>
  </si>
  <si>
    <t>Талдомский</t>
  </si>
  <si>
    <t>46778000</t>
  </si>
  <si>
    <t>312</t>
  </si>
  <si>
    <t>Талдомский муниципальный район</t>
  </si>
  <si>
    <t>46654000</t>
  </si>
  <si>
    <t>Квашёнковское</t>
  </si>
  <si>
    <t>46654415</t>
  </si>
  <si>
    <t>313</t>
  </si>
  <si>
    <t>314</t>
  </si>
  <si>
    <t>городское поселение Вербилки</t>
  </si>
  <si>
    <t>46654154</t>
  </si>
  <si>
    <t>315</t>
  </si>
  <si>
    <t>городское поселение Запрудня</t>
  </si>
  <si>
    <t>46654158</t>
  </si>
  <si>
    <t>316</t>
  </si>
  <si>
    <t>городское поселение Северный</t>
  </si>
  <si>
    <t>46654163</t>
  </si>
  <si>
    <t>317</t>
  </si>
  <si>
    <t>городское поселение Талдом</t>
  </si>
  <si>
    <t>46654101</t>
  </si>
  <si>
    <t>318</t>
  </si>
  <si>
    <t>сельское поселение Гуслевское</t>
  </si>
  <si>
    <t>46654407</t>
  </si>
  <si>
    <t>319</t>
  </si>
  <si>
    <t>46654410</t>
  </si>
  <si>
    <t>320</t>
  </si>
  <si>
    <t>сельское поселение Темповое</t>
  </si>
  <si>
    <t>46654426</t>
  </si>
  <si>
    <t>321</t>
  </si>
  <si>
    <t>Чехов</t>
  </si>
  <si>
    <t>46784000</t>
  </si>
  <si>
    <t>322</t>
  </si>
  <si>
    <t>Чеховский муниципальный район</t>
  </si>
  <si>
    <t>46656000</t>
  </si>
  <si>
    <t>323</t>
  </si>
  <si>
    <t>городское поселение Столбовая</t>
  </si>
  <si>
    <t>46656155</t>
  </si>
  <si>
    <t>324</t>
  </si>
  <si>
    <t>городское поселение Чехов</t>
  </si>
  <si>
    <t>46656101</t>
  </si>
  <si>
    <t>325</t>
  </si>
  <si>
    <t>сельское поселение Баранцевское</t>
  </si>
  <si>
    <t>46656404</t>
  </si>
  <si>
    <t>326</t>
  </si>
  <si>
    <t>сельское поселение Любучанское</t>
  </si>
  <si>
    <t>46656416</t>
  </si>
  <si>
    <t>327</t>
  </si>
  <si>
    <t>сельское поселение Стремиловское</t>
  </si>
  <si>
    <t>46656428</t>
  </si>
  <si>
    <t>328</t>
  </si>
  <si>
    <t>Шатура</t>
  </si>
  <si>
    <t>46786000</t>
  </si>
  <si>
    <t>329</t>
  </si>
  <si>
    <t>Шатурский муниципальный район</t>
  </si>
  <si>
    <t>46657000</t>
  </si>
  <si>
    <t>330</t>
  </si>
  <si>
    <t>городское поселение Мишеронский</t>
  </si>
  <si>
    <t>46657163</t>
  </si>
  <si>
    <t>331</t>
  </si>
  <si>
    <t>городское поселение Черусти</t>
  </si>
  <si>
    <t>46657187</t>
  </si>
  <si>
    <t>332</t>
  </si>
  <si>
    <t>городское поселение Шатура</t>
  </si>
  <si>
    <t>46657101</t>
  </si>
  <si>
    <t>333</t>
  </si>
  <si>
    <t>сельское поселение Дмитровское</t>
  </si>
  <si>
    <t>46657413</t>
  </si>
  <si>
    <t>334</t>
  </si>
  <si>
    <t>сельское поселение Кривандинское</t>
  </si>
  <si>
    <t>46657416</t>
  </si>
  <si>
    <t>335</t>
  </si>
  <si>
    <t>сельское поселение Пышлицкое</t>
  </si>
  <si>
    <t>46657440</t>
  </si>
  <si>
    <t>336</t>
  </si>
  <si>
    <t>сельское поселение Радовицкое</t>
  </si>
  <si>
    <t>46657460</t>
  </si>
  <si>
    <t>337</t>
  </si>
  <si>
    <t>Шаховской муниципальный район</t>
  </si>
  <si>
    <t>46658000</t>
  </si>
  <si>
    <t>338</t>
  </si>
  <si>
    <t>городское поселение Шаховская</t>
  </si>
  <si>
    <t>46658151</t>
  </si>
  <si>
    <t>339</t>
  </si>
  <si>
    <t>46658437</t>
  </si>
  <si>
    <t>340</t>
  </si>
  <si>
    <t>сельское поселение Серединское</t>
  </si>
  <si>
    <t>46658440</t>
  </si>
  <si>
    <t>341</t>
  </si>
  <si>
    <t>сельское поселение Степаньковское</t>
  </si>
  <si>
    <t>46658404</t>
  </si>
  <si>
    <t>342</t>
  </si>
  <si>
    <t>Щёлково</t>
  </si>
  <si>
    <t>46788000</t>
  </si>
  <si>
    <t>343</t>
  </si>
  <si>
    <t>Щёлковский муниципальный район</t>
  </si>
  <si>
    <t>46659000</t>
  </si>
  <si>
    <t>344</t>
  </si>
  <si>
    <t>городское поселение Загорянский</t>
  </si>
  <si>
    <t>46659152</t>
  </si>
  <si>
    <t>345</t>
  </si>
  <si>
    <t>городское поселение Монино</t>
  </si>
  <si>
    <t>46659154</t>
  </si>
  <si>
    <t>346</t>
  </si>
  <si>
    <t>городское поселение Свердловский</t>
  </si>
  <si>
    <t>46659158</t>
  </si>
  <si>
    <t>347</t>
  </si>
  <si>
    <t>городское поселение Фряново</t>
  </si>
  <si>
    <t>46659163</t>
  </si>
  <si>
    <t>348</t>
  </si>
  <si>
    <t>городское поселение Щелково</t>
  </si>
  <si>
    <t>46659101</t>
  </si>
  <si>
    <t>349</t>
  </si>
  <si>
    <t>сельское поселение Анискинское</t>
  </si>
  <si>
    <t>46659402</t>
  </si>
  <si>
    <t>350</t>
  </si>
  <si>
    <t>сельское поселение Гребневское</t>
  </si>
  <si>
    <t>46659407</t>
  </si>
  <si>
    <t>351</t>
  </si>
  <si>
    <t>сельское поселение Медвежье-Озерское</t>
  </si>
  <si>
    <t>46659419</t>
  </si>
  <si>
    <t>352</t>
  </si>
  <si>
    <t>сельское поселение Огудневское</t>
  </si>
  <si>
    <t>46659422</t>
  </si>
  <si>
    <t>353</t>
  </si>
  <si>
    <t>сельское поселение Трубинское</t>
  </si>
  <si>
    <t>46659434</t>
  </si>
  <si>
    <t>354</t>
  </si>
  <si>
    <t>городской округ Балашиха</t>
  </si>
  <si>
    <t>46704000</t>
  </si>
  <si>
    <t>355</t>
  </si>
  <si>
    <t>городской округ Бронницы</t>
  </si>
  <si>
    <t>46705000</t>
  </si>
  <si>
    <t>356</t>
  </si>
  <si>
    <t>городской округ Власиха</t>
  </si>
  <si>
    <t>46773000</t>
  </si>
  <si>
    <t>357</t>
  </si>
  <si>
    <t>городской округ Восход</t>
  </si>
  <si>
    <t>46763000</t>
  </si>
  <si>
    <t>358</t>
  </si>
  <si>
    <t>городской округ Дзержинский</t>
  </si>
  <si>
    <t>46711000</t>
  </si>
  <si>
    <t>359</t>
  </si>
  <si>
    <t>городской округ Долгопрудный</t>
  </si>
  <si>
    <t>46716000</t>
  </si>
  <si>
    <t>360</t>
  </si>
  <si>
    <t>городской округ Домодедово</t>
  </si>
  <si>
    <t>46709000</t>
  </si>
  <si>
    <t>361</t>
  </si>
  <si>
    <t>городской округ Дубна</t>
  </si>
  <si>
    <t>46718000</t>
  </si>
  <si>
    <t>362</t>
  </si>
  <si>
    <t>городской округ Егорьевск</t>
  </si>
  <si>
    <t>46722000</t>
  </si>
  <si>
    <t>363</t>
  </si>
  <si>
    <t>городской округ Железнодорожный</t>
  </si>
  <si>
    <t>46724000</t>
  </si>
  <si>
    <t>364</t>
  </si>
  <si>
    <t>городской округ Жуковский</t>
  </si>
  <si>
    <t>46725000</t>
  </si>
  <si>
    <t>365</t>
  </si>
  <si>
    <t>городской округ Звездный городок</t>
  </si>
  <si>
    <t>46774000</t>
  </si>
  <si>
    <t>366</t>
  </si>
  <si>
    <t>городской округ Звенигород</t>
  </si>
  <si>
    <t>46730000</t>
  </si>
  <si>
    <t>367</t>
  </si>
  <si>
    <t>городской округ Ивантеевка</t>
  </si>
  <si>
    <t>46732000</t>
  </si>
  <si>
    <t>368</t>
  </si>
  <si>
    <t>городской округ Кашира</t>
  </si>
  <si>
    <t>46735000</t>
  </si>
  <si>
    <t>369</t>
  </si>
  <si>
    <t>городской округ Климовск</t>
  </si>
  <si>
    <t>46736000</t>
  </si>
  <si>
    <t>370</t>
  </si>
  <si>
    <t>городской округ Королев</t>
  </si>
  <si>
    <t>46734000</t>
  </si>
  <si>
    <t>371</t>
  </si>
  <si>
    <t>городской округ Котельники</t>
  </si>
  <si>
    <t>46739000</t>
  </si>
  <si>
    <t>372</t>
  </si>
  <si>
    <t>городской округ Красноармейск</t>
  </si>
  <si>
    <t>46743000</t>
  </si>
  <si>
    <t>373</t>
  </si>
  <si>
    <t>городской округ Краснознаменск</t>
  </si>
  <si>
    <t>46706000</t>
  </si>
  <si>
    <t>374</t>
  </si>
  <si>
    <t>городской округ Лобня</t>
  </si>
  <si>
    <t>46740000</t>
  </si>
  <si>
    <t>375</t>
  </si>
  <si>
    <t>городской округ Лосино-Петровский</t>
  </si>
  <si>
    <t>46742000</t>
  </si>
  <si>
    <t>376</t>
  </si>
  <si>
    <t>городской округ Лыткарино</t>
  </si>
  <si>
    <t>46741000</t>
  </si>
  <si>
    <t>377</t>
  </si>
  <si>
    <t>городской округ Молодёжный</t>
  </si>
  <si>
    <t>46761000</t>
  </si>
  <si>
    <t>378</t>
  </si>
  <si>
    <t>городской округ Мытищи</t>
  </si>
  <si>
    <t>46746000</t>
  </si>
  <si>
    <t>379</t>
  </si>
  <si>
    <t>городской округ Озеры</t>
  </si>
  <si>
    <t>46756000</t>
  </si>
  <si>
    <t>380</t>
  </si>
  <si>
    <t>городской округ Подольск</t>
  </si>
  <si>
    <t>46760000</t>
  </si>
  <si>
    <t>381</t>
  </si>
  <si>
    <t>городской округ Протвино</t>
  </si>
  <si>
    <t>46767000</t>
  </si>
  <si>
    <t>382</t>
  </si>
  <si>
    <t>городской округ Пущино</t>
  </si>
  <si>
    <t>46762000</t>
  </si>
  <si>
    <t>383</t>
  </si>
  <si>
    <t>городской округ Реутов</t>
  </si>
  <si>
    <t>46764000</t>
  </si>
  <si>
    <t>384</t>
  </si>
  <si>
    <t>городской округ Рошаль</t>
  </si>
  <si>
    <t>46765000</t>
  </si>
  <si>
    <t>385</t>
  </si>
  <si>
    <t>городской округ Серебряные Пруды</t>
  </si>
  <si>
    <t>46772000</t>
  </si>
  <si>
    <t>386</t>
  </si>
  <si>
    <t>городской округ Фрязино</t>
  </si>
  <si>
    <t>46780000</t>
  </si>
  <si>
    <t>388</t>
  </si>
  <si>
    <t>городской округ Химки</t>
  </si>
  <si>
    <t>46783000</t>
  </si>
  <si>
    <t>389</t>
  </si>
  <si>
    <t>городской округ Черноголовка</t>
  </si>
  <si>
    <t>46781000</t>
  </si>
  <si>
    <t>390</t>
  </si>
  <si>
    <t>городской округ Шаховская</t>
  </si>
  <si>
    <t>46787000</t>
  </si>
  <si>
    <t>391</t>
  </si>
  <si>
    <t>городской округ Электрогорск</t>
  </si>
  <si>
    <t>46791000</t>
  </si>
  <si>
    <t>392</t>
  </si>
  <si>
    <t>городской округ Электросталь</t>
  </si>
  <si>
    <t>46790000</t>
  </si>
  <si>
    <t>393</t>
  </si>
  <si>
    <t>NUMBER_POINT</t>
  </si>
  <si>
    <t>INVP_NAME</t>
  </si>
  <si>
    <t>INVP_ID</t>
  </si>
  <si>
    <t>L_START_DATE</t>
  </si>
  <si>
    <t>L_END_DATE</t>
  </si>
  <si>
    <t>L_DECISION_NAME</t>
  </si>
  <si>
    <t>L_DECISION_TYPE</t>
  </si>
  <si>
    <t>L_DECISION_NMBR</t>
  </si>
  <si>
    <t>L_DECISION_DATE</t>
  </si>
  <si>
    <t>TER_NAME</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</si>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</sst>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7" formatCode="#,##0.000"/>
    <numFmt numFmtId="168" formatCode="000000"/>
    <numFmt numFmtId="169" formatCode="#,##0.0000"/>
    <numFmt numFmtId="170" formatCode="dd\.mm\.yyyy"/>
    <numFmt numFmtId="171" formatCode="h:mm;@"/>
    <numFmt numFmtId="173" formatCode="_-* #,##0.00[$€-1]_-;\-* #,##0.00[$€-1]_-;_-* &quot;-&quot;??[$€-1]_-"/>
    <numFmt numFmtId="174" formatCode="#,##0.0"/>
  </numFmts>
  <fonts count="119">
    <font>
      <sz val="9"/>
      <color rgb="FF000000"/>
      <name val="Tahoma"/>
    </font>
    <font>
      <sz val="11"/>
      <color theme="1"/>
      <name val="Calibri"/>
      <scheme val="minor"/>
    </font>
    <font>
      <sz val="12"/>
      <name val="Arial"/>
    </font>
    <font>
      <sz val="10"/>
      <name val="Helv"/>
    </font>
    <font>
      <sz val="8"/>
      <name val="Arial"/>
    </font>
    <font>
      <sz val="10"/>
      <name val="Tahoma"/>
    </font>
    <font>
      <sz val="9"/>
      <name val="Tahoma"/>
    </font>
    <font>
      <sz val="8"/>
      <name val="Palatino"/>
    </font>
    <font>
      <u/>
      <sz val="10"/>
      <color rgb="FF800080"/>
      <name val="Arial Cyr"/>
    </font>
    <font>
      <sz val="8"/>
      <name val="Helv"/>
    </font>
    <font>
      <sz val="11"/>
      <name val="Tahoma"/>
    </font>
    <font>
      <sz val="11"/>
      <color rgb="FF333399"/>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name val="Franklin Gothic Medium"/>
    </font>
    <font>
      <b/>
      <sz val="9"/>
      <name val="Tahoma"/>
    </font>
    <font>
      <sz val="11"/>
      <color rgb="FF000000"/>
      <name val="Calibri"/>
    </font>
    <font>
      <sz val="10"/>
      <name val="Arial Cyr"/>
    </font>
    <font>
      <sz val="9"/>
      <color rgb="FF00FF00"/>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9">
    <border>
      <left/>
      <right/>
      <top/>
      <bottom/>
      <diagonal/>
    </border>
    <border>
      <left style="thin">
        <color rgb="FF808080"/>
      </left>
      <right style="thin">
        <color rgb="FF808080"/>
      </right>
      <top style="thin">
        <color rgb="FF808080"/>
      </top>
      <bottom style="thin">
        <color rgb="FF808080"/>
      </bottom>
      <diagonal/>
    </border>
    <border>
      <left style="thick">
        <color rgb="FF808080"/>
      </left>
      <right style="thick">
        <color rgb="FF808080"/>
      </right>
      <top style="thick">
        <color rgb="FF808080"/>
      </top>
      <bottom style="thick">
        <color rgb="FF808080"/>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33">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0" fontId="5" fillId="0" borderId="1" applyFill="0">
      <alignment vertical="top"/>
      <protection locked="0"/>
    </xf>
    <xf numFmtId="174" fontId="6" fillId="6" borderId="0" applyBorder="0">
      <protection locked="0"/>
    </xf>
    <xf numFmtId="0" fontId="7" fillId="0" borderId="0" applyFill="0" applyBorder="0">
      <alignment vertical="center"/>
    </xf>
    <xf numFmtId="167" fontId="6" fillId="6" borderId="0" applyBorder="0">
      <protection locked="0"/>
    </xf>
    <xf numFmtId="169" fontId="6" fillId="6" borderId="0" applyBorder="0">
      <protection locked="0"/>
    </xf>
    <xf numFmtId="0" fontId="8" fillId="0" borderId="0" applyFill="0" applyBorder="0">
      <alignment vertical="top"/>
    </xf>
    <xf numFmtId="0" fontId="5" fillId="7" borderId="1">
      <alignment vertical="top"/>
    </xf>
    <xf numFmtId="0" fontId="9" fillId="0" borderId="0" applyFill="0" applyBorder="0"/>
    <xf numFmtId="0" fontId="10" fillId="8" borderId="2">
      <alignment horizontal="center" vertical="center"/>
    </xf>
    <xf numFmtId="0" fontId="11" fillId="5" borderId="1">
      <alignment vertical="top"/>
    </xf>
    <xf numFmtId="0" fontId="12" fillId="0" borderId="0" applyFill="0" applyBorder="0">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horizontal="center" vertical="center" wrapText="1"/>
    </xf>
    <xf numFmtId="0" fontId="18" fillId="0" borderId="0" applyFill="0" applyBorder="0">
      <alignment horizontal="center" vertical="center" wrapText="1"/>
    </xf>
    <xf numFmtId="4" fontId="6" fillId="6" borderId="0" applyBorder="0">
      <alignment horizontal="right"/>
    </xf>
    <xf numFmtId="49" fontId="6" fillId="0" borderId="0" applyFill="0" applyBorder="0">
      <alignment vertical="top"/>
    </xf>
    <xf numFmtId="0" fontId="1" fillId="0" borderId="0" applyFill="0" applyBorder="0"/>
    <xf numFmtId="0" fontId="19" fillId="0" borderId="0" applyFill="0" applyBorder="0"/>
    <xf numFmtId="49" fontId="113" fillId="0" borderId="0" applyFill="0" applyBorder="0">
      <alignment vertical="top"/>
    </xf>
    <xf numFmtId="0" fontId="20" fillId="0" borderId="0" applyFill="0" applyBorder="0"/>
    <xf numFmtId="0" fontId="21" fillId="9" borderId="0" applyBorder="0">
      <alignment vertical="top"/>
    </xf>
    <xf numFmtId="49" fontId="21" fillId="0" borderId="0" applyFill="0" applyBorder="0">
      <alignment vertical="top"/>
    </xf>
    <xf numFmtId="0" fontId="5" fillId="0" borderId="0" applyFill="0" applyBorder="0">
      <alignment wrapText="1"/>
    </xf>
    <xf numFmtId="49" fontId="6" fillId="9" borderId="0" applyBorder="0">
      <alignment vertical="top"/>
    </xf>
    <xf numFmtId="49" fontId="113" fillId="10" borderId="0" applyBorder="0">
      <alignment vertical="top"/>
    </xf>
  </cellStyleXfs>
  <cellXfs count="5640">
    <xf numFmtId="49" fontId="0" fillId="0" borderId="0" xfId="0" applyNumberFormat="1" applyFont="1">
      <alignment vertical="top"/>
    </xf>
    <xf numFmtId="49" fontId="0" fillId="10" borderId="0" xfId="32" applyNumberFormat="1" applyFont="1" applyFill="1">
      <alignment vertical="top"/>
    </xf>
    <xf numFmtId="49" fontId="0" fillId="0" borderId="0" xfId="26" applyNumberFormat="1" applyFont="1">
      <alignment vertical="top"/>
    </xf>
    <xf numFmtId="49" fontId="0" fillId="0" borderId="0" xfId="26" applyNumberFormat="1" applyFont="1">
      <alignment vertical="top"/>
    </xf>
    <xf numFmtId="0" fontId="6" fillId="0" borderId="0" xfId="0" applyNumberFormat="1" applyFont="1" applyAlignment="1">
      <alignment vertical="top" wrapText="1"/>
    </xf>
    <xf numFmtId="49" fontId="0" fillId="0" borderId="0" xfId="0" applyNumberFormat="1" applyFont="1">
      <alignment vertical="top"/>
    </xf>
    <xf numFmtId="49" fontId="6" fillId="11" borderId="3" xfId="0" applyNumberFormat="1" applyFont="1" applyFill="1" applyBorder="1" applyAlignment="1">
      <alignment horizontal="center" vertical="top"/>
    </xf>
    <xf numFmtId="49" fontId="0" fillId="0" borderId="0" xfId="0" applyNumberFormat="1" applyFont="1">
      <alignment vertical="top"/>
    </xf>
    <xf numFmtId="0" fontId="6" fillId="10" borderId="0" xfId="0" applyNumberFormat="1" applyFont="1" applyFill="1" applyAlignment="1"/>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0" fontId="24" fillId="10" borderId="0" xfId="0" applyNumberFormat="1" applyFont="1" applyFill="1" applyAlignment="1">
      <alignment vertical="center" wrapText="1"/>
    </xf>
    <xf numFmtId="0" fontId="6" fillId="10" borderId="0" xfId="0" applyNumberFormat="1" applyFont="1" applyFill="1" applyAlignment="1">
      <alignment horizontal="right" vertical="center" wrapText="1" indent="1"/>
    </xf>
    <xf numFmtId="0" fontId="6" fillId="10" borderId="0" xfId="0" applyNumberFormat="1" applyFont="1" applyFill="1" applyAlignment="1">
      <alignment horizontal="center" vertical="center" wrapText="1"/>
    </xf>
    <xf numFmtId="0" fontId="23" fillId="0" borderId="0" xfId="0" applyNumberFormat="1" applyFont="1" applyAlignment="1">
      <alignment horizontal="center" vertical="center" wrapText="1"/>
    </xf>
    <xf numFmtId="0" fontId="25" fillId="10" borderId="0" xfId="0" applyNumberFormat="1" applyFont="1" applyFill="1" applyAlignment="1">
      <alignment horizontal="center" vertical="center" wrapText="1"/>
    </xf>
    <xf numFmtId="0" fontId="6" fillId="0" borderId="0" xfId="0" applyNumberFormat="1" applyFont="1" applyAlignment="1">
      <alignment vertical="center"/>
    </xf>
    <xf numFmtId="49" fontId="6" fillId="10" borderId="0" xfId="0" applyNumberFormat="1" applyFont="1" applyFill="1" applyAlignment="1">
      <alignment horizontal="right" vertical="center" wrapText="1" indent="1"/>
    </xf>
    <xf numFmtId="49" fontId="24" fillId="10" borderId="0" xfId="0" applyNumberFormat="1" applyFont="1" applyFill="1" applyAlignment="1">
      <alignment horizontal="center" vertical="center" wrapText="1"/>
    </xf>
    <xf numFmtId="0" fontId="6" fillId="0" borderId="0" xfId="0" applyNumberFormat="1" applyFont="1" applyAlignment="1">
      <alignment vertical="center" wrapText="1"/>
    </xf>
    <xf numFmtId="0" fontId="6" fillId="10" borderId="0" xfId="0" applyNumberFormat="1" applyFont="1" applyFill="1" applyAlignment="1">
      <alignment vertical="center" wrapText="1"/>
    </xf>
    <xf numFmtId="0" fontId="6" fillId="10" borderId="0" xfId="0" applyNumberFormat="1" applyFont="1" applyFill="1" applyAlignment="1">
      <alignment horizontal="right" vertical="center" wrapText="1"/>
    </xf>
    <xf numFmtId="49" fontId="0" fillId="10" borderId="0" xfId="0" applyNumberFormat="1" applyFont="1" applyFill="1" applyAlignment="1">
      <alignment horizontal="right" vertical="center" wrapText="1" indent="1"/>
    </xf>
    <xf numFmtId="49" fontId="26" fillId="10"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xf>
    <xf numFmtId="49" fontId="28" fillId="0" borderId="4" xfId="0" applyNumberFormat="1" applyFont="1" applyBorder="1" applyAlignment="1">
      <alignment vertical="top" wrapText="1"/>
    </xf>
    <xf numFmtId="0" fontId="0" fillId="0" borderId="4" xfId="0" applyNumberFormat="1" applyFont="1" applyBorder="1" applyAlignment="1">
      <alignment vertical="top" wrapText="1"/>
    </xf>
    <xf numFmtId="0" fontId="20" fillId="0" borderId="0" xfId="0" applyNumberFormat="1" applyFont="1" applyAlignment="1"/>
    <xf numFmtId="0" fontId="6" fillId="10" borderId="0" xfId="0" applyNumberFormat="1" applyFont="1" applyFill="1" applyAlignment="1">
      <alignment horizontal="center" vertical="center" wrapText="1"/>
    </xf>
    <xf numFmtId="0" fontId="29" fillId="10" borderId="0" xfId="0" applyNumberFormat="1" applyFont="1" applyFill="1" applyAlignment="1">
      <alignment vertical="center" wrapText="1"/>
    </xf>
    <xf numFmtId="0" fontId="22" fillId="0" borderId="0" xfId="0" applyNumberFormat="1" applyFont="1" applyAlignment="1">
      <alignment horizontal="left" vertical="center" wrapText="1"/>
    </xf>
    <xf numFmtId="49" fontId="22" fillId="0" borderId="0" xfId="0" applyNumberFormat="1" applyFont="1" applyAlignment="1">
      <alignment horizontal="left" vertical="center" wrapText="1"/>
    </xf>
    <xf numFmtId="0" fontId="0" fillId="0" borderId="0" xfId="0" applyNumberFormat="1" applyFont="1">
      <alignment vertical="top"/>
    </xf>
    <xf numFmtId="49" fontId="6" fillId="0" borderId="0" xfId="0" applyNumberFormat="1" applyFont="1">
      <alignment vertical="top"/>
    </xf>
    <xf numFmtId="0" fontId="6" fillId="0" borderId="0" xfId="0" applyNumberFormat="1" applyFont="1" applyAlignment="1">
      <alignment vertical="center" wrapText="1"/>
    </xf>
    <xf numFmtId="0" fontId="6" fillId="10" borderId="5" xfId="0" applyNumberFormat="1" applyFont="1" applyFill="1" applyBorder="1" applyAlignment="1">
      <alignment horizontal="center" vertical="center" wrapText="1"/>
    </xf>
    <xf numFmtId="49" fontId="6" fillId="12" borderId="5" xfId="0" applyNumberFormat="1" applyFont="1" applyFill="1" applyBorder="1" applyAlignment="1" applyProtection="1">
      <alignment horizontal="left" vertical="center" wrapText="1"/>
      <protection locked="0"/>
    </xf>
    <xf numFmtId="49" fontId="30" fillId="13" borderId="6" xfId="0" applyNumberFormat="1" applyFont="1" applyFill="1" applyBorder="1" applyAlignment="1">
      <alignment horizontal="left" vertical="center"/>
    </xf>
    <xf numFmtId="0" fontId="0" fillId="0" borderId="5" xfId="0" applyNumberFormat="1" applyFont="1" applyBorder="1" applyAlignment="1">
      <alignment horizontal="center" vertical="center" wrapText="1"/>
    </xf>
    <xf numFmtId="0" fontId="6" fillId="13" borderId="7" xfId="0" applyNumberFormat="1" applyFont="1" applyFill="1" applyBorder="1" applyAlignment="1">
      <alignment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center" vertical="center"/>
    </xf>
    <xf numFmtId="49" fontId="6" fillId="12" borderId="5" xfId="0" applyNumberFormat="1" applyFont="1" applyFill="1" applyBorder="1" applyAlignment="1" applyProtection="1">
      <alignment horizontal="left" vertical="center" wrapText="1"/>
      <protection locked="0"/>
    </xf>
    <xf numFmtId="0" fontId="22" fillId="0" borderId="0" xfId="0" applyNumberFormat="1" applyFont="1" applyAlignment="1">
      <alignment vertical="center" wrapText="1"/>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10" borderId="0" xfId="0" applyNumberFormat="1" applyFont="1" applyFill="1" applyAlignment="1"/>
    <xf numFmtId="0" fontId="33" fillId="10" borderId="0" xfId="0" applyNumberFormat="1" applyFont="1" applyFill="1" applyAlignment="1">
      <alignment horizontal="center" vertical="center" wrapText="1"/>
    </xf>
    <xf numFmtId="0" fontId="22" fillId="10" borderId="0" xfId="0" applyNumberFormat="1" applyFont="1" applyFill="1" applyAlignment="1"/>
    <xf numFmtId="49" fontId="6" fillId="0" borderId="0" xfId="0" applyNumberFormat="1" applyFont="1">
      <alignment vertical="top"/>
    </xf>
    <xf numFmtId="49" fontId="27"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34" fillId="13" borderId="8" xfId="0" applyNumberFormat="1" applyFont="1" applyFill="1" applyBorder="1" applyAlignment="1">
      <alignment horizontal="center" vertical="top"/>
    </xf>
    <xf numFmtId="49" fontId="30" fillId="13" borderId="8" xfId="0" applyNumberFormat="1" applyFont="1" applyFill="1" applyBorder="1" applyAlignment="1">
      <alignment horizontal="left" vertical="center"/>
    </xf>
    <xf numFmtId="0" fontId="31" fillId="0" borderId="0" xfId="0" applyNumberFormat="1" applyFont="1" applyAlignment="1">
      <alignment vertical="center"/>
    </xf>
    <xf numFmtId="0" fontId="0"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49" fontId="35" fillId="0" borderId="0" xfId="0" applyNumberFormat="1" applyFont="1" applyAlignment="1">
      <alignment horizontal="right" vertical="top"/>
    </xf>
    <xf numFmtId="49" fontId="35" fillId="0" borderId="0" xfId="0" applyNumberFormat="1" applyFont="1">
      <alignment vertical="top"/>
    </xf>
    <xf numFmtId="0" fontId="6" fillId="0" borderId="0" xfId="0" applyNumberFormat="1" applyFont="1" applyAlignment="1">
      <alignment horizontal="center"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49" fontId="6" fillId="0" borderId="9" xfId="0" applyNumberFormat="1" applyFont="1" applyBorder="1">
      <alignment vertical="top"/>
    </xf>
    <xf numFmtId="49" fontId="36" fillId="0" borderId="0" xfId="0" applyNumberFormat="1" applyFont="1">
      <alignment vertical="top"/>
    </xf>
    <xf numFmtId="0" fontId="36" fillId="0" borderId="0" xfId="0" applyNumberFormat="1" applyFont="1" applyAlignment="1">
      <alignment vertical="center" wrapText="1"/>
    </xf>
    <xf numFmtId="49" fontId="0" fillId="10" borderId="5" xfId="0" applyNumberFormat="1" applyFont="1" applyFill="1" applyBorder="1" applyAlignment="1">
      <alignment horizontal="center" vertical="center" wrapText="1"/>
    </xf>
    <xf numFmtId="0" fontId="22" fillId="0" borderId="0" xfId="0" applyNumberFormat="1" applyFont="1" applyAlignment="1">
      <alignment horizontal="left" vertical="center" wrapText="1"/>
    </xf>
    <xf numFmtId="49" fontId="6" fillId="0" borderId="5" xfId="0" applyNumberFormat="1" applyFont="1" applyBorder="1" applyAlignment="1">
      <alignment horizontal="left" vertical="center" wrapText="1"/>
    </xf>
    <xf numFmtId="0" fontId="6" fillId="10" borderId="10" xfId="0" applyNumberFormat="1" applyFont="1" applyFill="1" applyBorder="1" applyAlignment="1">
      <alignment horizontal="center" vertical="center"/>
    </xf>
    <xf numFmtId="0" fontId="6" fillId="0" borderId="5" xfId="0" applyNumberFormat="1" applyFont="1" applyBorder="1" applyAlignment="1">
      <alignment vertical="center" wrapText="1"/>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top" wrapText="1"/>
    </xf>
    <xf numFmtId="49" fontId="6" fillId="0" borderId="5" xfId="0" applyNumberFormat="1" applyFont="1" applyBorder="1" applyAlignment="1">
      <alignment horizontal="center" vertical="center" wrapText="1"/>
    </xf>
    <xf numFmtId="0" fontId="5" fillId="0" borderId="11" xfId="0" applyNumberFormat="1" applyFont="1" applyBorder="1" applyAlignment="1">
      <alignment vertical="top" wrapText="1"/>
    </xf>
    <xf numFmtId="49" fontId="0" fillId="0" borderId="5" xfId="0" applyNumberFormat="1" applyFont="1" applyBorder="1" applyAlignment="1">
      <alignment vertical="top" wrapText="1"/>
    </xf>
    <xf numFmtId="0" fontId="0" fillId="0" borderId="5" xfId="0" applyNumberFormat="1" applyFont="1" applyBorder="1" applyAlignment="1">
      <alignment vertical="top" wrapText="1"/>
    </xf>
    <xf numFmtId="0" fontId="0" fillId="0" borderId="0" xfId="0" applyNumberFormat="1" applyFont="1" applyAlignment="1"/>
    <xf numFmtId="0" fontId="27"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 fontId="6" fillId="0" borderId="0" xfId="0" applyNumberFormat="1" applyFont="1" applyAlignment="1">
      <alignment horizontal="right" vertical="center" wrapText="1"/>
    </xf>
    <xf numFmtId="0" fontId="6" fillId="0" borderId="0" xfId="0" applyNumberFormat="1" applyFont="1" applyAlignment="1">
      <alignment horizontal="left" vertical="center" wrapText="1" indent="1"/>
    </xf>
    <xf numFmtId="49" fontId="6" fillId="0" borderId="0" xfId="0" applyNumberFormat="1" applyFont="1">
      <alignment vertical="top"/>
    </xf>
    <xf numFmtId="4" fontId="6" fillId="0" borderId="0" xfId="0" applyNumberFormat="1" applyFont="1" applyAlignment="1">
      <alignment horizontal="center" vertical="center" wrapText="1"/>
    </xf>
    <xf numFmtId="0" fontId="36" fillId="0" borderId="0" xfId="0" applyNumberFormat="1" applyFont="1" applyAlignment="1">
      <alignment vertical="center"/>
    </xf>
    <xf numFmtId="168" fontId="6" fillId="0" borderId="5" xfId="0" applyNumberFormat="1" applyFont="1" applyBorder="1" applyAlignment="1">
      <alignment horizontal="center" vertical="center" wrapText="1"/>
    </xf>
    <xf numFmtId="49" fontId="36" fillId="13" borderId="12" xfId="0" applyNumberFormat="1" applyFont="1" applyFill="1" applyBorder="1" applyAlignment="1">
      <alignment horizontal="left" vertical="center" wrapText="1"/>
    </xf>
    <xf numFmtId="49" fontId="0" fillId="13" borderId="8" xfId="0" applyNumberFormat="1" applyFont="1" applyFill="1" applyBorder="1" applyAlignment="1">
      <alignment horizontal="left" vertical="center"/>
    </xf>
    <xf numFmtId="49" fontId="36" fillId="13" borderId="13" xfId="0" applyNumberFormat="1" applyFont="1" applyFill="1" applyBorder="1" applyAlignment="1">
      <alignment horizontal="left" vertical="center" wrapText="1"/>
    </xf>
    <xf numFmtId="0" fontId="26" fillId="0" borderId="0" xfId="0" applyNumberFormat="1" applyFont="1" applyAlignment="1">
      <alignment horizontal="center" vertical="center" wrapText="1"/>
    </xf>
    <xf numFmtId="49" fontId="18" fillId="13" borderId="8" xfId="0" applyNumberFormat="1" applyFont="1" applyFill="1" applyBorder="1" applyAlignment="1">
      <alignment horizontal="right" vertical="center" wrapText="1"/>
    </xf>
    <xf numFmtId="49" fontId="6" fillId="13" borderId="8" xfId="0" applyNumberFormat="1" applyFont="1" applyFill="1" applyBorder="1" applyAlignment="1">
      <alignment horizontal="right" vertical="center" wrapText="1"/>
    </xf>
    <xf numFmtId="49" fontId="6" fillId="13" borderId="6" xfId="0" applyNumberFormat="1" applyFont="1" applyFill="1" applyBorder="1" applyAlignment="1">
      <alignment horizontal="right" vertical="center" wrapText="1"/>
    </xf>
    <xf numFmtId="0" fontId="6" fillId="0" borderId="14" xfId="0" applyNumberFormat="1" applyFont="1" applyBorder="1" applyAlignment="1">
      <alignment vertical="center" wrapText="1"/>
    </xf>
    <xf numFmtId="0" fontId="35" fillId="0" borderId="0" xfId="0" applyNumberFormat="1" applyFont="1" applyAlignment="1">
      <alignment vertical="center" wrapText="1"/>
    </xf>
    <xf numFmtId="0" fontId="39" fillId="0" borderId="0" xfId="0" applyNumberFormat="1" applyFont="1" applyAlignment="1">
      <alignment horizontal="center" vertical="center" wrapText="1"/>
    </xf>
    <xf numFmtId="49" fontId="40" fillId="14" borderId="0" xfId="0" applyNumberFormat="1" applyFont="1" applyFill="1">
      <alignment vertical="top"/>
    </xf>
    <xf numFmtId="49" fontId="40" fillId="0" borderId="0" xfId="0" applyNumberFormat="1" applyFont="1">
      <alignment vertical="top"/>
    </xf>
    <xf numFmtId="0" fontId="36" fillId="0" borderId="0" xfId="0" applyNumberFormat="1" applyFont="1" applyAlignment="1">
      <alignment vertical="center"/>
    </xf>
    <xf numFmtId="49" fontId="0" fillId="13" borderId="8" xfId="0" applyNumberFormat="1" applyFont="1" applyFill="1" applyBorder="1" applyAlignment="1">
      <alignment horizontal="right" vertical="center" wrapText="1"/>
    </xf>
    <xf numFmtId="49" fontId="0" fillId="0" borderId="0" xfId="0" applyNumberFormat="1" applyFont="1">
      <alignment vertical="top"/>
    </xf>
    <xf numFmtId="0" fontId="18" fillId="0" borderId="4" xfId="0" applyNumberFormat="1" applyFont="1" applyBorder="1" applyAlignment="1">
      <alignment vertical="center" wrapText="1"/>
    </xf>
    <xf numFmtId="0" fontId="5" fillId="0" borderId="0" xfId="0" applyNumberFormat="1" applyFont="1" applyAlignment="1">
      <alignment vertical="top" wrapText="1"/>
    </xf>
    <xf numFmtId="0" fontId="6" fillId="0" borderId="4" xfId="0" applyNumberFormat="1" applyFont="1" applyBorder="1" applyAlignment="1">
      <alignment vertical="center" wrapText="1"/>
    </xf>
    <xf numFmtId="49" fontId="6" fillId="0" borderId="0" xfId="0" applyNumberFormat="1" applyFont="1">
      <alignment vertical="top"/>
    </xf>
    <xf numFmtId="0" fontId="6" fillId="10" borderId="0" xfId="0" applyNumberFormat="1" applyFont="1" applyFill="1" applyAlignment="1">
      <alignment horizontal="right" vertical="center"/>
    </xf>
    <xf numFmtId="0" fontId="0" fillId="0" borderId="5" xfId="0" applyNumberFormat="1" applyFont="1" applyBorder="1" applyAlignment="1">
      <alignment horizontal="left" vertical="center" wrapText="1" indent="1"/>
    </xf>
    <xf numFmtId="0" fontId="0" fillId="15" borderId="5" xfId="0" applyNumberFormat="1" applyFont="1" applyFill="1" applyBorder="1" applyAlignment="1" applyProtection="1">
      <alignment horizontal="left" vertical="center" wrapText="1" indent="2"/>
      <protection locked="0"/>
    </xf>
    <xf numFmtId="49" fontId="37" fillId="0" borderId="0" xfId="0" applyNumberFormat="1" applyFont="1">
      <alignment vertical="top"/>
    </xf>
    <xf numFmtId="0" fontId="0" fillId="0" borderId="5" xfId="0" applyNumberFormat="1" applyFont="1" applyBorder="1" applyAlignment="1">
      <alignment vertical="center" wrapText="1"/>
    </xf>
    <xf numFmtId="0" fontId="0" fillId="0" borderId="5" xfId="0" applyNumberFormat="1" applyFont="1" applyBorder="1" applyAlignment="1">
      <alignment horizontal="center" vertical="center" wrapText="1"/>
    </xf>
    <xf numFmtId="0" fontId="0"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3"/>
    </xf>
    <xf numFmtId="49" fontId="34" fillId="13" borderId="6" xfId="0" applyNumberFormat="1" applyFont="1" applyFill="1" applyBorder="1" applyAlignment="1">
      <alignment horizontal="center" vertical="top"/>
    </xf>
    <xf numFmtId="0" fontId="5" fillId="0" borderId="0" xfId="0" applyNumberFormat="1" applyFont="1" applyAlignment="1">
      <alignment horizontal="right" vertical="top"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indent="2"/>
    </xf>
    <xf numFmtId="0" fontId="0" fillId="0" borderId="5" xfId="0" applyNumberFormat="1" applyFont="1" applyBorder="1" applyAlignment="1">
      <alignment horizontal="left" vertical="center" wrapText="1" indent="1"/>
    </xf>
    <xf numFmtId="0" fontId="0" fillId="0" borderId="5" xfId="0" applyNumberFormat="1" applyFont="1" applyBorder="1" applyAlignment="1">
      <alignment horizontal="left" vertical="center" wrapText="1" indent="2"/>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vertical="top" wrapText="1"/>
    </xf>
    <xf numFmtId="0" fontId="27" fillId="0" borderId="0" xfId="0" applyNumberFormat="1" applyFont="1" applyAlignment="1">
      <alignment horizontal="center" vertical="center" wrapText="1"/>
    </xf>
    <xf numFmtId="49" fontId="0" fillId="0" borderId="10" xfId="0" applyNumberFormat="1" applyFont="1" applyBorder="1">
      <alignment vertical="top"/>
    </xf>
    <xf numFmtId="0" fontId="37" fillId="0" borderId="0" xfId="0" applyNumberFormat="1" applyFont="1" applyAlignment="1">
      <alignment vertical="center"/>
    </xf>
    <xf numFmtId="0" fontId="19" fillId="0" borderId="0" xfId="0" applyNumberFormat="1" applyFont="1" applyAlignment="1">
      <alignment vertical="center"/>
    </xf>
    <xf numFmtId="49" fontId="16" fillId="15" borderId="5" xfId="0" applyNumberFormat="1" applyFont="1" applyFill="1" applyBorder="1" applyAlignment="1" applyProtection="1">
      <alignment horizontal="left" vertical="center" wrapText="1"/>
      <protection locked="0"/>
    </xf>
    <xf numFmtId="49" fontId="34" fillId="13" borderId="6" xfId="0" applyNumberFormat="1" applyFont="1" applyFill="1" applyBorder="1" applyAlignment="1">
      <alignment horizontal="center" vertical="top"/>
    </xf>
    <xf numFmtId="0" fontId="0" fillId="11" borderId="5" xfId="0" applyNumberFormat="1" applyFont="1" applyFill="1" applyBorder="1" applyAlignment="1">
      <alignment horizontal="left" vertical="center" wrapText="1" indent="1"/>
    </xf>
    <xf numFmtId="49" fontId="6" fillId="15" borderId="5" xfId="0" applyNumberFormat="1" applyFont="1" applyFill="1" applyBorder="1" applyAlignment="1" applyProtection="1">
      <alignment horizontal="left" vertical="center" wrapText="1" indent="1"/>
      <protection locked="0"/>
    </xf>
    <xf numFmtId="49" fontId="6" fillId="11" borderId="5" xfId="0" applyNumberFormat="1" applyFont="1" applyFill="1" applyBorder="1" applyAlignment="1">
      <alignment horizontal="left" vertical="center" wrapText="1" indent="1"/>
    </xf>
    <xf numFmtId="49" fontId="6" fillId="0" borderId="5"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5" fillId="0" borderId="0" xfId="0" applyNumberFormat="1" applyFont="1" applyAlignment="1">
      <alignmen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49" fontId="26" fillId="0" borderId="8" xfId="0" applyNumberFormat="1" applyFont="1" applyBorder="1" applyAlignment="1">
      <alignment horizontal="center" vertical="center" wrapText="1"/>
    </xf>
    <xf numFmtId="0" fontId="41" fillId="0" borderId="0" xfId="0" applyNumberFormat="1" applyFont="1" applyAlignment="1">
      <alignment vertical="center"/>
    </xf>
    <xf numFmtId="0" fontId="42"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horizontal="left" vertical="center" wrapText="1" indent="1"/>
    </xf>
    <xf numFmtId="0" fontId="36" fillId="0" borderId="0" xfId="0" applyNumberFormat="1" applyFont="1" applyAlignment="1">
      <alignment horizontal="left" vertical="center" wrapText="1" indent="1"/>
    </xf>
    <xf numFmtId="0" fontId="43" fillId="0" borderId="0" xfId="0" applyNumberFormat="1" applyFont="1" applyAlignment="1">
      <alignment horizontal="left" vertical="center" wrapText="1" indent="1"/>
    </xf>
    <xf numFmtId="0" fontId="44" fillId="0" borderId="0" xfId="0" applyNumberFormat="1" applyFont="1" applyAlignment="1">
      <alignment horizontal="left" vertical="center" inden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47" fillId="10" borderId="0" xfId="0" applyNumberFormat="1" applyFont="1" applyFill="1" applyAlignment="1">
      <alignment horizontal="right" vertical="center" wrapText="1" indent="1"/>
    </xf>
    <xf numFmtId="0" fontId="49" fillId="10" borderId="0" xfId="0" applyNumberFormat="1" applyFont="1" applyFill="1" applyAlignment="1">
      <alignment horizontal="center" vertical="center" wrapText="1"/>
    </xf>
    <xf numFmtId="0" fontId="45" fillId="10" borderId="0" xfId="0" applyNumberFormat="1" applyFont="1" applyFill="1" applyAlignment="1">
      <alignment horizontal="center" vertical="center" wrapText="1"/>
    </xf>
    <xf numFmtId="0" fontId="47" fillId="10" borderId="0" xfId="0" applyNumberFormat="1" applyFont="1" applyFill="1" applyAlignment="1">
      <alignment horizontal="left" vertical="center" wrapText="1" indent="1"/>
    </xf>
    <xf numFmtId="0" fontId="50" fillId="0" borderId="0" xfId="0" applyNumberFormat="1" applyFont="1" applyAlignment="1">
      <alignment horizontal="left" vertical="center" wrapText="1"/>
    </xf>
    <xf numFmtId="0" fontId="50" fillId="0" borderId="0" xfId="0" applyNumberFormat="1" applyFont="1" applyAlignment="1">
      <alignment vertical="center" wrapText="1"/>
    </xf>
    <xf numFmtId="0" fontId="47" fillId="0" borderId="0" xfId="0" applyNumberFormat="1" applyFont="1" applyAlignment="1">
      <alignment vertical="center" wrapText="1"/>
    </xf>
    <xf numFmtId="0" fontId="47" fillId="0" borderId="0" xfId="0" applyNumberFormat="1" applyFont="1" applyAlignment="1">
      <alignment horizontal="right" vertical="center"/>
    </xf>
    <xf numFmtId="49" fontId="6" fillId="0" borderId="0" xfId="0" applyNumberFormat="1" applyFont="1" applyAlignment="1">
      <alignment vertical="center" wrapText="1"/>
    </xf>
    <xf numFmtId="0" fontId="0"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15" xfId="0" applyNumberFormat="1" applyFont="1" applyBorder="1" applyAlignment="1">
      <alignment vertical="center"/>
    </xf>
    <xf numFmtId="0" fontId="6"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xf>
    <xf numFmtId="49" fontId="0" fillId="0" borderId="5" xfId="0" applyNumberFormat="1" applyFont="1" applyBorder="1" applyAlignment="1">
      <alignment horizontal="left" vertical="center"/>
    </xf>
    <xf numFmtId="49" fontId="6" fillId="0" borderId="0" xfId="0" applyNumberFormat="1" applyFont="1">
      <alignment vertical="top"/>
    </xf>
    <xf numFmtId="0" fontId="6" fillId="0" borderId="0" xfId="0" applyNumberFormat="1" applyFont="1" applyAlignment="1">
      <alignment horizontal="left" vertical="center" wrapText="1" indent="2"/>
    </xf>
    <xf numFmtId="0" fontId="6" fillId="0" borderId="5" xfId="0" applyNumberFormat="1" applyFont="1" applyBorder="1" applyAlignment="1">
      <alignment vertical="top" wrapText="1"/>
    </xf>
    <xf numFmtId="0" fontId="0" fillId="15" borderId="5" xfId="0" applyNumberFormat="1" applyFont="1" applyFill="1" applyBorder="1" applyAlignment="1" applyProtection="1">
      <alignment horizontal="left" vertical="center" wrapText="1"/>
      <protection locked="0"/>
    </xf>
    <xf numFmtId="0" fontId="6" fillId="0" borderId="5" xfId="0" applyNumberFormat="1" applyFont="1" applyBorder="1" applyAlignment="1">
      <alignment horizontal="left" vertical="top"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18" fillId="13" borderId="7" xfId="0" applyNumberFormat="1" applyFont="1" applyFill="1" applyBorder="1" applyAlignment="1">
      <alignment horizontal="center" vertical="center"/>
    </xf>
    <xf numFmtId="49" fontId="30" fillId="13" borderId="6" xfId="0" applyNumberFormat="1" applyFont="1" applyFill="1" applyBorder="1" applyAlignment="1">
      <alignment horizontal="left" vertical="center"/>
    </xf>
    <xf numFmtId="0" fontId="6" fillId="0" borderId="0" xfId="0" applyNumberFormat="1" applyFont="1" applyAlignment="1"/>
    <xf numFmtId="0" fontId="51" fillId="0" borderId="0" xfId="0" applyNumberFormat="1" applyFont="1" applyAlignment="1">
      <alignment vertical="center" wrapText="1"/>
    </xf>
    <xf numFmtId="0" fontId="51" fillId="0" borderId="0" xfId="0" applyNumberFormat="1" applyFont="1" applyAlignment="1">
      <alignment vertical="center" wrapText="1"/>
    </xf>
    <xf numFmtId="0" fontId="51" fillId="0" borderId="0" xfId="0" applyNumberFormat="1" applyFont="1" applyAlignment="1"/>
    <xf numFmtId="49" fontId="52" fillId="0" borderId="0" xfId="0" applyNumberFormat="1" applyFont="1">
      <alignment vertical="top"/>
    </xf>
    <xf numFmtId="49" fontId="53" fillId="0" borderId="0" xfId="0" applyNumberFormat="1" applyFont="1">
      <alignment vertical="top"/>
    </xf>
    <xf numFmtId="0" fontId="6"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37" fillId="0" borderId="0" xfId="0" applyNumberFormat="1" applyFont="1">
      <alignment vertical="top"/>
    </xf>
    <xf numFmtId="49" fontId="37" fillId="0" borderId="0" xfId="0" applyNumberFormat="1" applyFont="1">
      <alignment vertical="top"/>
    </xf>
    <xf numFmtId="0" fontId="0" fillId="0" borderId="0" xfId="0" applyNumberFormat="1" applyFont="1">
      <alignment vertical="top"/>
    </xf>
    <xf numFmtId="49" fontId="6" fillId="0" borderId="5" xfId="0" applyNumberFormat="1" applyFont="1" applyBorder="1" applyAlignment="1">
      <alignment horizontal="right" vertical="center"/>
    </xf>
    <xf numFmtId="0" fontId="37" fillId="0" borderId="0" xfId="0" applyNumberFormat="1" applyFont="1" applyAlignment="1">
      <alignment vertical="center"/>
    </xf>
    <xf numFmtId="0" fontId="37" fillId="0" borderId="0" xfId="0" applyNumberFormat="1" applyFont="1" applyAlignment="1">
      <alignment vertical="center" wrapText="1"/>
    </xf>
    <xf numFmtId="0" fontId="6" fillId="0" borderId="5" xfId="0" applyNumberFormat="1" applyFont="1" applyBorder="1" applyAlignment="1">
      <alignment horizontal="left" vertical="center" wrapText="1"/>
    </xf>
    <xf numFmtId="0" fontId="55" fillId="0" borderId="0" xfId="0" applyNumberFormat="1" applyFont="1" applyAlignment="1">
      <alignment vertical="center"/>
    </xf>
    <xf numFmtId="49" fontId="2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4"/>
    </xf>
    <xf numFmtId="0" fontId="6" fillId="10" borderId="5" xfId="0" applyNumberFormat="1" applyFont="1" applyFill="1" applyBorder="1" applyAlignment="1">
      <alignment horizontal="left" vertical="center" wrapText="1" indent="5"/>
    </xf>
    <xf numFmtId="49" fontId="30" fillId="13" borderId="8" xfId="0" applyNumberFormat="1" applyFont="1" applyFill="1" applyBorder="1" applyAlignment="1">
      <alignment horizontal="left" vertical="center" indent="5"/>
    </xf>
    <xf numFmtId="49" fontId="30" fillId="13" borderId="8" xfId="0" applyNumberFormat="1" applyFont="1" applyFill="1" applyBorder="1" applyAlignment="1">
      <alignment horizontal="left" vertical="center" indent="6"/>
    </xf>
    <xf numFmtId="0" fontId="6" fillId="0" borderId="5" xfId="0" applyNumberFormat="1" applyFont="1" applyBorder="1" applyAlignment="1">
      <alignment vertical="center" wrapText="1"/>
    </xf>
    <xf numFmtId="0" fontId="5" fillId="0" borderId="0" xfId="0" applyNumberFormat="1" applyFont="1" applyAlignment="1">
      <alignment vertical="center" wrapText="1"/>
    </xf>
    <xf numFmtId="0" fontId="56" fillId="10" borderId="0" xfId="0" applyNumberFormat="1" applyFont="1" applyFill="1" applyAlignment="1">
      <alignment vertical="center" wrapText="1"/>
    </xf>
    <xf numFmtId="49" fontId="6" fillId="0" borderId="5" xfId="0" applyNumberFormat="1" applyFont="1" applyBorder="1" applyAlignment="1">
      <alignment horizontal="center" vertical="center" wrapText="1"/>
    </xf>
    <xf numFmtId="49" fontId="0" fillId="0" borderId="0" xfId="0" applyNumberFormat="1" applyFont="1">
      <alignment vertical="top"/>
    </xf>
    <xf numFmtId="49" fontId="30" fillId="13" borderId="7" xfId="0" applyNumberFormat="1" applyFont="1" applyFill="1" applyBorder="1" applyAlignment="1">
      <alignment horizontal="left" vertical="center" indent="1"/>
    </xf>
    <xf numFmtId="0" fontId="0" fillId="10" borderId="5" xfId="0" applyNumberFormat="1" applyFont="1" applyFill="1" applyBorder="1" applyAlignment="1">
      <alignment horizontal="right" vertical="center" wrapText="1" indent="1"/>
    </xf>
    <xf numFmtId="49" fontId="0" fillId="0" borderId="5" xfId="0" applyNumberFormat="1" applyFont="1" applyBorder="1" applyAlignment="1">
      <alignment horizontal="left" vertical="center"/>
    </xf>
    <xf numFmtId="0" fontId="6" fillId="0" borderId="5" xfId="0" applyNumberFormat="1" applyFont="1" applyBorder="1" applyAlignment="1">
      <alignment vertical="top" wrapText="1"/>
    </xf>
    <xf numFmtId="0" fontId="6" fillId="0" borderId="5" xfId="0" applyNumberFormat="1" applyFont="1" applyBorder="1" applyAlignment="1">
      <alignment vertical="center" wrapText="1"/>
    </xf>
    <xf numFmtId="0" fontId="54" fillId="0" borderId="0" xfId="0" applyNumberFormat="1" applyFont="1" applyAlignment="1">
      <alignment vertical="center"/>
    </xf>
    <xf numFmtId="0" fontId="6" fillId="0" borderId="5" xfId="0" applyNumberFormat="1" applyFont="1" applyBorder="1" applyAlignment="1">
      <alignment horizontal="left" vertical="center" wrapText="1" indent="6"/>
    </xf>
    <xf numFmtId="0" fontId="6" fillId="0" borderId="10" xfId="0" applyNumberFormat="1" applyFont="1" applyBorder="1" applyAlignment="1">
      <alignment vertical="center" wrapText="1"/>
    </xf>
    <xf numFmtId="0" fontId="6" fillId="0" borderId="16" xfId="0" applyNumberFormat="1" applyFont="1" applyBorder="1" applyAlignment="1">
      <alignment vertical="center" wrapText="1"/>
    </xf>
    <xf numFmtId="49" fontId="0" fillId="13" borderId="6" xfId="0" applyNumberFormat="1" applyFont="1" applyFill="1" applyBorder="1" applyAlignment="1">
      <alignment horizontal="center" vertical="center" wrapText="1"/>
    </xf>
    <xf numFmtId="0" fontId="0" fillId="0" borderId="7" xfId="0" applyNumberFormat="1" applyFont="1" applyBorder="1" applyAlignment="1">
      <alignment vertical="center"/>
    </xf>
    <xf numFmtId="0" fontId="0" fillId="10" borderId="7" xfId="0" applyNumberFormat="1" applyFont="1" applyFill="1" applyBorder="1" applyAlignment="1">
      <alignment horizontal="right" vertical="center" wrapText="1" indent="1"/>
    </xf>
    <xf numFmtId="49" fontId="22" fillId="0" borderId="0" xfId="0" applyNumberFormat="1" applyFont="1">
      <alignment vertical="top"/>
    </xf>
    <xf numFmtId="0" fontId="29" fillId="10" borderId="0" xfId="0" applyNumberFormat="1" applyFont="1" applyFill="1" applyAlignment="1">
      <alignment vertical="center" wrapText="1"/>
    </xf>
    <xf numFmtId="0" fontId="6" fillId="10" borderId="5" xfId="0" applyNumberFormat="1" applyFont="1" applyFill="1" applyBorder="1" applyAlignment="1">
      <alignment horizontal="left" vertical="center" wrapText="1" indent="1"/>
    </xf>
    <xf numFmtId="0" fontId="6" fillId="10" borderId="5" xfId="0" applyNumberFormat="1" applyFont="1" applyFill="1" applyBorder="1" applyAlignment="1">
      <alignment horizontal="left" vertical="center" wrapText="1" indent="2"/>
    </xf>
    <xf numFmtId="0" fontId="6" fillId="10" borderId="5" xfId="0" applyNumberFormat="1" applyFont="1" applyFill="1" applyBorder="1" applyAlignment="1">
      <alignment horizontal="left" vertical="center" wrapText="1" indent="3"/>
    </xf>
    <xf numFmtId="0" fontId="6" fillId="0" borderId="5" xfId="0" applyNumberFormat="1" applyFont="1" applyBorder="1" applyAlignment="1">
      <alignment horizontal="left" vertical="center" wrapText="1" indent="4"/>
    </xf>
    <xf numFmtId="49" fontId="30" fillId="13" borderId="7" xfId="0" applyNumberFormat="1" applyFont="1" applyFill="1" applyBorder="1" applyAlignment="1">
      <alignment vertical="center" wrapText="1"/>
    </xf>
    <xf numFmtId="49" fontId="30" fillId="13" borderId="8" xfId="0" applyNumberFormat="1" applyFont="1" applyFill="1" applyBorder="1" applyAlignment="1">
      <alignment vertical="center"/>
    </xf>
    <xf numFmtId="49" fontId="30" fillId="13" borderId="8" xfId="0" applyNumberFormat="1" applyFont="1" applyFill="1" applyBorder="1" applyAlignment="1">
      <alignment vertical="center" wrapText="1"/>
    </xf>
    <xf numFmtId="0" fontId="6" fillId="0" borderId="0" xfId="0" applyNumberFormat="1" applyFont="1" applyAlignment="1">
      <alignment vertical="top" wrapText="1"/>
    </xf>
    <xf numFmtId="49" fontId="30" fillId="13" borderId="7"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18" fillId="10" borderId="0" xfId="0" applyNumberFormat="1" applyFont="1" applyFill="1" applyAlignment="1">
      <alignment horizontal="center" vertical="center" wrapText="1"/>
    </xf>
    <xf numFmtId="0" fontId="6" fillId="0" borderId="0" xfId="0" applyNumberFormat="1" applyFont="1" applyAlignment="1">
      <alignment vertical="center" wrapText="1"/>
    </xf>
    <xf numFmtId="49" fontId="6" fillId="13" borderId="6" xfId="0" applyNumberFormat="1" applyFont="1" applyFill="1" applyBorder="1" applyAlignment="1">
      <alignment horizontal="center" vertical="center" wrapText="1"/>
    </xf>
    <xf numFmtId="4" fontId="6" fillId="0" borderId="5" xfId="0" applyNumberFormat="1" applyFont="1" applyBorder="1" applyAlignment="1">
      <alignment horizontal="righ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 fontId="37" fillId="0" borderId="5" xfId="0" applyNumberFormat="1" applyFont="1" applyBorder="1" applyAlignment="1">
      <alignment horizontal="center" vertical="center" wrapText="1"/>
    </xf>
    <xf numFmtId="0" fontId="0" fillId="0" borderId="0" xfId="0" applyNumberFormat="1" applyFont="1" applyAlignment="1">
      <alignment vertical="center"/>
    </xf>
    <xf numFmtId="0" fontId="0" fillId="0" borderId="5" xfId="0" applyNumberFormat="1" applyFont="1" applyBorder="1" applyAlignment="1">
      <alignment horizontal="left" vertical="center" wrapText="1" indent="1"/>
    </xf>
    <xf numFmtId="49" fontId="57" fillId="0" borderId="7" xfId="0" applyNumberFormat="1" applyFont="1" applyBorder="1" applyAlignment="1">
      <alignment horizontal="left" vertical="center" wrapText="1"/>
    </xf>
    <xf numFmtId="0" fontId="54" fillId="0" borderId="5" xfId="0" applyNumberFormat="1" applyFont="1" applyBorder="1" applyAlignment="1">
      <alignment horizontal="left" vertical="center" wrapText="1" indent="2"/>
    </xf>
    <xf numFmtId="49" fontId="54" fillId="0" borderId="5" xfId="0" applyNumberFormat="1" applyFont="1" applyBorder="1" applyAlignment="1">
      <alignment horizontal="center" vertical="center" wrapText="1"/>
    </xf>
    <xf numFmtId="0" fontId="58" fillId="0" borderId="0" xfId="0" applyNumberFormat="1" applyFont="1" applyAlignment="1">
      <alignment vertical="center" wrapText="1"/>
    </xf>
    <xf numFmtId="0" fontId="6" fillId="0" borderId="0" xfId="0" applyNumberFormat="1" applyFont="1">
      <alignment vertical="top"/>
    </xf>
    <xf numFmtId="0" fontId="6" fillId="0" borderId="0" xfId="0" applyNumberFormat="1" applyFont="1" applyAlignment="1">
      <alignment horizontal="right" vertical="top" wrapText="1"/>
    </xf>
    <xf numFmtId="0" fontId="6" fillId="0" borderId="10" xfId="0" applyNumberFormat="1" applyFont="1" applyBorder="1" applyAlignment="1">
      <alignment vertical="center" wrapText="1"/>
    </xf>
    <xf numFmtId="49" fontId="34" fillId="13" borderId="8" xfId="0" applyNumberFormat="1" applyFont="1" applyFill="1" applyBorder="1" applyAlignment="1">
      <alignment horizontal="center" vertical="top"/>
    </xf>
    <xf numFmtId="0" fontId="6" fillId="0" borderId="16" xfId="0" applyNumberFormat="1" applyFont="1" applyBorder="1" applyAlignment="1">
      <alignment vertical="top" wrapText="1"/>
    </xf>
    <xf numFmtId="0" fontId="0" fillId="0" borderId="0" xfId="0" applyNumberFormat="1" applyFont="1" applyAlignment="1">
      <alignment horizontal="left" vertical="top" wrapText="1"/>
    </xf>
    <xf numFmtId="0" fontId="6" fillId="0" borderId="10" xfId="0" applyNumberFormat="1" applyFont="1" applyBorder="1" applyAlignment="1">
      <alignment vertical="top" wrapText="1"/>
    </xf>
    <xf numFmtId="49" fontId="6" fillId="0" borderId="0" xfId="0" applyNumberFormat="1" applyFont="1">
      <alignment vertical="top"/>
    </xf>
    <xf numFmtId="0" fontId="29" fillId="0" borderId="0" xfId="0" applyNumberFormat="1" applyFont="1" applyAlignment="1">
      <alignment vertical="center" wrapText="1"/>
    </xf>
    <xf numFmtId="0" fontId="6" fillId="0" borderId="5" xfId="0" applyNumberFormat="1" applyFont="1" applyBorder="1" applyAlignment="1">
      <alignment vertical="center" wrapText="1"/>
    </xf>
    <xf numFmtId="49" fontId="6" fillId="0" borderId="0" xfId="0" applyNumberFormat="1" applyFont="1" applyAlignment="1">
      <alignment horizontal="center" vertical="center" wrapText="1"/>
    </xf>
    <xf numFmtId="0" fontId="6" fillId="13" borderId="7"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2"/>
    </xf>
    <xf numFmtId="0" fontId="37" fillId="0" borderId="0" xfId="0" applyNumberFormat="1" applyFont="1" applyAlignment="1">
      <alignment vertical="center"/>
    </xf>
    <xf numFmtId="0" fontId="59" fillId="0" borderId="0" xfId="0" applyNumberFormat="1" applyFont="1" applyAlignment="1">
      <alignment vertical="center" wrapText="1"/>
    </xf>
    <xf numFmtId="0" fontId="32" fillId="10" borderId="0" xfId="0" applyNumberFormat="1" applyFont="1" applyFill="1" applyAlignment="1">
      <alignment horizontal="center" vertical="center" wrapText="1"/>
    </xf>
    <xf numFmtId="0" fontId="6" fillId="0" borderId="17" xfId="0" applyNumberFormat="1" applyFont="1" applyBorder="1" applyAlignment="1">
      <alignment vertical="center" wrapText="1"/>
    </xf>
    <xf numFmtId="0" fontId="27" fillId="0" borderId="0" xfId="0" applyNumberFormat="1" applyFont="1" applyAlignment="1">
      <alignment vertical="center" wrapText="1"/>
    </xf>
    <xf numFmtId="49" fontId="6" fillId="0" borderId="17" xfId="0" applyNumberFormat="1" applyFont="1" applyBorder="1">
      <alignment vertical="top"/>
    </xf>
    <xf numFmtId="0" fontId="37" fillId="0" borderId="17" xfId="0" applyNumberFormat="1" applyFont="1" applyBorder="1" applyAlignment="1">
      <alignment horizontal="center" vertical="center" wrapText="1"/>
    </xf>
    <xf numFmtId="0" fontId="37" fillId="0" borderId="17" xfId="0" applyNumberFormat="1" applyFont="1" applyBorder="1" applyAlignment="1">
      <alignment vertical="center" wrapText="1"/>
    </xf>
    <xf numFmtId="49" fontId="22" fillId="0" borderId="0" xfId="0" applyNumberFormat="1" applyFont="1">
      <alignment vertical="top"/>
    </xf>
    <xf numFmtId="49" fontId="0" fillId="0" borderId="17" xfId="0" applyNumberFormat="1" applyFont="1" applyBorder="1">
      <alignment vertical="top"/>
    </xf>
    <xf numFmtId="49" fontId="6" fillId="0" borderId="0" xfId="0" applyNumberFormat="1" applyFont="1">
      <alignment vertical="top"/>
    </xf>
    <xf numFmtId="49" fontId="6" fillId="0" borderId="0" xfId="0" applyNumberFormat="1" applyFont="1" applyAlignment="1">
      <alignment vertical="center" wrapText="1"/>
    </xf>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49" fontId="30" fillId="13" borderId="8" xfId="0" applyNumberFormat="1" applyFont="1" applyFill="1" applyBorder="1" applyAlignment="1">
      <alignment horizontal="left" vertical="center" indent="4"/>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37" fillId="0" borderId="0" xfId="0" applyNumberFormat="1" applyFont="1" applyAlignment="1">
      <alignment vertical="center"/>
    </xf>
    <xf numFmtId="0" fontId="6" fillId="0" borderId="0" xfId="0" applyNumberFormat="1" applyFont="1" applyAlignment="1">
      <alignment vertical="top" wrapText="1"/>
    </xf>
    <xf numFmtId="49" fontId="6" fillId="0" borderId="5" xfId="0" applyNumberFormat="1" applyFont="1" applyBorder="1" applyAlignment="1">
      <alignment horizontal="right" vertical="top"/>
    </xf>
    <xf numFmtId="49" fontId="6" fillId="0" borderId="10" xfId="0" applyNumberFormat="1" applyFont="1" applyBorder="1" applyAlignment="1">
      <alignment horizontal="right" vertical="top"/>
    </xf>
    <xf numFmtId="49" fontId="30" fillId="13" borderId="8" xfId="0" applyNumberFormat="1" applyFont="1" applyFill="1" applyBorder="1" applyAlignment="1">
      <alignment horizontal="left" vertical="center" indent="3"/>
    </xf>
    <xf numFmtId="49" fontId="0" fillId="0" borderId="0" xfId="0" applyNumberFormat="1" applyFont="1">
      <alignment vertical="top"/>
    </xf>
    <xf numFmtId="0" fontId="6" fillId="0" borderId="0" xfId="0" applyNumberFormat="1" applyFont="1" applyAlignment="1">
      <alignment vertical="center" wrapText="1"/>
    </xf>
    <xf numFmtId="49" fontId="29" fillId="0" borderId="0" xfId="0" applyNumberFormat="1" applyFont="1">
      <alignment vertical="top"/>
    </xf>
    <xf numFmtId="0" fontId="29" fillId="10" borderId="0" xfId="0" applyNumberFormat="1" applyFont="1" applyFill="1" applyAlignment="1">
      <alignment vertical="center" wrapText="1"/>
    </xf>
    <xf numFmtId="49" fontId="6" fillId="15" borderId="5" xfId="0" applyNumberFormat="1" applyFont="1" applyFill="1" applyBorder="1" applyAlignment="1" applyProtection="1">
      <alignment horizontal="left" vertical="center" wrapText="1"/>
      <protection locked="0"/>
    </xf>
    <xf numFmtId="49" fontId="6" fillId="12" borderId="5" xfId="0" applyNumberFormat="1" applyFont="1" applyFill="1" applyBorder="1" applyAlignment="1" applyProtection="1">
      <alignment horizontal="left" vertical="center" wrapText="1"/>
      <protection locked="0"/>
    </xf>
    <xf numFmtId="49" fontId="37" fillId="0" borderId="0" xfId="0" applyNumberFormat="1" applyFont="1">
      <alignment vertical="top"/>
    </xf>
    <xf numFmtId="49" fontId="37" fillId="0" borderId="0" xfId="0" applyNumberFormat="1" applyFont="1">
      <alignment vertical="top"/>
    </xf>
    <xf numFmtId="49" fontId="6" fillId="15" borderId="5" xfId="0" applyNumberFormat="1" applyFont="1" applyFill="1" applyBorder="1" applyAlignment="1" applyProtection="1">
      <alignment horizontal="left" vertical="center" wrapText="1"/>
      <protection locked="0"/>
    </xf>
    <xf numFmtId="49" fontId="16" fillId="15" borderId="5" xfId="0" applyNumberFormat="1" applyFont="1" applyFill="1" applyBorder="1" applyAlignment="1" applyProtection="1">
      <alignment horizontal="left" vertical="center" wrapText="1"/>
      <protection locked="0"/>
    </xf>
    <xf numFmtId="49" fontId="0" fillId="0" borderId="18" xfId="0" applyNumberFormat="1" applyFont="1" applyBorder="1" applyAlignment="1">
      <alignment horizontal="center" vertical="center"/>
    </xf>
    <xf numFmtId="167" fontId="6" fillId="0" borderId="5" xfId="0" applyNumberFormat="1" applyFont="1" applyBorder="1" applyAlignment="1">
      <alignment horizontal="right" vertical="center" wrapText="1"/>
    </xf>
    <xf numFmtId="49" fontId="16" fillId="15" borderId="7"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0" fontId="0" fillId="0" borderId="5" xfId="0" applyNumberFormat="1" applyFont="1" applyBorder="1" applyAlignment="1">
      <alignment horizontal="left" vertical="center" wrapText="1"/>
    </xf>
    <xf numFmtId="0" fontId="6" fillId="10" borderId="0" xfId="0" applyNumberFormat="1" applyFont="1" applyFill="1" applyAlignment="1">
      <alignment horizontal="center" vertical="center" wrapText="1"/>
    </xf>
    <xf numFmtId="0" fontId="18" fillId="0" borderId="0" xfId="0" applyNumberFormat="1" applyFont="1" applyAlignment="1">
      <alignment vertical="top" wrapText="1"/>
    </xf>
    <xf numFmtId="0" fontId="6" fillId="10" borderId="19" xfId="0" applyNumberFormat="1" applyFont="1" applyFill="1" applyBorder="1" applyAlignment="1">
      <alignment horizontal="right" vertical="center" wrapText="1" indent="1"/>
    </xf>
    <xf numFmtId="0" fontId="0" fillId="10" borderId="19" xfId="0" applyNumberFormat="1" applyFont="1" applyFill="1" applyBorder="1" applyAlignment="1">
      <alignment horizontal="right" vertical="center" wrapText="1" indent="1"/>
    </xf>
    <xf numFmtId="0" fontId="6" fillId="0" borderId="0" xfId="0" applyNumberFormat="1" applyFont="1" applyAlignment="1">
      <alignment horizontal="left" vertical="center" wrapText="1" indent="4"/>
    </xf>
    <xf numFmtId="0" fontId="6" fillId="10" borderId="0" xfId="0" applyNumberFormat="1" applyFont="1" applyFill="1" applyAlignment="1">
      <alignment horizontal="center" vertical="center" wrapText="1"/>
    </xf>
    <xf numFmtId="49" fontId="30" fillId="13" borderId="8" xfId="0" applyNumberFormat="1" applyFont="1" applyFill="1" applyBorder="1" applyAlignment="1">
      <alignment horizontal="left" vertical="center"/>
    </xf>
    <xf numFmtId="0" fontId="6" fillId="0" borderId="12" xfId="0" applyNumberFormat="1" applyFont="1" applyBorder="1" applyAlignment="1">
      <alignment vertical="center" wrapText="1"/>
    </xf>
    <xf numFmtId="0" fontId="6" fillId="0" borderId="0" xfId="0" applyNumberFormat="1" applyFont="1" applyAlignment="1">
      <alignment horizontal="left" vertical="center" wrapText="1" indent="1"/>
    </xf>
    <xf numFmtId="0" fontId="58" fillId="0" borderId="0" xfId="0" applyNumberFormat="1" applyFont="1" applyAlignment="1">
      <alignment vertical="center" wrapText="1"/>
    </xf>
    <xf numFmtId="49" fontId="0" fillId="10" borderId="7" xfId="0" applyNumberFormat="1" applyFont="1" applyFill="1" applyBorder="1" applyAlignment="1">
      <alignment horizontal="center" vertical="center" wrapText="1"/>
    </xf>
    <xf numFmtId="49" fontId="30" fillId="13" borderId="20" xfId="0" applyNumberFormat="1" applyFont="1" applyFill="1" applyBorder="1" applyAlignment="1">
      <alignment horizontal="left" vertical="center" indent="2"/>
    </xf>
    <xf numFmtId="49" fontId="16" fillId="12" borderId="5" xfId="0" applyNumberFormat="1" applyFont="1" applyFill="1" applyBorder="1" applyAlignment="1" applyProtection="1">
      <alignment horizontal="left" vertical="center" wrapText="1"/>
      <protection locked="0"/>
    </xf>
    <xf numFmtId="49" fontId="6" fillId="0" borderId="12" xfId="0" applyNumberFormat="1" applyFont="1" applyBorder="1">
      <alignment vertical="top"/>
    </xf>
    <xf numFmtId="49" fontId="60" fillId="13" borderId="6" xfId="0" applyNumberFormat="1" applyFont="1" applyFill="1" applyBorder="1" applyAlignment="1">
      <alignment horizontal="left" vertical="center" indent="1"/>
    </xf>
    <xf numFmtId="49" fontId="60" fillId="13" borderId="8" xfId="0" applyNumberFormat="1" applyFont="1" applyFill="1" applyBorder="1" applyAlignment="1">
      <alignment horizontal="left" vertical="center" indent="1"/>
    </xf>
    <xf numFmtId="49" fontId="18" fillId="13" borderId="7" xfId="0" applyNumberFormat="1" applyFont="1" applyFill="1" applyBorder="1" applyAlignment="1">
      <alignment horizontal="center" vertical="center"/>
    </xf>
    <xf numFmtId="49" fontId="60" fillId="13" borderId="8" xfId="0" applyNumberFormat="1" applyFont="1" applyFill="1" applyBorder="1" applyAlignment="1">
      <alignment vertical="center"/>
    </xf>
    <xf numFmtId="0" fontId="0" fillId="7" borderId="5" xfId="0" applyNumberFormat="1" applyFont="1" applyFill="1" applyBorder="1" applyAlignment="1">
      <alignment horizontal="right" vertical="center"/>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24" fillId="10" borderId="0" xfId="0" applyNumberFormat="1" applyFont="1" applyFill="1" applyAlignment="1">
      <alignment vertical="center" wrapText="1"/>
    </xf>
    <xf numFmtId="0" fontId="22" fillId="0" borderId="0" xfId="0" applyNumberFormat="1" applyFont="1" applyAlignment="1">
      <alignment horizontal="center" vertical="center" wrapText="1"/>
    </xf>
    <xf numFmtId="0" fontId="0" fillId="0" borderId="0" xfId="0" applyNumberFormat="1" applyFont="1" applyAlignment="1">
      <alignment vertical="center" wrapText="1"/>
    </xf>
    <xf numFmtId="0" fontId="22" fillId="0" borderId="0" xfId="0" applyNumberFormat="1" applyFont="1" applyAlignment="1">
      <alignment horizontal="left" vertical="center" wrapText="1"/>
    </xf>
    <xf numFmtId="0" fontId="0" fillId="0" borderId="5" xfId="0" applyNumberFormat="1" applyFont="1" applyBorder="1" applyAlignment="1">
      <alignment horizontal="center" vertical="center"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0" fontId="36" fillId="0" borderId="0" xfId="0" applyNumberFormat="1" applyFont="1" applyAlignment="1">
      <alignment vertical="center" wrapText="1"/>
    </xf>
    <xf numFmtId="49" fontId="37" fillId="0" borderId="0" xfId="0" applyNumberFormat="1" applyFont="1">
      <alignment vertical="top"/>
    </xf>
    <xf numFmtId="0" fontId="61" fillId="0" borderId="0" xfId="0" applyNumberFormat="1" applyFont="1" applyAlignment="1">
      <alignment vertical="center" wrapText="1"/>
    </xf>
    <xf numFmtId="49" fontId="18" fillId="13" borderId="7" xfId="0" applyNumberFormat="1" applyFont="1" applyFill="1" applyBorder="1" applyAlignment="1">
      <alignment horizontal="right" vertical="center" wrapText="1"/>
    </xf>
    <xf numFmtId="49" fontId="36" fillId="0" borderId="0" xfId="0" applyNumberFormat="1" applyFont="1">
      <alignment vertical="top"/>
    </xf>
    <xf numFmtId="49" fontId="0" fillId="0" borderId="0" xfId="0" applyNumberFormat="1" applyFont="1">
      <alignment vertical="top"/>
    </xf>
    <xf numFmtId="49" fontId="0" fillId="13" borderId="6" xfId="0" applyNumberFormat="1" applyFont="1" applyFill="1" applyBorder="1" applyAlignment="1">
      <alignment horizontal="right" vertical="center" wrapText="1"/>
    </xf>
    <xf numFmtId="0" fontId="0" fillId="0" borderId="5" xfId="0" applyNumberFormat="1" applyFont="1" applyBorder="1" applyAlignment="1">
      <alignment horizontal="center" vertical="center" wrapTex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0" fillId="0" borderId="7" xfId="0" applyNumberFormat="1" applyFont="1" applyBorder="1" applyAlignment="1">
      <alignment horizontal="center" vertical="center" wrapText="1"/>
    </xf>
    <xf numFmtId="0" fontId="0" fillId="12" borderId="5" xfId="0" applyNumberFormat="1" applyFont="1" applyFill="1" applyBorder="1" applyAlignment="1" applyProtection="1">
      <alignment horizontal="right" vertical="center" wrapText="1"/>
      <protection locked="0"/>
    </xf>
    <xf numFmtId="3" fontId="0" fillId="15" borderId="5" xfId="0" applyNumberFormat="1" applyFont="1" applyFill="1" applyBorder="1" applyAlignment="1" applyProtection="1">
      <alignment horizontal="right" vertical="center" wrapText="1"/>
      <protection locked="0"/>
    </xf>
    <xf numFmtId="49" fontId="0" fillId="0" borderId="5" xfId="0" applyNumberFormat="1" applyFont="1" applyBorder="1" applyAlignment="1">
      <alignment horizontal="center" vertical="center" wrapText="1"/>
    </xf>
    <xf numFmtId="49" fontId="0" fillId="0" borderId="5" xfId="0" applyNumberFormat="1" applyFont="1" applyBorder="1" applyAlignment="1">
      <alignment vertical="top" wrapText="1"/>
    </xf>
    <xf numFmtId="0" fontId="0" fillId="10"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indent="2"/>
    </xf>
    <xf numFmtId="0" fontId="0" fillId="10" borderId="5" xfId="0" applyNumberFormat="1" applyFont="1" applyFill="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0" fillId="10" borderId="5" xfId="0" applyNumberFormat="1" applyFont="1" applyFill="1" applyBorder="1" applyAlignment="1">
      <alignment horizontal="left" vertical="center" wrapText="1" indent="1"/>
    </xf>
    <xf numFmtId="0" fontId="0" fillId="0" borderId="5" xfId="0" applyNumberFormat="1" applyFont="1" applyBorder="1" applyAlignment="1">
      <alignment horizontal="center" vertical="center" wrapText="1"/>
    </xf>
    <xf numFmtId="0" fontId="0" fillId="10" borderId="5" xfId="0" applyNumberFormat="1" applyFont="1" applyFill="1" applyBorder="1" applyAlignment="1">
      <alignment vertical="center" wrapText="1"/>
    </xf>
    <xf numFmtId="49" fontId="0" fillId="10" borderId="5" xfId="0" applyNumberFormat="1" applyFont="1" applyFill="1" applyBorder="1" applyAlignment="1">
      <alignment horizontal="center" vertical="center"/>
    </xf>
    <xf numFmtId="0" fontId="0" fillId="10" borderId="5" xfId="0" applyNumberFormat="1" applyFont="1" applyFill="1" applyBorder="1" applyAlignment="1">
      <alignment horizontal="center" vertical="center" wrapText="1"/>
    </xf>
    <xf numFmtId="0" fontId="6" fillId="0" borderId="0" xfId="0" applyNumberFormat="1" applyFont="1" applyAlignment="1">
      <alignment vertical="center" wrapText="1"/>
    </xf>
    <xf numFmtId="49" fontId="26"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5" fillId="0" borderId="0" xfId="0" applyNumberFormat="1" applyFont="1" applyAlignment="1">
      <alignment vertical="center" wrapText="1"/>
    </xf>
    <xf numFmtId="0" fontId="6" fillId="10" borderId="0" xfId="0" applyNumberFormat="1" applyFont="1" applyFill="1" applyAlignment="1">
      <alignment vertical="center" wrapText="1"/>
    </xf>
    <xf numFmtId="0" fontId="62" fillId="10" borderId="0" xfId="0" applyNumberFormat="1" applyFont="1" applyFill="1" applyAlignment="1">
      <alignment horizontal="center"/>
    </xf>
    <xf numFmtId="0" fontId="62" fillId="10" borderId="0" xfId="0" applyNumberFormat="1" applyFont="1" applyFill="1" applyAlignment="1"/>
    <xf numFmtId="0" fontId="64" fillId="10" borderId="0" xfId="0" applyNumberFormat="1" applyFont="1" applyFill="1" applyAlignment="1">
      <alignment horizontal="right" vertical="center"/>
    </xf>
    <xf numFmtId="0" fontId="64" fillId="10" borderId="0" xfId="0" applyNumberFormat="1" applyFont="1" applyFill="1" applyAlignment="1">
      <alignment horizontal="right" vertical="top"/>
    </xf>
    <xf numFmtId="0" fontId="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xf>
    <xf numFmtId="0" fontId="6" fillId="0" borderId="5" xfId="0" applyNumberFormat="1" applyFont="1" applyBorder="1" applyAlignment="1">
      <alignment horizontal="center" vertical="center" wrapText="1"/>
    </xf>
    <xf numFmtId="0" fontId="35" fillId="0" borderId="0" xfId="0" applyNumberFormat="1" applyFont="1" applyAlignment="1">
      <alignment vertical="top" wrapText="1"/>
    </xf>
    <xf numFmtId="0" fontId="6" fillId="13" borderId="7" xfId="0" applyNumberFormat="1" applyFont="1" applyFill="1" applyBorder="1" applyAlignment="1">
      <alignment horizontal="center"/>
    </xf>
    <xf numFmtId="0" fontId="60" fillId="13" borderId="8" xfId="0" applyNumberFormat="1" applyFont="1" applyFill="1" applyBorder="1" applyAlignment="1">
      <alignment horizontal="left" vertical="center"/>
    </xf>
    <xf numFmtId="0" fontId="60" fillId="13" borderId="6" xfId="0" applyNumberFormat="1" applyFont="1" applyFill="1" applyBorder="1" applyAlignment="1">
      <alignment horizontal="left" vertical="center"/>
    </xf>
    <xf numFmtId="0" fontId="65" fillId="10" borderId="0" xfId="0" applyNumberFormat="1" applyFont="1" applyFill="1" applyAlignment="1">
      <alignment vertical="center"/>
    </xf>
    <xf numFmtId="0" fontId="65" fillId="10" borderId="0" xfId="0" applyNumberFormat="1" applyFont="1" applyFill="1" applyAlignment="1">
      <alignment vertical="center" wrapText="1"/>
    </xf>
    <xf numFmtId="49"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vertical="center" wrapText="1"/>
    </xf>
    <xf numFmtId="0" fontId="52" fillId="10" borderId="0" xfId="0" applyNumberFormat="1" applyFont="1" applyFill="1" applyAlignment="1"/>
    <xf numFmtId="0" fontId="40" fillId="10" borderId="0" xfId="0" applyNumberFormat="1" applyFont="1" applyFill="1" applyAlignment="1"/>
    <xf numFmtId="0" fontId="48" fillId="10" borderId="0" xfId="0" applyNumberFormat="1" applyFont="1" applyFill="1" applyAlignment="1">
      <alignment horizontal="center"/>
    </xf>
    <xf numFmtId="0" fontId="45" fillId="0" borderId="0" xfId="0" applyNumberFormat="1" applyFont="1" applyAlignment="1">
      <alignment vertical="center" wrapText="1"/>
    </xf>
    <xf numFmtId="0" fontId="47" fillId="0" borderId="0" xfId="0" applyNumberFormat="1" applyFont="1" applyAlignment="1">
      <alignment vertical="center" wrapText="1"/>
    </xf>
    <xf numFmtId="0" fontId="47" fillId="10" borderId="0" xfId="0" applyNumberFormat="1" applyFont="1" applyFill="1" applyAlignment="1">
      <alignment vertical="center" wrapText="1"/>
    </xf>
    <xf numFmtId="0" fontId="47" fillId="10" borderId="0" xfId="0" applyNumberFormat="1" applyFont="1" applyFill="1" applyAlignment="1">
      <alignment horizontal="right" vertical="center"/>
    </xf>
    <xf numFmtId="0" fontId="47" fillId="10" borderId="0" xfId="0" applyNumberFormat="1" applyFont="1" applyFill="1" applyAlignment="1">
      <alignment horizontal="right" vertical="center" wrapText="1"/>
    </xf>
    <xf numFmtId="4" fontId="47" fillId="0" borderId="0" xfId="0" applyNumberFormat="1" applyFont="1" applyAlignment="1">
      <alignment horizontal="right" vertical="center" wrapText="1"/>
    </xf>
    <xf numFmtId="0" fontId="47" fillId="0" borderId="0" xfId="0" applyNumberFormat="1" applyFont="1" applyAlignment="1">
      <alignment horizontal="left" vertical="center" wrapText="1" indent="1"/>
    </xf>
    <xf numFmtId="0" fontId="6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wrapText="1"/>
    </xf>
    <xf numFmtId="0" fontId="51" fillId="0" borderId="0" xfId="0" applyNumberFormat="1" applyFont="1" applyAlignment="1">
      <alignment vertical="center" wrapText="1"/>
    </xf>
    <xf numFmtId="0" fontId="37" fillId="0" borderId="0" xfId="0" applyNumberFormat="1" applyFont="1" applyAlignment="1">
      <alignment vertical="center" wrapText="1"/>
    </xf>
    <xf numFmtId="49" fontId="6" fillId="16" borderId="5" xfId="0" applyNumberFormat="1" applyFont="1" applyFill="1" applyBorder="1" applyAlignment="1">
      <alignment horizontal="left" vertical="center" wrapText="1"/>
    </xf>
    <xf numFmtId="0" fontId="51" fillId="0" borderId="0" xfId="0" applyNumberFormat="1" applyFont="1" applyAlignment="1">
      <alignment horizontal="center" vertical="center" wrapText="1"/>
    </xf>
    <xf numFmtId="0" fontId="6" fillId="10" borderId="17" xfId="0" applyNumberFormat="1" applyFont="1" applyFill="1" applyBorder="1" applyAlignment="1">
      <alignment vertical="center" wrapText="1"/>
    </xf>
    <xf numFmtId="49" fontId="26" fillId="10" borderId="8"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6" fillId="0" borderId="0" xfId="0" applyNumberFormat="1" applyFont="1" applyAlignment="1">
      <alignment horizontal="center" vertical="center" wrapText="1"/>
    </xf>
    <xf numFmtId="0" fontId="59" fillId="0" borderId="0" xfId="0" applyNumberFormat="1" applyFont="1" applyAlignment="1">
      <alignment vertical="center" wrapText="1"/>
    </xf>
    <xf numFmtId="49" fontId="59" fillId="0" borderId="5" xfId="0" applyNumberFormat="1" applyFont="1" applyBorder="1" applyAlignment="1">
      <alignment horizontal="left" vertical="center" wrapText="1"/>
    </xf>
    <xf numFmtId="0" fontId="67" fillId="10" borderId="0" xfId="0" applyNumberFormat="1" applyFont="1" applyFill="1" applyAlignment="1">
      <alignment horizontal="center" vertical="center" wrapText="1"/>
    </xf>
    <xf numFmtId="49" fontId="59" fillId="0" borderId="10" xfId="0" applyNumberFormat="1" applyFont="1" applyBorder="1" applyAlignment="1">
      <alignment horizontal="left" vertical="center" wrapText="1"/>
    </xf>
    <xf numFmtId="0" fontId="37" fillId="0" borderId="0" xfId="0" applyNumberFormat="1" applyFont="1" applyAlignment="1">
      <alignment vertical="center"/>
    </xf>
    <xf numFmtId="0" fontId="37" fillId="10" borderId="0" xfId="0" applyNumberFormat="1" applyFont="1" applyFill="1" applyAlignment="1"/>
    <xf numFmtId="0" fontId="37" fillId="10" borderId="0" xfId="0" applyNumberFormat="1" applyFont="1" applyFill="1" applyAlignment="1">
      <alignment vertical="center" wrapText="1"/>
    </xf>
    <xf numFmtId="0" fontId="37"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0" fontId="32" fillId="0" borderId="0" xfId="0" applyNumberFormat="1" applyFont="1" applyAlignment="1">
      <alignment vertical="center" wrapText="1"/>
    </xf>
    <xf numFmtId="49" fontId="6" fillId="0" borderId="5" xfId="0" applyNumberFormat="1" applyFont="1" applyBorder="1" applyAlignment="1">
      <alignment horizontal="left" vertical="center" wrapText="1"/>
    </xf>
    <xf numFmtId="0" fontId="6" fillId="0" borderId="0" xfId="0" applyNumberFormat="1" applyFont="1" applyAlignment="1">
      <alignment vertical="center" wrapText="1"/>
    </xf>
    <xf numFmtId="49" fontId="37"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14"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14" fontId="68" fillId="13" borderId="8" xfId="0" applyNumberFormat="1" applyFont="1" applyFill="1" applyBorder="1" applyAlignment="1">
      <alignment horizontal="center" vertical="center" wrapText="1"/>
    </xf>
    <xf numFmtId="0" fontId="37" fillId="0" borderId="0" xfId="0" applyNumberFormat="1" applyFont="1" applyAlignment="1">
      <alignment horizontal="left" vertical="center" wrapText="1"/>
    </xf>
    <xf numFmtId="49" fontId="37" fillId="0" borderId="0" xfId="0" applyNumberFormat="1" applyFont="1" applyAlignment="1">
      <alignment horizontal="left" vertical="center" wrapText="1"/>
    </xf>
    <xf numFmtId="0" fontId="37" fillId="0" borderId="0" xfId="0" applyNumberFormat="1" applyFont="1" applyAlignment="1">
      <alignment vertical="center" wrapText="1"/>
    </xf>
    <xf numFmtId="49" fontId="16" fillId="0" borderId="5" xfId="0" applyNumberFormat="1" applyFont="1" applyBorder="1" applyAlignment="1">
      <alignment horizontal="left" vertical="center" wrapText="1"/>
    </xf>
    <xf numFmtId="14"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9"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0" fillId="10" borderId="7" xfId="0" applyNumberFormat="1" applyFont="1" applyFill="1" applyBorder="1" applyAlignment="1">
      <alignment horizontal="left" vertical="center" wrapText="1"/>
    </xf>
    <xf numFmtId="49" fontId="18" fillId="13" borderId="8" xfId="0" applyNumberFormat="1" applyFont="1" applyFill="1" applyBorder="1" applyAlignment="1">
      <alignment horizontal="center" vertical="center"/>
    </xf>
    <xf numFmtId="0" fontId="23" fillId="0" borderId="0" xfId="0" applyNumberFormat="1" applyFont="1" applyAlignment="1">
      <alignment vertical="center" wrapText="1"/>
    </xf>
    <xf numFmtId="0" fontId="22"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70"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49" fontId="6" fillId="0" borderId="0" xfId="0" applyNumberFormat="1" applyFont="1" applyAlignment="1">
      <alignment horizontal="center" vertical="top" wrapText="1"/>
    </xf>
    <xf numFmtId="49" fontId="6" fillId="0" borderId="5" xfId="0" applyNumberFormat="1" applyFont="1" applyBorder="1" applyAlignment="1">
      <alignment horizontal="center" vertical="center" wrapText="1"/>
    </xf>
    <xf numFmtId="49" fontId="6" fillId="15" borderId="5" xfId="0" applyNumberFormat="1" applyFont="1" applyFill="1" applyBorder="1" applyAlignment="1" applyProtection="1">
      <alignment vertical="center" wrapText="1"/>
      <protection locked="0"/>
    </xf>
    <xf numFmtId="4" fontId="6" fillId="12" borderId="5"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vertical="top" wrapText="1"/>
    </xf>
    <xf numFmtId="0" fontId="71" fillId="0" borderId="0" xfId="0" applyNumberFormat="1" applyFont="1" applyAlignment="1">
      <alignment vertical="center" wrapText="1"/>
    </xf>
    <xf numFmtId="0" fontId="41" fillId="0" borderId="0" xfId="0" applyNumberFormat="1" applyFont="1" applyAlignment="1">
      <alignment vertical="center" wrapText="1"/>
    </xf>
    <xf numFmtId="169" fontId="6" fillId="12" borderId="5" xfId="0" applyNumberFormat="1" applyFont="1" applyFill="1" applyBorder="1" applyAlignment="1" applyProtection="1">
      <alignment horizontal="right" vertical="center" wrapText="1"/>
      <protection locked="0"/>
    </xf>
    <xf numFmtId="0" fontId="6" fillId="0" borderId="21" xfId="0" applyNumberFormat="1" applyFont="1" applyBorder="1" applyAlignment="1">
      <alignment horizontal="center" vertical="center" wrapText="1"/>
    </xf>
    <xf numFmtId="0" fontId="6" fillId="15" borderId="5" xfId="0" applyNumberFormat="1" applyFont="1" applyFill="1" applyBorder="1" applyAlignment="1" applyProtection="1">
      <alignment horizontal="left" vertical="center" wrapText="1" indent="2"/>
      <protection locked="0"/>
    </xf>
    <xf numFmtId="49" fontId="37" fillId="0" borderId="0" xfId="0" applyNumberFormat="1" applyFont="1" applyAlignment="1">
      <alignment horizontal="center" vertical="center" wrapText="1"/>
    </xf>
    <xf numFmtId="0" fontId="37" fillId="0" borderId="21" xfId="0" applyNumberFormat="1" applyFont="1" applyBorder="1" applyAlignment="1">
      <alignment horizontal="center" vertical="center" wrapText="1"/>
    </xf>
    <xf numFmtId="0" fontId="37" fillId="0" borderId="5" xfId="0" applyNumberFormat="1" applyFont="1" applyBorder="1" applyAlignment="1">
      <alignment horizontal="left" vertical="center" wrapText="1" indent="2"/>
    </xf>
    <xf numFmtId="0" fontId="37" fillId="0" borderId="5" xfId="0" applyNumberFormat="1" applyFont="1" applyBorder="1" applyAlignment="1">
      <alignment horizontal="center" vertical="center" wrapText="1"/>
    </xf>
    <xf numFmtId="0" fontId="37" fillId="0" borderId="5" xfId="0" applyNumberFormat="1" applyFont="1" applyBorder="1" applyAlignment="1">
      <alignment vertical="center" wrapText="1"/>
    </xf>
    <xf numFmtId="0" fontId="6" fillId="0" borderId="5" xfId="0" applyNumberFormat="1" applyFont="1" applyBorder="1" applyAlignment="1">
      <alignment horizontal="left" vertical="center" wrapText="1" indent="3"/>
    </xf>
    <xf numFmtId="49" fontId="6" fillId="15" borderId="5" xfId="0" applyNumberFormat="1" applyFont="1" applyFill="1" applyBorder="1" applyAlignment="1" applyProtection="1">
      <alignment horizontal="center" vertical="center" wrapText="1"/>
      <protection locked="0"/>
    </xf>
    <xf numFmtId="0" fontId="6"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 fontId="6" fillId="15" borderId="5" xfId="0" applyNumberFormat="1" applyFont="1" applyFill="1" applyBorder="1" applyAlignment="1" applyProtection="1">
      <alignment horizontal="right" vertical="center" wrapText="1"/>
      <protection locked="0"/>
    </xf>
    <xf numFmtId="4" fontId="6" fillId="11" borderId="5" xfId="0" applyNumberFormat="1" applyFont="1" applyFill="1" applyBorder="1" applyAlignment="1">
      <alignment horizontal="right" vertical="center" wrapText="1"/>
    </xf>
    <xf numFmtId="0" fontId="6" fillId="0" borderId="5" xfId="0" applyNumberFormat="1" applyFont="1" applyBorder="1" applyAlignment="1">
      <alignment horizontal="left" vertical="center" wrapText="1" indent="1"/>
    </xf>
    <xf numFmtId="49" fontId="59" fillId="0" borderId="0" xfId="0" applyNumberFormat="1" applyFont="1" applyAlignment="1">
      <alignment horizontal="center" vertical="center" wrapText="1"/>
    </xf>
    <xf numFmtId="49"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2"/>
    </xf>
    <xf numFmtId="0" fontId="59" fillId="0" borderId="5" xfId="0" applyNumberFormat="1" applyFont="1" applyBorder="1" applyAlignment="1">
      <alignment horizontal="center" vertical="center" wrapText="1"/>
    </xf>
    <xf numFmtId="0" fontId="59" fillId="0" borderId="5" xfId="0" applyNumberFormat="1" applyFont="1" applyBorder="1" applyAlignment="1">
      <alignment vertical="center" wrapText="1"/>
    </xf>
    <xf numFmtId="0" fontId="72" fillId="0" borderId="0" xfId="0" applyNumberFormat="1" applyFont="1" applyAlignment="1">
      <alignment vertical="center" wrapText="1"/>
    </xf>
    <xf numFmtId="0" fontId="50" fillId="0" borderId="0" xfId="0" applyNumberFormat="1" applyFont="1" applyAlignment="1">
      <alignment vertical="center" wrapText="1"/>
    </xf>
    <xf numFmtId="0"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3"/>
    </xf>
    <xf numFmtId="4" fontId="59" fillId="0" borderId="5" xfId="0" applyNumberFormat="1" applyFont="1" applyBorder="1" applyAlignment="1">
      <alignment horizontal="right" vertical="center" wrapText="1"/>
    </xf>
    <xf numFmtId="49" fontId="6" fillId="13" borderId="7" xfId="0" applyNumberFormat="1" applyFont="1" applyFill="1" applyBorder="1" applyAlignment="1">
      <alignment vertical="center" wrapText="1"/>
    </xf>
    <xf numFmtId="49" fontId="30" fillId="13" borderId="8" xfId="0" applyNumberFormat="1" applyFont="1" applyFill="1" applyBorder="1" applyAlignment="1">
      <alignment horizontal="left" vertical="center" indent="2"/>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4" fontId="6"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6" fillId="0" borderId="5" xfId="0" applyNumberFormat="1" applyFont="1" applyBorder="1" applyAlignment="1">
      <alignment horizontal="left" vertical="center" wrapText="1" indent="2"/>
    </xf>
    <xf numFmtId="169" fontId="6" fillId="15" borderId="5" xfId="0" applyNumberFormat="1" applyFont="1" applyFill="1" applyBorder="1" applyAlignment="1" applyProtection="1">
      <alignment horizontal="right" vertical="center" wrapText="1"/>
      <protection locked="0"/>
    </xf>
    <xf numFmtId="0" fontId="6" fillId="0" borderId="10" xfId="0" applyNumberFormat="1" applyFont="1" applyBorder="1" applyAlignment="1">
      <alignment horizontal="center" vertical="center" wrapText="1"/>
    </xf>
    <xf numFmtId="4" fontId="6" fillId="11" borderId="10" xfId="0" applyNumberFormat="1" applyFont="1" applyFill="1" applyBorder="1" applyAlignment="1">
      <alignment horizontal="right" vertical="center" wrapText="1"/>
    </xf>
    <xf numFmtId="49" fontId="30" fillId="13" borderId="8" xfId="0" applyNumberFormat="1" applyFont="1" applyFill="1" applyBorder="1" applyAlignment="1">
      <alignment horizontal="left" vertical="center" indent="1"/>
    </xf>
    <xf numFmtId="0" fontId="6" fillId="0" borderId="0" xfId="0" applyNumberFormat="1" applyFont="1" applyAlignment="1">
      <alignment horizontal="left" vertical="center" wrapText="1"/>
    </xf>
    <xf numFmtId="0" fontId="6" fillId="0" borderId="0" xfId="0" applyNumberFormat="1" applyFont="1" applyAlignment="1">
      <alignment vertical="center"/>
    </xf>
    <xf numFmtId="0" fontId="36" fillId="0" borderId="0" xfId="0" applyNumberFormat="1" applyFont="1" applyAlignment="1">
      <alignment vertical="center"/>
    </xf>
    <xf numFmtId="0" fontId="6" fillId="0" borderId="0" xfId="0" applyNumberFormat="1" applyFont="1" applyAlignment="1">
      <alignment vertical="center"/>
    </xf>
    <xf numFmtId="0" fontId="73" fillId="0" borderId="0" xfId="0" applyNumberFormat="1" applyFont="1" applyAlignment="1">
      <alignment vertical="center"/>
    </xf>
    <xf numFmtId="0" fontId="6" fillId="0" borderId="0" xfId="0" applyNumberFormat="1" applyFont="1" applyAlignment="1">
      <alignment vertical="center" wrapText="1"/>
    </xf>
    <xf numFmtId="0" fontId="31" fillId="0" borderId="0" xfId="0" applyNumberFormat="1" applyFont="1" applyAlignment="1">
      <alignment vertical="center"/>
    </xf>
    <xf numFmtId="0" fontId="73" fillId="0" borderId="0" xfId="0" applyNumberFormat="1" applyFont="1" applyAlignment="1">
      <alignment vertical="center"/>
    </xf>
    <xf numFmtId="0" fontId="19" fillId="0" borderId="0" xfId="0" applyNumberFormat="1" applyFont="1" applyAlignment="1">
      <alignment vertical="center"/>
    </xf>
    <xf numFmtId="0" fontId="6"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5"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13" borderId="7"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0" fillId="13" borderId="6" xfId="0" applyNumberFormat="1" applyFont="1" applyFill="1" applyBorder="1" applyAlignment="1">
      <alignment vertical="center"/>
    </xf>
    <xf numFmtId="49" fontId="6" fillId="0" borderId="10" xfId="0" applyNumberFormat="1" applyFont="1" applyBorder="1" applyAlignment="1">
      <alignment horizontal="center" vertical="center" wrapText="1"/>
    </xf>
    <xf numFmtId="49" fontId="62" fillId="0" borderId="5" xfId="0" applyNumberFormat="1" applyFont="1" applyBorder="1" applyAlignment="1">
      <alignment horizontal="left" vertical="center" wrapText="1" indent="1"/>
    </xf>
    <xf numFmtId="0" fontId="36" fillId="0" borderId="0" xfId="0" applyNumberFormat="1" applyFont="1" applyAlignment="1">
      <alignment vertical="center"/>
    </xf>
    <xf numFmtId="0" fontId="61" fillId="0" borderId="0" xfId="0" applyNumberFormat="1" applyFont="1" applyAlignment="1">
      <alignment vertical="center"/>
    </xf>
    <xf numFmtId="49" fontId="30" fillId="13" borderId="6" xfId="0" applyNumberFormat="1" applyFont="1" applyFill="1" applyBorder="1" applyAlignment="1">
      <alignment horizontal="left" vertical="center" indent="1"/>
    </xf>
    <xf numFmtId="49" fontId="18" fillId="13" borderId="6" xfId="0" applyNumberFormat="1" applyFont="1" applyFill="1" applyBorder="1" applyAlignment="1">
      <alignment horizontal="right" vertical="center" wrapText="1"/>
    </xf>
    <xf numFmtId="0" fontId="62" fillId="17" borderId="0" xfId="0" applyNumberFormat="1" applyFont="1" applyFill="1">
      <alignment vertical="top"/>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2" fillId="0" borderId="0" xfId="0" applyNumberFormat="1" applyFont="1" applyAlignment="1">
      <alignment horizontal="center" vertical="center" wrapText="1"/>
    </xf>
    <xf numFmtId="4" fontId="6" fillId="0" borderId="0" xfId="0" applyNumberFormat="1" applyFont="1" applyAlignment="1">
      <alignment horizontal="right" vertical="center" wrapText="1"/>
    </xf>
    <xf numFmtId="9" fontId="18" fillId="0" borderId="0" xfId="0" applyNumberFormat="1" applyFont="1" applyAlignment="1">
      <alignment horizontal="center" vertical="center" wrapText="1"/>
    </xf>
    <xf numFmtId="0" fontId="58" fillId="0" borderId="0" xfId="0" applyNumberFormat="1" applyFont="1" applyAlignment="1">
      <alignment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50" fillId="0" borderId="0" xfId="0" applyNumberFormat="1" applyFont="1" applyAlignment="1">
      <alignment horizontal="center" vertical="center" wrapText="1"/>
    </xf>
    <xf numFmtId="0" fontId="50"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6" fillId="0" borderId="0" xfId="0" applyNumberFormat="1" applyFont="1">
      <alignment vertical="top"/>
    </xf>
    <xf numFmtId="0" fontId="36" fillId="0" borderId="0" xfId="0" applyNumberFormat="1" applyFont="1">
      <alignment vertical="top"/>
    </xf>
    <xf numFmtId="0" fontId="61" fillId="0" borderId="0" xfId="0" applyNumberFormat="1" applyFont="1">
      <alignment vertical="top"/>
    </xf>
    <xf numFmtId="0" fontId="74" fillId="0" borderId="0" xfId="0" applyNumberFormat="1" applyFont="1">
      <alignment vertical="top"/>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49" fontId="0" fillId="0" borderId="6"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 fontId="0" fillId="11" borderId="5" xfId="0" applyNumberFormat="1" applyFont="1" applyFill="1" applyBorder="1" applyAlignment="1">
      <alignment horizontal="right" vertical="center" wrapText="1"/>
    </xf>
    <xf numFmtId="0" fontId="0" fillId="0" borderId="5" xfId="0" applyNumberFormat="1" applyFont="1" applyBorder="1" applyAlignment="1">
      <alignment vertical="center" wrapText="1"/>
    </xf>
    <xf numFmtId="49" fontId="0" fillId="0" borderId="22" xfId="0" applyNumberFormat="1" applyFont="1" applyBorder="1" applyAlignment="1">
      <alignment horizontal="center" vertical="center" wrapText="1"/>
    </xf>
    <xf numFmtId="4" fontId="0" fillId="15" borderId="5" xfId="0" applyNumberFormat="1" applyFont="1" applyFill="1" applyBorder="1" applyAlignment="1" applyProtection="1">
      <alignment horizontal="right" vertical="center" wrapText="1"/>
      <protection locked="0"/>
    </xf>
    <xf numFmtId="49" fontId="0" fillId="15" borderId="5" xfId="0" applyNumberFormat="1" applyFont="1" applyFill="1" applyBorder="1" applyAlignment="1" applyProtection="1">
      <alignment horizontal="center" vertical="center" wrapText="1"/>
      <protection locked="0"/>
    </xf>
    <xf numFmtId="4" fontId="36" fillId="0" borderId="5" xfId="0" applyNumberFormat="1" applyFont="1" applyBorder="1" applyAlignment="1">
      <alignment horizontal="right" vertical="center" wrapText="1"/>
    </xf>
    <xf numFmtId="49" fontId="0" fillId="13" borderId="23" xfId="0" applyNumberFormat="1" applyFont="1" applyFill="1" applyBorder="1" applyAlignment="1">
      <alignment horizontal="center" vertical="center"/>
    </xf>
    <xf numFmtId="49" fontId="0" fillId="13" borderId="8" xfId="0" applyNumberFormat="1" applyFont="1" applyFill="1" applyBorder="1" applyAlignment="1">
      <alignment horizontal="center" vertical="center"/>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49" fontId="3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0" fontId="30" fillId="0" borderId="5" xfId="0" applyNumberFormat="1" applyFont="1" applyBorder="1" applyAlignment="1">
      <alignment horizontal="left" vertical="center" indent="1"/>
    </xf>
    <xf numFmtId="0" fontId="6" fillId="0" borderId="0" xfId="0" applyNumberFormat="1" applyFont="1" applyAlignment="1">
      <alignment horizontal="right" vertical="center" wrapText="1"/>
    </xf>
    <xf numFmtId="0" fontId="0" fillId="0" borderId="0" xfId="0" applyNumberFormat="1" applyFont="1" applyAlignment="1">
      <alignment vertical="center"/>
    </xf>
    <xf numFmtId="0" fontId="35" fillId="0" borderId="0" xfId="0" applyNumberFormat="1" applyFont="1" applyAlignment="1">
      <alignment horizontal="right" vertical="top" wrapText="1"/>
    </xf>
    <xf numFmtId="0" fontId="6" fillId="0" borderId="0" xfId="0" applyNumberFormat="1" applyFont="1" applyAlignment="1">
      <alignment vertical="top" wrapText="1"/>
    </xf>
    <xf numFmtId="0" fontId="6" fillId="0" borderId="0" xfId="0" applyNumberFormat="1" applyFont="1" applyAlignment="1">
      <alignment horizontal="left" vertical="top" wrapText="1"/>
    </xf>
    <xf numFmtId="0" fontId="26" fillId="0" borderId="0" xfId="0" applyNumberFormat="1" applyFont="1" applyAlignment="1">
      <alignment horizontal="center" vertical="center" wrapText="1"/>
    </xf>
    <xf numFmtId="4" fontId="6" fillId="0" borderId="5" xfId="0" applyNumberFormat="1" applyFont="1" applyBorder="1" applyAlignment="1">
      <alignment horizontal="center" vertical="center" wrapText="1"/>
    </xf>
    <xf numFmtId="49" fontId="16" fillId="12" borderId="7" xfId="0" applyNumberFormat="1" applyFont="1" applyFill="1" applyBorder="1" applyAlignment="1" applyProtection="1">
      <alignment horizontal="left" vertical="center" wrapText="1"/>
      <protection locked="0"/>
    </xf>
    <xf numFmtId="49" fontId="16" fillId="12" borderId="7" xfId="0" applyNumberFormat="1" applyFont="1" applyFill="1" applyBorder="1" applyAlignment="1" applyProtection="1">
      <alignment horizontal="left" vertical="center" wrapText="1"/>
      <protection locked="0"/>
    </xf>
    <xf numFmtId="49" fontId="6" fillId="15" borderId="5" xfId="0" applyNumberFormat="1" applyFont="1" applyFill="1" applyBorder="1" applyAlignment="1" applyProtection="1">
      <alignment horizontal="left" vertical="center" wrapText="1"/>
      <protection locked="0"/>
    </xf>
    <xf numFmtId="0" fontId="35" fillId="0" borderId="0" xfId="0" applyNumberFormat="1" applyFont="1">
      <alignment vertical="top"/>
    </xf>
    <xf numFmtId="49" fontId="6" fillId="0" borderId="24" xfId="0" applyNumberFormat="1" applyFont="1" applyBorder="1" applyAlignment="1">
      <alignment horizontal="center" vertical="center" wrapText="1"/>
    </xf>
    <xf numFmtId="0" fontId="6" fillId="0" borderId="24" xfId="0" applyNumberFormat="1" applyFont="1" applyBorder="1" applyAlignment="1">
      <alignment horizontal="left" vertical="center" wrapText="1"/>
    </xf>
    <xf numFmtId="0" fontId="6" fillId="0" borderId="24" xfId="0" applyNumberFormat="1" applyFont="1" applyBorder="1" applyAlignment="1">
      <alignment horizontal="left" vertical="center" wrapText="1" indent="1"/>
    </xf>
    <xf numFmtId="4" fontId="6" fillId="15" borderId="24" xfId="0" applyNumberFormat="1" applyFont="1" applyFill="1" applyBorder="1" applyAlignment="1" applyProtection="1">
      <alignment horizontal="right" vertical="center" wrapText="1"/>
      <protection locked="0"/>
    </xf>
    <xf numFmtId="49" fontId="6" fillId="0" borderId="25" xfId="0" applyNumberFormat="1" applyFont="1" applyBorder="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24" xfId="0" applyNumberFormat="1" applyFont="1" applyBorder="1" applyAlignment="1">
      <alignment horizontal="left" vertical="center" wrapText="1" indent="2"/>
    </xf>
    <xf numFmtId="0" fontId="36" fillId="0" borderId="0" xfId="0" applyNumberFormat="1" applyFont="1" applyAlignment="1">
      <alignment horizontal="center" vertical="center" wrapText="1"/>
    </xf>
    <xf numFmtId="49" fontId="6" fillId="0" borderId="0" xfId="0" applyNumberFormat="1" applyFont="1" applyAlignment="1">
      <alignment horizontal="left" vertical="center" wrapText="1"/>
    </xf>
    <xf numFmtId="0" fontId="70" fillId="0" borderId="0" xfId="0" applyNumberFormat="1" applyFont="1" applyAlignment="1">
      <alignment vertical="center" wrapText="1"/>
    </xf>
    <xf numFmtId="0" fontId="70"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5" xfId="0" applyNumberFormat="1" applyFont="1" applyBorder="1" applyAlignment="1">
      <alignment horizontal="left" vertical="center" wrapText="1"/>
    </xf>
    <xf numFmtId="3" fontId="6" fillId="0" borderId="7" xfId="0" applyNumberFormat="1" applyFont="1" applyBorder="1" applyAlignment="1">
      <alignment vertical="center" wrapText="1"/>
    </xf>
    <xf numFmtId="0" fontId="6" fillId="0" borderId="6" xfId="0" applyNumberFormat="1" applyFont="1" applyBorder="1" applyAlignment="1">
      <alignment vertical="center" wrapText="1"/>
    </xf>
    <xf numFmtId="4" fontId="6" fillId="12" borderId="7" xfId="0" applyNumberFormat="1" applyFont="1" applyFill="1" applyBorder="1" applyAlignment="1" applyProtection="1">
      <alignment horizontal="right" vertical="center" wrapText="1"/>
      <protection locked="0"/>
    </xf>
    <xf numFmtId="4" fontId="6" fillId="0" borderId="7"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0" fontId="6" fillId="0" borderId="7" xfId="0" applyNumberFormat="1" applyFont="1" applyBorder="1" applyAlignment="1">
      <alignment horizontal="center" vertical="center" wrapText="1"/>
    </xf>
    <xf numFmtId="3" fontId="6" fillId="15" borderId="7" xfId="0" applyNumberFormat="1" applyFont="1" applyFill="1" applyBorder="1" applyAlignment="1" applyProtection="1">
      <alignment vertical="center" wrapText="1"/>
      <protection locked="0"/>
    </xf>
    <xf numFmtId="49" fontId="6" fillId="12" borderId="7" xfId="0" applyNumberFormat="1" applyFont="1" applyFill="1" applyBorder="1" applyAlignment="1" applyProtection="1">
      <alignment horizontal="left" vertical="center" wrapText="1"/>
      <protection locked="0"/>
    </xf>
    <xf numFmtId="4" fontId="6" fillId="11" borderId="7"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0" borderId="7" xfId="0" applyNumberFormat="1" applyFont="1" applyBorder="1" applyAlignment="1">
      <alignment horizontal="center" vertical="center"/>
    </xf>
    <xf numFmtId="49" fontId="0" fillId="0" borderId="5" xfId="0" applyNumberFormat="1" applyFont="1" applyBorder="1" applyAlignment="1">
      <alignment horizontal="left" vertical="center" wrapText="1" indent="1"/>
    </xf>
    <xf numFmtId="0" fontId="6" fillId="0" borderId="6"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49" fontId="0" fillId="0" borderId="5" xfId="0" applyNumberFormat="1" applyFont="1" applyBorder="1" applyAlignment="1">
      <alignment vertical="center" wrapText="1"/>
    </xf>
    <xf numFmtId="0" fontId="6" fillId="13" borderId="12" xfId="0" applyNumberFormat="1" applyFont="1" applyFill="1" applyBorder="1" applyAlignment="1">
      <alignment vertical="center" wrapText="1"/>
    </xf>
    <xf numFmtId="0" fontId="6" fillId="0" borderId="8" xfId="0" applyNumberFormat="1" applyFont="1" applyBorder="1" applyAlignment="1">
      <alignment horizontal="center" vertical="center" wrapText="1"/>
    </xf>
    <xf numFmtId="0" fontId="6" fillId="13" borderId="20" xfId="0" applyNumberFormat="1" applyFont="1" applyFill="1" applyBorder="1" applyAlignment="1">
      <alignment vertical="center" wrapText="1"/>
    </xf>
    <xf numFmtId="49" fontId="6" fillId="15" borderId="7"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center" wrapText="1" indent="1"/>
    </xf>
    <xf numFmtId="0" fontId="75" fillId="10" borderId="0" xfId="0" applyNumberFormat="1" applyFont="1" applyFill="1" applyAlignment="1">
      <alignment horizontal="center" vertical="center" wrapText="1"/>
    </xf>
    <xf numFmtId="0" fontId="75" fillId="10" borderId="0" xfId="0" applyNumberFormat="1" applyFont="1" applyFill="1" applyAlignment="1">
      <alignment horizontal="right"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top"/>
    </xf>
    <xf numFmtId="0" fontId="6" fillId="0" borderId="5" xfId="0" applyNumberFormat="1" applyFont="1" applyBorder="1" applyAlignment="1">
      <alignment horizontal="left" vertical="center" wrapText="1"/>
    </xf>
    <xf numFmtId="0"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indent="1"/>
    </xf>
    <xf numFmtId="0" fontId="6" fillId="0" borderId="7" xfId="0" applyNumberFormat="1" applyFont="1" applyBorder="1" applyAlignment="1">
      <alignment vertical="center" wrapText="1"/>
    </xf>
    <xf numFmtId="0" fontId="6" fillId="0" borderId="0" xfId="0" applyNumberFormat="1" applyFont="1" applyAlignment="1">
      <alignment horizontal="right" vertical="center"/>
    </xf>
    <xf numFmtId="49" fontId="16" fillId="13" borderId="6" xfId="0" applyNumberFormat="1" applyFont="1" applyFill="1" applyBorder="1" applyAlignment="1">
      <alignment horizontal="left" vertical="center" wrapText="1"/>
    </xf>
    <xf numFmtId="0" fontId="76" fillId="0" borderId="0" xfId="0" applyNumberFormat="1" applyFont="1" applyAlignment="1">
      <alignment vertical="center"/>
    </xf>
    <xf numFmtId="0" fontId="77" fillId="0" borderId="0" xfId="0" applyNumberFormat="1" applyFont="1" applyAlignment="1">
      <alignment vertical="center"/>
    </xf>
    <xf numFmtId="49" fontId="37" fillId="0" borderId="15" xfId="0" applyNumberFormat="1" applyFont="1" applyBorder="1">
      <alignment vertical="top"/>
    </xf>
    <xf numFmtId="49" fontId="37" fillId="0" borderId="15" xfId="0" applyNumberFormat="1" applyFont="1" applyBorder="1">
      <alignment vertical="top"/>
    </xf>
    <xf numFmtId="0" fontId="37" fillId="0" borderId="15" xfId="0" applyNumberFormat="1" applyFont="1" applyBorder="1" applyAlignment="1">
      <alignment vertical="center" wrapText="1"/>
    </xf>
    <xf numFmtId="0" fontId="6" fillId="0" borderId="6" xfId="0" applyNumberFormat="1" applyFont="1" applyBorder="1" applyAlignment="1">
      <alignment horizontal="left" vertical="center" wrapText="1" indent="1"/>
    </xf>
    <xf numFmtId="0" fontId="58" fillId="0" borderId="15" xfId="0" applyNumberFormat="1" applyFont="1" applyBorder="1" applyAlignment="1">
      <alignment vertical="center" wrapText="1"/>
    </xf>
    <xf numFmtId="4" fontId="6" fillId="0" borderId="24" xfId="0" applyNumberFormat="1" applyFont="1" applyBorder="1" applyAlignment="1">
      <alignment horizontal="center" vertical="center" wrapText="1"/>
    </xf>
    <xf numFmtId="0" fontId="6" fillId="0" borderId="26" xfId="0" applyNumberFormat="1" applyFont="1" applyBorder="1" applyAlignment="1">
      <alignment horizontal="left" vertical="center" wrapText="1"/>
    </xf>
    <xf numFmtId="0" fontId="6" fillId="0" borderId="26" xfId="0" applyNumberFormat="1" applyFont="1" applyBorder="1" applyAlignment="1">
      <alignment horizontal="left" vertical="center" wrapText="1" indent="1"/>
    </xf>
    <xf numFmtId="4" fontId="6" fillId="15" borderId="26" xfId="0" applyNumberFormat="1" applyFont="1" applyFill="1" applyBorder="1" applyAlignment="1" applyProtection="1">
      <alignment horizontal="right" vertical="center" wrapText="1"/>
      <protection locked="0"/>
    </xf>
    <xf numFmtId="4" fontId="6" fillId="0" borderId="26" xfId="0" applyNumberFormat="1" applyFont="1" applyBorder="1" applyAlignment="1">
      <alignment horizontal="center" vertical="center" wrapText="1"/>
    </xf>
    <xf numFmtId="49" fontId="6" fillId="0" borderId="27" xfId="0" applyNumberFormat="1" applyFont="1" applyBorder="1" applyAlignment="1">
      <alignment horizontal="center" vertical="center" wrapText="1"/>
    </xf>
    <xf numFmtId="4" fontId="6" fillId="15" borderId="7" xfId="0" applyNumberFormat="1" applyFont="1" applyFill="1" applyBorder="1" applyAlignment="1" applyProtection="1">
      <alignment horizontal="right" vertical="center" wrapText="1"/>
      <protection locked="0"/>
    </xf>
    <xf numFmtId="4" fontId="6" fillId="15" borderId="27" xfId="0" applyNumberFormat="1" applyFont="1" applyFill="1" applyBorder="1" applyAlignment="1" applyProtection="1">
      <alignment horizontal="right" vertical="center" wrapText="1"/>
      <protection locked="0"/>
    </xf>
    <xf numFmtId="0" fontId="36" fillId="0" borderId="0" xfId="0" applyNumberFormat="1" applyFont="1" applyAlignment="1">
      <alignment horizontal="left" vertical="center" wrapText="1"/>
    </xf>
    <xf numFmtId="0" fontId="37" fillId="0" borderId="0" xfId="0" applyNumberFormat="1" applyFont="1" applyAlignment="1">
      <alignment horizontal="left" vertical="center" wrapText="1"/>
    </xf>
    <xf numFmtId="0" fontId="41"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49" fontId="6" fillId="0" borderId="0" xfId="0" applyNumberFormat="1" applyFont="1" applyAlignment="1">
      <alignment horizontal="center" vertical="center" wrapText="1"/>
    </xf>
    <xf numFmtId="0" fontId="71" fillId="0" borderId="0" xfId="0" applyNumberFormat="1" applyFont="1" applyAlignment="1">
      <alignment vertical="center" wrapText="1"/>
    </xf>
    <xf numFmtId="0" fontId="37" fillId="0" borderId="0" xfId="0" applyNumberFormat="1" applyFont="1" applyAlignment="1">
      <alignment vertical="center" wrapText="1"/>
    </xf>
    <xf numFmtId="0" fontId="41" fillId="0" borderId="0" xfId="0" applyNumberFormat="1" applyFont="1" applyAlignment="1">
      <alignment vertical="center" wrapText="1"/>
    </xf>
    <xf numFmtId="0" fontId="22" fillId="0" borderId="0" xfId="0" applyNumberFormat="1" applyFont="1" applyAlignment="1">
      <alignment vertical="center" wrapText="1"/>
    </xf>
    <xf numFmtId="49" fontId="18" fillId="0" borderId="0" xfId="0" applyNumberFormat="1" applyFont="1" applyAlignment="1">
      <alignment horizontal="center" vertical="center"/>
    </xf>
    <xf numFmtId="4" fontId="6" fillId="0" borderId="28" xfId="0" applyNumberFormat="1" applyFont="1" applyBorder="1" applyAlignment="1">
      <alignment horizontal="center" vertical="center" wrapText="1"/>
    </xf>
    <xf numFmtId="4" fontId="6" fillId="15" borderId="28" xfId="0" applyNumberFormat="1" applyFont="1" applyFill="1" applyBorder="1" applyAlignment="1" applyProtection="1">
      <alignment horizontal="right" vertical="center" wrapText="1"/>
      <protection locked="0"/>
    </xf>
    <xf numFmtId="4" fontId="6" fillId="15" borderId="16" xfId="0" applyNumberFormat="1" applyFont="1" applyFill="1" applyBorder="1" applyAlignment="1" applyProtection="1">
      <alignment horizontal="right" vertical="center" wrapText="1"/>
      <protection locked="0"/>
    </xf>
    <xf numFmtId="49" fontId="6" fillId="0" borderId="26" xfId="0" applyNumberFormat="1" applyFont="1" applyBorder="1" applyAlignment="1">
      <alignment horizontal="center" vertical="center" wrapText="1"/>
    </xf>
    <xf numFmtId="0" fontId="6" fillId="0" borderId="28" xfId="0" applyNumberFormat="1" applyFont="1" applyBorder="1" applyAlignment="1">
      <alignment horizontal="left" vertical="center" wrapText="1"/>
    </xf>
    <xf numFmtId="0" fontId="6" fillId="0" borderId="13" xfId="0" applyNumberFormat="1" applyFont="1" applyBorder="1" applyAlignment="1">
      <alignment vertical="center" wrapText="1"/>
    </xf>
    <xf numFmtId="0" fontId="27" fillId="0" borderId="0" xfId="0" applyNumberFormat="1" applyFont="1" applyAlignment="1">
      <alignment horizontal="center" vertical="center" wrapText="1"/>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69" fontId="6" fillId="11" borderId="5" xfId="0" applyNumberFormat="1" applyFont="1" applyFill="1" applyBorder="1" applyAlignment="1">
      <alignment horizontal="right" vertical="center" wrapText="1"/>
    </xf>
    <xf numFmtId="4" fontId="6" fillId="12" borderId="5" xfId="0" applyNumberFormat="1" applyFont="1" applyFill="1" applyBorder="1" applyAlignment="1" applyProtection="1">
      <alignment horizontal="right" vertical="center" wrapText="1"/>
      <protection locked="0"/>
    </xf>
    <xf numFmtId="0" fontId="60" fillId="10" borderId="0" xfId="0" applyNumberFormat="1" applyFont="1" applyFill="1" applyAlignment="1">
      <alignment horizontal="right" vertical="center"/>
    </xf>
    <xf numFmtId="49" fontId="0" fillId="0" borderId="5" xfId="0" applyNumberFormat="1" applyFont="1" applyBorder="1">
      <alignment vertical="top"/>
    </xf>
    <xf numFmtId="0" fontId="6" fillId="0" borderId="7" xfId="0" applyNumberFormat="1" applyFont="1" applyBorder="1" applyAlignment="1">
      <alignment horizontal="center" vertical="center" wrapText="1"/>
    </xf>
    <xf numFmtId="49" fontId="0" fillId="4" borderId="5" xfId="0" applyNumberFormat="1" applyFont="1" applyFill="1" applyBorder="1">
      <alignment vertical="top"/>
    </xf>
    <xf numFmtId="49" fontId="0" fillId="4" borderId="10" xfId="0" applyNumberFormat="1" applyFont="1" applyFill="1" applyBorder="1">
      <alignment vertical="top"/>
    </xf>
    <xf numFmtId="49" fontId="0" fillId="18" borderId="10" xfId="0" applyNumberFormat="1" applyFont="1" applyFill="1" applyBorder="1">
      <alignment vertical="top"/>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0" fillId="0" borderId="7" xfId="0" applyNumberFormat="1" applyFont="1" applyBorder="1">
      <alignment vertical="top"/>
    </xf>
    <xf numFmtId="49" fontId="0" fillId="0" borderId="7" xfId="0" applyNumberFormat="1" applyFont="1" applyBorder="1" applyAlignment="1">
      <alignment horizontal="center" vertical="top"/>
    </xf>
    <xf numFmtId="49" fontId="0" fillId="0" borderId="8" xfId="0" applyNumberFormat="1" applyFont="1" applyBorder="1" applyAlignment="1">
      <alignment horizontal="center" vertical="top"/>
    </xf>
    <xf numFmtId="49" fontId="0" fillId="3" borderId="5" xfId="0" applyNumberFormat="1" applyFont="1" applyFill="1" applyBorder="1">
      <alignment vertical="top"/>
    </xf>
    <xf numFmtId="49" fontId="0" fillId="19" borderId="5" xfId="0" applyNumberFormat="1" applyFont="1" applyFill="1" applyBorder="1">
      <alignment vertical="top"/>
    </xf>
    <xf numFmtId="49" fontId="0" fillId="2" borderId="5" xfId="0" applyNumberFormat="1" applyFont="1" applyFill="1" applyBorder="1">
      <alignment vertical="top"/>
    </xf>
    <xf numFmtId="49" fontId="0" fillId="0" borderId="0" xfId="0" applyNumberFormat="1" applyFont="1">
      <alignment vertical="top"/>
    </xf>
    <xf numFmtId="0" fontId="6" fillId="0" borderId="0" xfId="0" applyNumberFormat="1" applyFont="1" applyAlignment="1">
      <alignment horizontal="center" vertical="center" wrapText="1"/>
    </xf>
    <xf numFmtId="0" fontId="18" fillId="10" borderId="0" xfId="0" applyNumberFormat="1" applyFont="1" applyFill="1" applyAlignment="1">
      <alignment vertical="center" wrapText="1"/>
    </xf>
    <xf numFmtId="0" fontId="16" fillId="0" borderId="0" xfId="0" applyNumberFormat="1" applyFont="1" applyAlignment="1">
      <alignment horizontal="left" vertical="center" indent="1"/>
    </xf>
    <xf numFmtId="0" fontId="0" fillId="10" borderId="0" xfId="0" applyNumberFormat="1" applyFont="1" applyFill="1" applyAlignment="1">
      <alignment horizontal="right" vertical="center" wrapText="1" indent="1"/>
    </xf>
    <xf numFmtId="0" fontId="0" fillId="10" borderId="0" xfId="0" applyNumberFormat="1" applyFont="1" applyFill="1" applyAlignment="1">
      <alignment horizontal="left" vertical="center" wrapText="1" indent="1"/>
    </xf>
    <xf numFmtId="14" fontId="6" fillId="10" borderId="0" xfId="0" applyNumberFormat="1" applyFont="1" applyFill="1" applyAlignment="1">
      <alignment horizontal="center" vertical="center" wrapText="1"/>
    </xf>
    <xf numFmtId="168" fontId="6" fillId="0" borderId="7" xfId="0" applyNumberFormat="1" applyFont="1" applyBorder="1" applyAlignment="1">
      <alignment horizontal="center" vertical="center" wrapText="1"/>
    </xf>
    <xf numFmtId="49" fontId="26" fillId="0" borderId="8"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16" xfId="0" applyNumberFormat="1" applyFont="1" applyBorder="1" applyAlignment="1">
      <alignment horizontal="center" vertical="center" wrapText="1"/>
    </xf>
    <xf numFmtId="49" fontId="0" fillId="20" borderId="5" xfId="0" applyNumberFormat="1" applyFont="1" applyFill="1" applyBorder="1">
      <alignment vertical="top"/>
    </xf>
    <xf numFmtId="0" fontId="27"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0" fontId="78" fillId="0" borderId="0" xfId="0" applyNumberFormat="1" applyFont="1" applyAlignment="1">
      <alignment horizontal="left" vertical="center" wrapText="1"/>
    </xf>
    <xf numFmtId="14" fontId="78" fillId="10" borderId="0" xfId="0" applyNumberFormat="1" applyFont="1" applyFill="1" applyAlignment="1">
      <alignment horizontal="left" vertical="center" wrapText="1"/>
    </xf>
    <xf numFmtId="14" fontId="79"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14" fontId="80" fillId="0" borderId="5" xfId="0" applyNumberFormat="1" applyFont="1" applyBorder="1" applyAlignment="1">
      <alignment horizontal="left" vertical="center" wrapText="1"/>
    </xf>
    <xf numFmtId="0" fontId="37" fillId="0" borderId="0" xfId="0" applyNumberFormat="1" applyFont="1" applyAlignment="1">
      <alignment vertical="center"/>
    </xf>
    <xf numFmtId="49" fontId="6" fillId="13" borderId="12" xfId="0" applyNumberFormat="1" applyFont="1" applyFill="1" applyBorder="1" applyAlignment="1">
      <alignment horizontal="center" vertical="center" wrapText="1"/>
    </xf>
    <xf numFmtId="49" fontId="6" fillId="11" borderId="16" xfId="0" applyNumberFormat="1" applyFont="1" applyFill="1" applyBorder="1" applyAlignment="1">
      <alignment horizontal="center" vertical="center" wrapText="1"/>
    </xf>
    <xf numFmtId="49" fontId="36" fillId="0" borderId="5" xfId="0" applyNumberFormat="1" applyFont="1" applyBorder="1" applyAlignment="1">
      <alignment horizontal="left" vertical="center" wrapText="1"/>
    </xf>
    <xf numFmtId="14" fontId="6" fillId="16" borderId="16" xfId="0" applyNumberFormat="1" applyFont="1" applyFill="1" applyBorder="1" applyAlignment="1">
      <alignment horizontal="left" vertical="center" wrapText="1" indent="1"/>
    </xf>
    <xf numFmtId="49" fontId="6" fillId="13" borderId="7" xfId="0" applyNumberFormat="1" applyFont="1" applyFill="1" applyBorder="1" applyAlignment="1">
      <alignment horizontal="right" vertical="center" wrapText="1"/>
    </xf>
    <xf numFmtId="0" fontId="37" fillId="0" borderId="16" xfId="0" applyNumberFormat="1" applyFont="1" applyBorder="1" applyAlignment="1">
      <alignment horizontal="center" vertical="center" wrapText="1"/>
    </xf>
    <xf numFmtId="49" fontId="6" fillId="0" borderId="6" xfId="0" applyNumberFormat="1" applyFont="1" applyBorder="1" applyAlignment="1">
      <alignment horizontal="center" vertical="top"/>
    </xf>
    <xf numFmtId="49" fontId="6" fillId="0" borderId="5" xfId="0" applyNumberFormat="1" applyFont="1" applyBorder="1" applyAlignment="1">
      <alignment horizontal="center" vertical="top"/>
    </xf>
    <xf numFmtId="0" fontId="6" fillId="0" borderId="16" xfId="0" applyNumberFormat="1" applyFont="1" applyBorder="1" applyAlignment="1">
      <alignment horizontal="center" vertical="center" wrapText="1"/>
    </xf>
    <xf numFmtId="49" fontId="6" fillId="0" borderId="7" xfId="0" applyNumberFormat="1" applyFont="1" applyBorder="1" applyAlignment="1">
      <alignment horizontal="center" vertical="top"/>
    </xf>
    <xf numFmtId="0" fontId="26" fillId="0" borderId="17" xfId="0" applyNumberFormat="1" applyFont="1" applyBorder="1" applyAlignment="1">
      <alignment vertical="top" wrapText="1"/>
    </xf>
    <xf numFmtId="0" fontId="26" fillId="0" borderId="0" xfId="0" applyNumberFormat="1" applyFont="1" applyAlignment="1">
      <alignment vertical="top" wrapText="1"/>
    </xf>
    <xf numFmtId="0" fontId="37" fillId="0" borderId="5"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49" fontId="62" fillId="15" borderId="5" xfId="0" applyNumberFormat="1" applyFont="1" applyFill="1" applyBorder="1" applyAlignment="1" applyProtection="1">
      <alignment horizontal="left" vertical="center" wrapText="1" indent="1"/>
      <protection locked="0"/>
    </xf>
    <xf numFmtId="0" fontId="36" fillId="0" borderId="15" xfId="0" applyNumberFormat="1" applyFont="1" applyBorder="1" applyAlignment="1">
      <alignment vertical="center"/>
    </xf>
    <xf numFmtId="0" fontId="6" fillId="0" borderId="6"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indent="1"/>
    </xf>
    <xf numFmtId="3" fontId="6" fillId="12" borderId="7" xfId="0" applyNumberFormat="1" applyFont="1" applyFill="1" applyBorder="1" applyAlignment="1" applyProtection="1">
      <alignment horizontal="right" vertical="center" wrapText="1"/>
      <protection locked="0"/>
    </xf>
    <xf numFmtId="49" fontId="16" fillId="12" borderId="5" xfId="0" applyNumberFormat="1" applyFont="1" applyFill="1" applyBorder="1" applyAlignment="1" applyProtection="1">
      <alignment horizontal="left" vertical="center" wrapText="1"/>
      <protection locked="0"/>
    </xf>
    <xf numFmtId="0" fontId="16"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27" fillId="10" borderId="0" xfId="0" applyNumberFormat="1" applyFont="1" applyFill="1" applyAlignment="1">
      <alignment horizontal="center" vertical="center" wrapText="1"/>
    </xf>
    <xf numFmtId="0" fontId="6" fillId="10" borderId="5" xfId="0" applyNumberFormat="1" applyFont="1" applyFill="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49" fontId="26" fillId="10" borderId="8" xfId="0" applyNumberFormat="1" applyFont="1" applyFill="1" applyBorder="1" applyAlignment="1">
      <alignment horizontal="center" vertical="center" wrapText="1"/>
    </xf>
    <xf numFmtId="0" fontId="6" fillId="0" borderId="0" xfId="0" applyNumberFormat="1" applyFont="1" applyAlignment="1">
      <alignment horizontal="left" vertical="center" wrapText="1" indent="1"/>
    </xf>
    <xf numFmtId="0" fontId="68" fillId="0" borderId="10" xfId="0" applyNumberFormat="1" applyFont="1" applyBorder="1" applyAlignment="1">
      <alignment horizontal="center" vertical="center" wrapText="1"/>
    </xf>
    <xf numFmtId="49" fontId="36" fillId="0" borderId="0" xfId="0" applyNumberFormat="1" applyFont="1">
      <alignment vertical="top"/>
    </xf>
    <xf numFmtId="0" fontId="81" fillId="0" borderId="0" xfId="0" applyNumberFormat="1" applyFont="1" applyAlignment="1">
      <alignment vertical="center" wrapText="1"/>
    </xf>
    <xf numFmtId="0" fontId="0" fillId="0" borderId="0" xfId="0" applyNumberFormat="1" applyFont="1">
      <alignment vertical="top"/>
    </xf>
    <xf numFmtId="49" fontId="0" fillId="0" borderId="5" xfId="0" applyNumberFormat="1" applyFont="1" applyBorder="1">
      <alignment vertical="top"/>
    </xf>
    <xf numFmtId="49" fontId="6" fillId="0" borderId="0" xfId="0" applyNumberFormat="1" applyFont="1">
      <alignment vertical="top"/>
    </xf>
    <xf numFmtId="0" fontId="6" fillId="0" borderId="5" xfId="0" applyNumberFormat="1" applyFont="1" applyBorder="1" applyAlignment="1">
      <alignment horizontal="left" vertical="top" wrapText="1"/>
    </xf>
    <xf numFmtId="49" fontId="78" fillId="7" borderId="5" xfId="0" applyNumberFormat="1" applyFont="1" applyFill="1" applyBorder="1" applyAlignment="1">
      <alignment horizontal="center" vertical="top" wrapText="1"/>
    </xf>
    <xf numFmtId="49" fontId="82" fillId="0" borderId="5" xfId="0" applyNumberFormat="1" applyFont="1" applyBorder="1" applyAlignment="1">
      <alignment horizontal="left" vertical="top" wrapText="1"/>
    </xf>
    <xf numFmtId="0" fontId="82" fillId="0" borderId="5" xfId="0" applyNumberFormat="1" applyFont="1" applyBorder="1" applyAlignment="1">
      <alignment horizontal="left" vertical="top" wrapText="1"/>
    </xf>
    <xf numFmtId="0" fontId="82" fillId="7" borderId="5" xfId="0" applyNumberFormat="1" applyFont="1" applyFill="1" applyBorder="1" applyAlignment="1">
      <alignment horizontal="right" vertical="center" wrapText="1"/>
    </xf>
    <xf numFmtId="49" fontId="82" fillId="0" borderId="5" xfId="0" applyNumberFormat="1" applyFont="1" applyBorder="1" applyAlignment="1">
      <alignment vertical="top" wrapText="1"/>
    </xf>
    <xf numFmtId="0" fontId="82" fillId="0" borderId="10" xfId="0" applyNumberFormat="1" applyFont="1" applyBorder="1" applyAlignment="1">
      <alignment horizontal="left" vertical="top" wrapText="1"/>
    </xf>
    <xf numFmtId="0" fontId="82" fillId="0" borderId="6" xfId="0" applyNumberFormat="1" applyFont="1" applyBorder="1" applyAlignment="1">
      <alignment horizontal="left" vertical="top" wrapText="1"/>
    </xf>
    <xf numFmtId="0" fontId="82" fillId="0" borderId="5" xfId="0" applyNumberFormat="1" applyFont="1" applyBorder="1" applyAlignment="1">
      <alignment vertical="top" wrapText="1"/>
    </xf>
    <xf numFmtId="0" fontId="78" fillId="7" borderId="5" xfId="0" applyNumberFormat="1" applyFont="1" applyFill="1" applyBorder="1" applyAlignment="1">
      <alignment horizontal="center" vertical="top" wrapText="1"/>
    </xf>
    <xf numFmtId="0" fontId="77" fillId="0" borderId="0" xfId="0" applyNumberFormat="1" applyFont="1" applyAlignment="1">
      <alignment vertical="center" wrapText="1"/>
    </xf>
    <xf numFmtId="0" fontId="5" fillId="0" borderId="0" xfId="0" applyNumberFormat="1" applyFont="1" applyAlignment="1">
      <alignment horizontal="left" vertical="center" wrapText="1" indent="3"/>
    </xf>
    <xf numFmtId="3" fontId="0" fillId="0" borderId="6" xfId="0" applyNumberFormat="1" applyFont="1" applyBorder="1" applyAlignment="1">
      <alignment horizontal="right" vertical="center" wrapText="1"/>
    </xf>
    <xf numFmtId="0" fontId="6" fillId="16" borderId="7" xfId="0" applyNumberFormat="1" applyFont="1" applyFill="1" applyBorder="1" applyAlignment="1">
      <alignment horizontal="left" vertical="center" wrapText="1"/>
    </xf>
    <xf numFmtId="49" fontId="26" fillId="10" borderId="5" xfId="0" applyNumberFormat="1" applyFont="1" applyFill="1" applyBorder="1" applyAlignment="1">
      <alignment horizontal="center" vertical="center" wrapText="1"/>
    </xf>
    <xf numFmtId="49" fontId="60" fillId="13" borderId="6" xfId="0" applyNumberFormat="1" applyFont="1" applyFill="1" applyBorder="1" applyAlignment="1">
      <alignment vertical="center"/>
    </xf>
    <xf numFmtId="49" fontId="6" fillId="10" borderId="0" xfId="0" applyNumberFormat="1" applyFont="1" applyFill="1" applyAlignment="1">
      <alignment horizontal="center" vertical="center" wrapText="1"/>
    </xf>
    <xf numFmtId="0" fontId="6" fillId="10" borderId="0" xfId="0" applyNumberFormat="1" applyFont="1" applyFill="1" applyAlignment="1">
      <alignment horizontal="center" vertical="top" wrapText="1"/>
    </xf>
    <xf numFmtId="49" fontId="0" fillId="15" borderId="5" xfId="0" applyNumberFormat="1" applyFont="1" applyFill="1" applyBorder="1" applyAlignment="1" applyProtection="1">
      <alignment horizontal="left" vertical="center" wrapText="1" indent="1"/>
      <protection locked="0"/>
    </xf>
    <xf numFmtId="49" fontId="6" fillId="15" borderId="7" xfId="0" applyNumberFormat="1" applyFont="1" applyFill="1" applyBorder="1" applyAlignment="1" applyProtection="1">
      <alignment horizontal="left" vertical="center" wrapText="1"/>
      <protection locked="0"/>
    </xf>
    <xf numFmtId="49" fontId="6" fillId="15" borderId="5" xfId="0" quotePrefix="1" applyNumberFormat="1" applyFont="1" applyFill="1" applyBorder="1" applyAlignment="1" applyProtection="1">
      <alignment horizontal="left" vertical="center" wrapText="1"/>
      <protection locked="0"/>
    </xf>
    <xf numFmtId="14" fontId="6" fillId="16" borderId="16" xfId="0" applyNumberFormat="1" applyFont="1" applyFill="1" applyBorder="1" applyAlignment="1">
      <alignment horizontal="left" vertical="center" wrapText="1"/>
    </xf>
    <xf numFmtId="0" fontId="37" fillId="10" borderId="16" xfId="0" applyNumberFormat="1" applyFont="1" applyFill="1" applyBorder="1" applyAlignment="1">
      <alignment horizontal="center" vertical="center" wrapText="1"/>
    </xf>
    <xf numFmtId="0" fontId="27" fillId="10" borderId="17" xfId="0" applyNumberFormat="1" applyFont="1" applyFill="1" applyBorder="1" applyAlignment="1">
      <alignment vertical="top" wrapText="1"/>
    </xf>
    <xf numFmtId="0" fontId="27" fillId="10" borderId="0" xfId="0" applyNumberFormat="1" applyFont="1" applyFill="1" applyAlignment="1">
      <alignment vertical="top" wrapText="1"/>
    </xf>
    <xf numFmtId="14" fontId="6" fillId="16" borderId="22"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wrapText="1"/>
    </xf>
    <xf numFmtId="0" fontId="30" fillId="13" borderId="8" xfId="0" applyNumberFormat="1" applyFont="1" applyFill="1" applyBorder="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wrapText="1"/>
    </xf>
    <xf numFmtId="49" fontId="36" fillId="0" borderId="0" xfId="0" applyNumberFormat="1" applyFont="1" applyAlignment="1">
      <alignment vertical="center" wrapText="1"/>
    </xf>
    <xf numFmtId="49" fontId="36" fillId="0" borderId="0" xfId="0" applyNumberFormat="1" applyFont="1">
      <alignment vertical="top"/>
    </xf>
    <xf numFmtId="0" fontId="75" fillId="0" borderId="0" xfId="0" applyNumberFormat="1" applyFont="1" applyAlignment="1">
      <alignment vertical="center" wrapText="1"/>
    </xf>
    <xf numFmtId="0" fontId="83" fillId="0" borderId="0" xfId="0" applyNumberFormat="1" applyFont="1" applyAlignment="1">
      <alignment vertical="center" wrapText="1"/>
    </xf>
    <xf numFmtId="0" fontId="36" fillId="0" borderId="0" xfId="0" applyNumberFormat="1" applyFont="1" applyAlignment="1">
      <alignment vertical="center" wrapText="1"/>
    </xf>
    <xf numFmtId="0" fontId="75" fillId="0" borderId="0" xfId="0" applyNumberFormat="1" applyFont="1" applyAlignment="1">
      <alignment horizontal="center" vertical="center" wrapText="1"/>
    </xf>
    <xf numFmtId="0" fontId="36" fillId="0" borderId="0" xfId="0" applyNumberFormat="1" applyFont="1" applyAlignment="1">
      <alignment vertical="center" wrapText="1"/>
    </xf>
    <xf numFmtId="14" fontId="6" fillId="10" borderId="0" xfId="0" applyNumberFormat="1" applyFont="1" applyFill="1" applyAlignment="1">
      <alignment horizontal="left" vertical="center" wrapText="1"/>
    </xf>
    <xf numFmtId="49" fontId="0" fillId="3" borderId="7" xfId="0" applyNumberFormat="1" applyFont="1" applyFill="1" applyBorder="1">
      <alignment vertical="top"/>
    </xf>
    <xf numFmtId="49" fontId="0" fillId="0" borderId="5" xfId="0" applyNumberFormat="1" applyFont="1" applyBorder="1" applyAlignment="1">
      <alignment horizontal="left" vertical="center" wrapText="1"/>
    </xf>
    <xf numFmtId="49" fontId="6" fillId="0" borderId="0" xfId="0" applyNumberFormat="1" applyFont="1" applyAlignment="1">
      <alignment vertical="center" wrapTex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0" fontId="0" fillId="10" borderId="5" xfId="0" applyNumberFormat="1" applyFont="1" applyFill="1" applyBorder="1" applyAlignment="1">
      <alignment horizontal="center" vertical="center" wrapText="1"/>
    </xf>
    <xf numFmtId="0" fontId="0" fillId="15" borderId="7" xfId="0" applyNumberFormat="1" applyFont="1" applyFill="1" applyBorder="1" applyAlignment="1" applyProtection="1">
      <alignment horizontal="left" vertical="center" wrapText="1" indent="2"/>
      <protection locked="0"/>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84" fillId="10" borderId="0" xfId="0" applyNumberFormat="1" applyFont="1" applyFill="1" applyAlignment="1">
      <alignment horizontal="right" vertical="center"/>
    </xf>
    <xf numFmtId="49" fontId="82" fillId="0" borderId="6" xfId="0" applyNumberFormat="1" applyFont="1" applyBorder="1" applyAlignment="1">
      <alignment horizontal="left" vertical="top" wrapText="1"/>
    </xf>
    <xf numFmtId="49" fontId="82" fillId="0" borderId="7" xfId="0" applyNumberFormat="1" applyFont="1" applyBorder="1" applyAlignment="1">
      <alignment horizontal="left" vertical="top" wrapText="1"/>
    </xf>
    <xf numFmtId="0" fontId="82" fillId="0" borderId="10" xfId="0" applyNumberFormat="1" applyFont="1" applyBorder="1" applyAlignment="1">
      <alignment vertical="top" wrapText="1"/>
    </xf>
    <xf numFmtId="0" fontId="82" fillId="0" borderId="29" xfId="0" applyNumberFormat="1" applyFont="1" applyBorder="1" applyAlignment="1">
      <alignment horizontal="left" vertical="top" wrapText="1"/>
    </xf>
    <xf numFmtId="49" fontId="82" fillId="0" borderId="23" xfId="0" applyNumberFormat="1" applyFont="1" applyBorder="1" applyAlignment="1">
      <alignment horizontal="left" vertical="top"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30" fillId="13" borderId="7" xfId="0" applyNumberFormat="1" applyFont="1" applyFill="1" applyBorder="1" applyAlignment="1">
      <alignment horizontal="left" vertical="center" indent="1"/>
    </xf>
    <xf numFmtId="0" fontId="0" fillId="10" borderId="10"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49" fontId="85" fillId="0" borderId="0" xfId="0" applyNumberFormat="1" applyFont="1" applyAlignment="1">
      <alignment horizontal="center" vertical="center" wrapText="1"/>
    </xf>
    <xf numFmtId="0" fontId="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0" fontId="6" fillId="0" borderId="31" xfId="0" applyNumberFormat="1" applyFont="1" applyBorder="1" applyAlignment="1">
      <alignment vertical="center" wrapText="1"/>
    </xf>
    <xf numFmtId="0" fontId="3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49" fontId="6" fillId="0" borderId="0" xfId="0" applyNumberFormat="1" applyFont="1">
      <alignment vertical="top"/>
    </xf>
    <xf numFmtId="0" fontId="6" fillId="0" borderId="0" xfId="0" applyNumberFormat="1" applyFont="1" applyAlignment="1">
      <alignment vertical="center"/>
    </xf>
    <xf numFmtId="0" fontId="0" fillId="10" borderId="10" xfId="0" applyNumberFormat="1" applyFont="1" applyFill="1" applyBorder="1" applyAlignment="1">
      <alignment horizontal="center" vertical="center" wrapText="1"/>
    </xf>
    <xf numFmtId="0" fontId="0" fillId="10" borderId="30" xfId="0" applyNumberFormat="1" applyFont="1" applyFill="1" applyBorder="1" applyAlignment="1">
      <alignment horizontal="center" vertical="center" wrapText="1"/>
    </xf>
    <xf numFmtId="0" fontId="6" fillId="13" borderId="22" xfId="0" applyNumberFormat="1" applyFont="1" applyFill="1" applyBorder="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49" fontId="86"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xf>
    <xf numFmtId="49" fontId="86" fillId="0" borderId="0" xfId="0" applyNumberFormat="1" applyFont="1" applyAlignment="1">
      <alignment vertical="center" wrapText="1"/>
    </xf>
    <xf numFmtId="49" fontId="35" fillId="0" borderId="0" xfId="0" applyNumberFormat="1" applyFont="1" applyAlignment="1">
      <alignment vertical="center" wrapText="1"/>
    </xf>
    <xf numFmtId="49" fontId="35" fillId="0" borderId="0" xfId="0" applyNumberFormat="1" applyFont="1">
      <alignment vertical="top"/>
    </xf>
    <xf numFmtId="49" fontId="35" fillId="0" borderId="0" xfId="0" applyNumberFormat="1" applyFont="1" applyAlignment="1">
      <alignment vertical="center" wrapText="1"/>
    </xf>
    <xf numFmtId="49" fontId="8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86"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49" fontId="35" fillId="10" borderId="0" xfId="0" applyNumberFormat="1" applyFont="1" applyFill="1" applyAlignment="1">
      <alignment vertical="center" wrapText="1"/>
    </xf>
    <xf numFmtId="49" fontId="35" fillId="0" borderId="0" xfId="0" applyNumberFormat="1" applyFont="1">
      <alignment vertical="top"/>
    </xf>
    <xf numFmtId="49" fontId="35" fillId="10" borderId="0" xfId="0" applyNumberFormat="1" applyFont="1" applyFill="1" applyAlignment="1">
      <alignment vertical="center"/>
    </xf>
    <xf numFmtId="49" fontId="86" fillId="0" borderId="0" xfId="0" applyNumberFormat="1" applyFont="1" applyAlignment="1">
      <alignment vertical="center"/>
    </xf>
    <xf numFmtId="49" fontId="35" fillId="0" borderId="0" xfId="0" applyNumberFormat="1" applyFont="1">
      <alignment vertical="top"/>
    </xf>
    <xf numFmtId="4" fontId="35" fillId="10" borderId="0" xfId="0" applyNumberFormat="1" applyFont="1" applyFill="1" applyAlignment="1">
      <alignment vertical="center"/>
    </xf>
    <xf numFmtId="3" fontId="35" fillId="12" borderId="5" xfId="0" applyNumberFormat="1" applyFont="1" applyFill="1" applyBorder="1" applyAlignment="1" applyProtection="1">
      <alignment horizontal="right" vertical="center"/>
      <protection locked="0"/>
    </xf>
    <xf numFmtId="49" fontId="22" fillId="0" borderId="0" xfId="0" applyNumberFormat="1" applyFont="1" applyAlignment="1">
      <alignment horizontal="center" vertical="center" wrapText="1"/>
    </xf>
    <xf numFmtId="49" fontId="6" fillId="10" borderId="0" xfId="0" applyNumberFormat="1" applyFont="1" applyFill="1" applyAlignment="1">
      <alignment horizontal="center" vertical="center" wrapText="1"/>
    </xf>
    <xf numFmtId="49" fontId="37" fillId="0" borderId="6" xfId="0" applyNumberFormat="1" applyFont="1" applyBorder="1" applyAlignment="1">
      <alignment horizontal="left" vertical="center" indent="1"/>
    </xf>
    <xf numFmtId="0" fontId="6" fillId="0" borderId="17" xfId="0" applyNumberFormat="1" applyFont="1" applyBorder="1" applyAlignment="1">
      <alignment vertical="top" wrapText="1"/>
    </xf>
    <xf numFmtId="0" fontId="6" fillId="0" borderId="7"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6" fillId="0" borderId="5" xfId="0" applyNumberFormat="1" applyFont="1" applyBorder="1" applyAlignment="1">
      <alignment horizontal="left" vertical="center" wrapText="1" indent="1"/>
    </xf>
    <xf numFmtId="49" fontId="6" fillId="15" borderId="5"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78" fillId="0" borderId="5" xfId="0" applyNumberFormat="1" applyFont="1" applyBorder="1" applyAlignment="1">
      <alignment horizontal="center" vertical="center" wrapText="1"/>
    </xf>
    <xf numFmtId="0" fontId="78" fillId="0" borderId="5" xfId="0" applyNumberFormat="1" applyFont="1" applyBorder="1" applyAlignment="1">
      <alignment horizontal="center" vertical="center" wrapText="1"/>
    </xf>
    <xf numFmtId="49" fontId="78" fillId="0" borderId="10" xfId="0" applyNumberFormat="1" applyFont="1" applyBorder="1" applyAlignment="1">
      <alignment horizontal="center" vertical="center" wrapText="1"/>
    </xf>
    <xf numFmtId="49" fontId="78" fillId="0" borderId="16" xfId="0" applyNumberFormat="1" applyFont="1" applyBorder="1" applyAlignment="1">
      <alignment horizontal="center" vertical="center" wrapText="1"/>
    </xf>
    <xf numFmtId="0" fontId="78" fillId="0" borderId="10" xfId="0" applyNumberFormat="1" applyFont="1" applyBorder="1" applyAlignment="1">
      <alignment horizontal="center" vertical="center" wrapText="1"/>
    </xf>
    <xf numFmtId="49" fontId="82" fillId="0" borderId="15" xfId="0" applyNumberFormat="1" applyFont="1" applyBorder="1" applyAlignment="1">
      <alignment horizontal="center" vertical="top" wrapText="1"/>
    </xf>
    <xf numFmtId="49" fontId="82" fillId="0" borderId="29" xfId="0" applyNumberFormat="1" applyFont="1" applyBorder="1" applyAlignment="1">
      <alignment horizontal="left" vertical="top" wrapText="1"/>
    </xf>
    <xf numFmtId="0" fontId="78" fillId="0" borderId="5" xfId="0" applyNumberFormat="1" applyFont="1" applyBorder="1" applyAlignment="1">
      <alignment vertical="center" wrapText="1"/>
    </xf>
    <xf numFmtId="0" fontId="78" fillId="0" borderId="10" xfId="0" applyNumberFormat="1" applyFont="1" applyBorder="1" applyAlignment="1">
      <alignment vertical="center" wrapText="1"/>
    </xf>
    <xf numFmtId="0" fontId="78" fillId="0" borderId="16" xfId="0" applyNumberFormat="1" applyFont="1" applyBorder="1" applyAlignment="1">
      <alignment vertical="center" wrapText="1"/>
    </xf>
    <xf numFmtId="49" fontId="78" fillId="0" borderId="5" xfId="0" applyNumberFormat="1" applyFont="1" applyBorder="1" applyAlignment="1">
      <alignment horizontal="left" vertical="top" wrapText="1"/>
    </xf>
    <xf numFmtId="169" fontId="6" fillId="15" borderId="10"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0" fontId="59" fillId="0" borderId="0" xfId="0" applyNumberFormat="1" applyFont="1" applyAlignment="1">
      <alignment horizontal="center" vertical="center" wrapText="1"/>
    </xf>
    <xf numFmtId="4" fontId="6" fillId="15" borderId="6" xfId="0" applyNumberFormat="1" applyFont="1" applyFill="1" applyBorder="1" applyAlignment="1" applyProtection="1">
      <alignment horizontal="right" vertical="center" wrapText="1"/>
      <protection locked="0"/>
    </xf>
    <xf numFmtId="169" fontId="6" fillId="15" borderId="6" xfId="0" applyNumberFormat="1" applyFont="1" applyFill="1" applyBorder="1" applyAlignment="1" applyProtection="1">
      <alignment horizontal="right" vertical="center" wrapText="1"/>
      <protection locked="0"/>
    </xf>
    <xf numFmtId="169" fontId="6" fillId="11" borderId="6" xfId="0" applyNumberFormat="1" applyFont="1" applyFill="1" applyBorder="1" applyAlignment="1">
      <alignment horizontal="right" vertical="center" wrapText="1"/>
    </xf>
    <xf numFmtId="4" fontId="6" fillId="15" borderId="22" xfId="0" applyNumberFormat="1" applyFont="1" applyFill="1" applyBorder="1" applyAlignment="1" applyProtection="1">
      <alignment horizontal="right" vertical="center" wrapText="1"/>
      <protection locked="0"/>
    </xf>
    <xf numFmtId="49" fontId="78" fillId="7" borderId="5" xfId="0" applyNumberFormat="1" applyFont="1" applyFill="1" applyBorder="1" applyAlignment="1">
      <alignment horizontal="center" vertical="top"/>
    </xf>
    <xf numFmtId="49" fontId="78" fillId="0" borderId="5" xfId="0" applyNumberFormat="1" applyFont="1" applyBorder="1" applyAlignment="1">
      <alignment horizontal="center" vertical="top" wrapText="1"/>
    </xf>
    <xf numFmtId="49" fontId="78" fillId="0" borderId="5" xfId="0" applyNumberFormat="1" applyFont="1" applyBorder="1" applyAlignment="1">
      <alignment vertical="top" wrapText="1"/>
    </xf>
    <xf numFmtId="0" fontId="78" fillId="0" borderId="5" xfId="0" applyNumberFormat="1" applyFont="1" applyBorder="1" applyAlignment="1">
      <alignment vertical="top" wrapText="1"/>
    </xf>
    <xf numFmtId="49" fontId="78" fillId="0" borderId="5" xfId="0" applyNumberFormat="1" applyFont="1" applyBorder="1">
      <alignment vertical="top"/>
    </xf>
    <xf numFmtId="49" fontId="82" fillId="0" borderId="5" xfId="0" applyNumberFormat="1" applyFont="1" applyBorder="1">
      <alignment vertical="top"/>
    </xf>
    <xf numFmtId="49" fontId="78" fillId="0" borderId="0" xfId="0" applyNumberFormat="1" applyFont="1" applyAlignment="1">
      <alignment horizontal="center" vertical="center" wrapText="1"/>
    </xf>
    <xf numFmtId="49" fontId="78" fillId="0" borderId="0" xfId="0" applyNumberFormat="1" applyFont="1" applyAlignment="1">
      <alignment horizontal="left" vertical="center" wrapText="1"/>
    </xf>
    <xf numFmtId="49" fontId="78" fillId="21" borderId="0" xfId="0" applyNumberFormat="1" applyFont="1" applyFill="1" applyAlignment="1">
      <alignment horizontal="center" vertical="center" wrapText="1"/>
    </xf>
    <xf numFmtId="0" fontId="78" fillId="0" borderId="0" xfId="0" applyNumberFormat="1" applyFont="1" applyAlignment="1">
      <alignment vertical="center" wrapText="1"/>
    </xf>
    <xf numFmtId="0" fontId="37" fillId="0" borderId="5" xfId="0" applyNumberFormat="1" applyFont="1" applyBorder="1" applyAlignment="1">
      <alignment horizontal="left" vertical="center" wrapText="1" indent="3"/>
    </xf>
    <xf numFmtId="49" fontId="37" fillId="0" borderId="5" xfId="0" applyNumberFormat="1" applyFont="1" applyBorder="1" applyAlignment="1">
      <alignment vertical="center" wrapText="1"/>
    </xf>
    <xf numFmtId="0" fontId="37" fillId="0" borderId="10" xfId="0" applyNumberFormat="1" applyFont="1" applyBorder="1" applyAlignment="1">
      <alignment vertical="top" wrapText="1"/>
    </xf>
    <xf numFmtId="0" fontId="37" fillId="0" borderId="29" xfId="0" applyNumberFormat="1" applyFont="1" applyBorder="1" applyAlignment="1">
      <alignment horizontal="left" vertical="center" wrapText="1" indent="1"/>
    </xf>
    <xf numFmtId="0" fontId="37" fillId="0" borderId="29" xfId="0" applyNumberFormat="1" applyFont="1" applyBorder="1" applyAlignment="1">
      <alignment horizontal="center" vertical="center" wrapText="1"/>
    </xf>
    <xf numFmtId="0" fontId="37" fillId="0" borderId="10" xfId="0" applyNumberFormat="1" applyFont="1" applyBorder="1" applyAlignment="1">
      <alignment vertical="center" wrapText="1"/>
    </xf>
    <xf numFmtId="0" fontId="37" fillId="0" borderId="16" xfId="0" applyNumberFormat="1" applyFont="1" applyBorder="1" applyAlignment="1">
      <alignment horizontal="left" vertical="center" wrapText="1" indent="1"/>
    </xf>
    <xf numFmtId="0" fontId="37" fillId="0" borderId="10" xfId="0" applyNumberFormat="1" applyFont="1" applyBorder="1" applyAlignment="1">
      <alignment horizontal="left" vertical="center" wrapText="1" indent="1"/>
    </xf>
    <xf numFmtId="49" fontId="82" fillId="7" borderId="5" xfId="0" applyNumberFormat="1" applyFont="1" applyFill="1" applyBorder="1" applyAlignment="1">
      <alignment horizontal="center" vertical="top" wrapText="1"/>
    </xf>
    <xf numFmtId="49" fontId="82" fillId="7" borderId="5" xfId="0" applyNumberFormat="1" applyFont="1" applyFill="1" applyBorder="1" applyAlignment="1">
      <alignment horizontal="left" vertical="top" wrapText="1"/>
    </xf>
    <xf numFmtId="0" fontId="78" fillId="0" borderId="7" xfId="0" applyNumberFormat="1" applyFont="1" applyBorder="1" applyAlignment="1">
      <alignment horizontal="center" vertical="center" wrapText="1"/>
    </xf>
    <xf numFmtId="0" fontId="6" fillId="0" borderId="16" xfId="0" applyNumberFormat="1" applyFont="1" applyBorder="1" applyAlignment="1">
      <alignment vertical="top" wrapText="1"/>
    </xf>
    <xf numFmtId="0" fontId="6" fillId="0" borderId="16" xfId="0" applyNumberFormat="1" applyFont="1" applyBorder="1" applyAlignment="1">
      <alignment vertical="top" wrapText="1"/>
    </xf>
    <xf numFmtId="0" fontId="78" fillId="0" borderId="7" xfId="0" applyNumberFormat="1" applyFont="1" applyBorder="1" applyAlignment="1">
      <alignment horizontal="center" vertical="center"/>
    </xf>
    <xf numFmtId="49" fontId="37" fillId="10" borderId="5" xfId="0" applyNumberFormat="1" applyFont="1" applyFill="1" applyBorder="1" applyAlignment="1">
      <alignment horizontal="center" vertical="center"/>
    </xf>
    <xf numFmtId="0" fontId="37" fillId="10" borderId="5" xfId="0" applyNumberFormat="1" applyFont="1" applyFill="1" applyBorder="1" applyAlignment="1">
      <alignment horizontal="left" vertical="center" wrapText="1" indent="1"/>
    </xf>
    <xf numFmtId="0" fontId="37" fillId="10" borderId="5" xfId="0" applyNumberFormat="1" applyFont="1" applyFill="1" applyBorder="1" applyAlignment="1">
      <alignment vertical="center" wrapText="1"/>
    </xf>
    <xf numFmtId="49" fontId="37" fillId="0" borderId="5" xfId="0" applyNumberFormat="1" applyFont="1" applyBorder="1" applyAlignment="1">
      <alignment horizontal="center" vertical="center"/>
    </xf>
    <xf numFmtId="0" fontId="37" fillId="0" borderId="5" xfId="0" applyNumberFormat="1" applyFont="1" applyBorder="1" applyAlignment="1">
      <alignment horizontal="left" vertical="center" wrapText="1" inden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0" fontId="37" fillId="0" borderId="5" xfId="0" applyNumberFormat="1" applyFont="1" applyBorder="1" applyAlignment="1">
      <alignment horizontal="center" vertical="center" wrapText="1"/>
    </xf>
    <xf numFmtId="0" fontId="37" fillId="10" borderId="5" xfId="0" applyNumberFormat="1" applyFont="1" applyFill="1" applyBorder="1" applyAlignment="1">
      <alignment horizontal="left" vertical="center" wrapText="1" indent="2"/>
    </xf>
    <xf numFmtId="49" fontId="37" fillId="0" borderId="5" xfId="0" applyNumberFormat="1" applyFont="1" applyBorder="1" applyAlignment="1">
      <alignment horizontal="left" vertical="center" wrapText="1"/>
    </xf>
    <xf numFmtId="49" fontId="37" fillId="0" borderId="5" xfId="0" applyNumberFormat="1" applyFont="1" applyBorder="1" applyAlignment="1">
      <alignment horizontal="left" vertical="center" wrapText="1"/>
    </xf>
    <xf numFmtId="2" fontId="6" fillId="0" borderId="16" xfId="0" applyNumberFormat="1" applyFont="1" applyBorder="1" applyAlignment="1">
      <alignment horizontal="center" vertical="center" wrapText="1"/>
    </xf>
    <xf numFmtId="0" fontId="87" fillId="0" borderId="0" xfId="0" applyNumberFormat="1" applyFont="1" applyAlignment="1">
      <alignment horizontal="center" vertical="center" wrapText="1"/>
    </xf>
    <xf numFmtId="0" fontId="88" fillId="10" borderId="0" xfId="0" applyNumberFormat="1" applyFont="1" applyFill="1" applyAlignment="1">
      <alignment horizontal="right" vertical="center"/>
    </xf>
    <xf numFmtId="0" fontId="6" fillId="0" borderId="16"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37" fillId="0" borderId="20" xfId="0" applyNumberFormat="1" applyFont="1" applyBorder="1" applyAlignment="1">
      <alignment vertical="center" wrapText="1"/>
    </xf>
    <xf numFmtId="49" fontId="16" fillId="0" borderId="7" xfId="0" applyNumberFormat="1" applyFont="1" applyBorder="1" applyAlignment="1">
      <alignment horizontal="left" vertical="center" wrapText="1"/>
    </xf>
    <xf numFmtId="49" fontId="16" fillId="0" borderId="8" xfId="0" applyNumberFormat="1" applyFont="1" applyBorder="1" applyAlignment="1">
      <alignment horizontal="left" vertical="center" wrapText="1"/>
    </xf>
    <xf numFmtId="49" fontId="37"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 fontId="6" fillId="0" borderId="10" xfId="0" applyNumberFormat="1" applyFont="1" applyBorder="1" applyAlignment="1">
      <alignment horizontal="center" vertical="center" wrapText="1"/>
    </xf>
    <xf numFmtId="4" fontId="6" fillId="0" borderId="25" xfId="0" applyNumberFormat="1" applyFont="1" applyBorder="1" applyAlignment="1">
      <alignment horizontal="center" vertical="center" wrapText="1"/>
    </xf>
    <xf numFmtId="49" fontId="16" fillId="0" borderId="30" xfId="0" applyNumberFormat="1" applyFont="1" applyBorder="1" applyAlignment="1">
      <alignment horizontal="left" vertical="center" wrapText="1"/>
    </xf>
    <xf numFmtId="49" fontId="16" fillId="0" borderId="23" xfId="0" applyNumberFormat="1" applyFont="1" applyBorder="1" applyAlignment="1">
      <alignment horizontal="left" vertical="center" wrapText="1"/>
    </xf>
    <xf numFmtId="0" fontId="6" fillId="0" borderId="29" xfId="0" applyNumberFormat="1" applyFont="1" applyBorder="1" applyAlignment="1">
      <alignment vertical="center" wrapText="1"/>
    </xf>
    <xf numFmtId="0" fontId="6" fillId="0" borderId="25"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top" wrapText="1"/>
    </xf>
    <xf numFmtId="0" fontId="6" fillId="0" borderId="0" xfId="0" applyNumberFormat="1" applyFont="1">
      <alignment vertical="top"/>
    </xf>
    <xf numFmtId="4" fontId="6" fillId="0" borderId="33" xfId="0" applyNumberFormat="1" applyFont="1" applyBorder="1" applyAlignment="1">
      <alignment horizontal="center" vertical="center" wrapText="1"/>
    </xf>
    <xf numFmtId="0" fontId="37" fillId="0" borderId="0" xfId="0" applyNumberFormat="1" applyFont="1" applyAlignment="1">
      <alignment horizontal="center" vertical="top"/>
    </xf>
    <xf numFmtId="49" fontId="37" fillId="0" borderId="0" xfId="0" applyNumberFormat="1" applyFont="1">
      <alignment vertical="top"/>
    </xf>
    <xf numFmtId="0" fontId="37" fillId="0" borderId="16" xfId="0" applyNumberFormat="1" applyFont="1" applyBorder="1" applyAlignment="1">
      <alignment vertical="center" wrapText="1"/>
    </xf>
    <xf numFmtId="4" fontId="37" fillId="0" borderId="5" xfId="0" applyNumberFormat="1" applyFont="1" applyBorder="1" applyAlignment="1">
      <alignment horizontal="right" vertical="center" wrapText="1"/>
    </xf>
    <xf numFmtId="2" fontId="37" fillId="0" borderId="16" xfId="0" applyNumberFormat="1" applyFont="1" applyBorder="1" applyAlignment="1">
      <alignment horizontal="center" vertical="center" wrapText="1"/>
    </xf>
    <xf numFmtId="0" fontId="37" fillId="0" borderId="5" xfId="0" applyNumberFormat="1" applyFont="1" applyBorder="1" applyAlignment="1">
      <alignment horizontal="left" vertical="center" wrapText="1"/>
    </xf>
    <xf numFmtId="49" fontId="37" fillId="0" borderId="7" xfId="0" applyNumberFormat="1" applyFont="1" applyBorder="1" applyAlignment="1">
      <alignment horizontal="left" vertical="center"/>
    </xf>
    <xf numFmtId="49" fontId="37" fillId="0" borderId="8" xfId="0" applyNumberFormat="1" applyFont="1" applyBorder="1" applyAlignment="1">
      <alignment horizontal="left" vertical="center" indent="1"/>
    </xf>
    <xf numFmtId="49" fontId="37" fillId="0" borderId="8" xfId="0" applyNumberFormat="1" applyFont="1" applyBorder="1" applyAlignment="1">
      <alignment horizontal="left" vertical="center"/>
    </xf>
    <xf numFmtId="0" fontId="37" fillId="0" borderId="5" xfId="0" applyNumberFormat="1" applyFont="1" applyBorder="1" applyAlignment="1">
      <alignment horizontal="left" vertical="center" indent="1"/>
    </xf>
    <xf numFmtId="49" fontId="30" fillId="0" borderId="12" xfId="0" applyNumberFormat="1" applyFont="1" applyBorder="1" applyAlignment="1">
      <alignment horizontal="right" vertical="center"/>
    </xf>
    <xf numFmtId="0" fontId="6" fillId="16" borderId="5" xfId="0" applyNumberFormat="1" applyFont="1" applyFill="1" applyBorder="1" applyAlignment="1">
      <alignment horizontal="left" vertical="center" wrapText="1" inden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48" fillId="10" borderId="0" xfId="0" applyNumberFormat="1" applyFont="1" applyFill="1" applyAlignment="1">
      <alignment horizontal="left" vertical="center" wrapText="1" indent="1"/>
    </xf>
    <xf numFmtId="0" fontId="6" fillId="0" borderId="0" xfId="0" applyNumberFormat="1" applyFont="1" applyAlignment="1">
      <alignment horizontal="left" vertical="center" wrapText="1" indent="1"/>
    </xf>
    <xf numFmtId="49" fontId="16" fillId="12" borderId="6" xfId="0" applyNumberFormat="1" applyFont="1" applyFill="1" applyBorder="1" applyAlignment="1" applyProtection="1">
      <alignment horizontal="left" vertical="center" wrapText="1"/>
      <protection locked="0"/>
    </xf>
    <xf numFmtId="49" fontId="6" fillId="0" borderId="0" xfId="0" applyNumberFormat="1" applyFont="1" applyAlignment="1">
      <alignment horizontal="center" vertical="center" wrapText="1"/>
    </xf>
    <xf numFmtId="0" fontId="6" fillId="0" borderId="12" xfId="0" applyNumberFormat="1" applyFont="1" applyBorder="1" applyAlignment="1">
      <alignment vertical="center" wrapText="1"/>
    </xf>
    <xf numFmtId="0" fontId="6" fillId="0" borderId="20" xfId="0" applyNumberFormat="1" applyFont="1" applyBorder="1" applyAlignment="1">
      <alignment vertical="center" wrapText="1"/>
    </xf>
    <xf numFmtId="49" fontId="6" fillId="13" borderId="34" xfId="0" applyNumberFormat="1" applyFont="1" applyFill="1" applyBorder="1" applyAlignment="1">
      <alignment horizontal="center" vertical="center" wrapText="1"/>
    </xf>
    <xf numFmtId="49" fontId="18" fillId="13" borderId="35" xfId="0" applyNumberFormat="1" applyFont="1" applyFill="1" applyBorder="1" applyAlignment="1">
      <alignment horizontal="right" vertical="center" wrapText="1"/>
    </xf>
    <xf numFmtId="49" fontId="18" fillId="13" borderId="36" xfId="0" applyNumberFormat="1" applyFont="1" applyFill="1" applyBorder="1" applyAlignment="1">
      <alignment horizontal="right" vertical="center" wrapText="1"/>
    </xf>
    <xf numFmtId="49" fontId="35" fillId="0" borderId="0" xfId="0" applyNumberFormat="1" applyFont="1">
      <alignment vertical="top"/>
    </xf>
    <xf numFmtId="0" fontId="35" fillId="0" borderId="0" xfId="0" applyNumberFormat="1" applyFont="1" applyAlignment="1">
      <alignment vertical="center" wrapText="1"/>
    </xf>
    <xf numFmtId="49" fontId="81" fillId="0" borderId="0" xfId="0" applyNumberFormat="1" applyFont="1" applyAlignment="1">
      <alignment vertical="center" wrapText="1"/>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0" fontId="0" fillId="24" borderId="5" xfId="0" applyNumberFormat="1" applyFont="1" applyFill="1" applyBorder="1" applyAlignment="1">
      <alignment horizontal="center" vertical="center"/>
    </xf>
    <xf numFmtId="49" fontId="0" fillId="0" borderId="0" xfId="0" applyNumberFormat="1" applyFont="1" applyAlignment="1">
      <alignment vertical="center"/>
    </xf>
    <xf numFmtId="49" fontId="36" fillId="22" borderId="5" xfId="0" applyNumberFormat="1" applyFont="1" applyFill="1" applyBorder="1" applyAlignment="1">
      <alignment horizontal="center" vertical="center"/>
    </xf>
    <xf numFmtId="49" fontId="36" fillId="25" borderId="5" xfId="0" applyNumberFormat="1" applyFont="1" applyFill="1" applyBorder="1" applyAlignment="1">
      <alignment horizontal="center" vertical="center"/>
    </xf>
    <xf numFmtId="49" fontId="0" fillId="26" borderId="5" xfId="0" applyNumberFormat="1" applyFont="1" applyFill="1" applyBorder="1" applyAlignment="1">
      <alignment horizontal="center" vertical="center"/>
    </xf>
    <xf numFmtId="49" fontId="6" fillId="0" borderId="0" xfId="0" applyNumberFormat="1" applyFont="1">
      <alignment vertical="top"/>
    </xf>
    <xf numFmtId="0" fontId="6"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7" xfId="0" applyNumberFormat="1" applyFont="1" applyBorder="1" applyAlignment="1">
      <alignment vertical="center"/>
    </xf>
    <xf numFmtId="0" fontId="0" fillId="0" borderId="7" xfId="0" applyNumberFormat="1" applyFont="1" applyBorder="1" applyAlignment="1">
      <alignment vertical="center"/>
    </xf>
    <xf numFmtId="49" fontId="6" fillId="0" borderId="37" xfId="0" applyNumberFormat="1" applyFont="1" applyBorder="1" applyAlignment="1">
      <alignment vertical="center"/>
    </xf>
    <xf numFmtId="49" fontId="6" fillId="0" borderId="38" xfId="0" applyNumberFormat="1" applyFont="1" applyBorder="1">
      <alignment vertical="top"/>
    </xf>
    <xf numFmtId="0" fontId="0" fillId="0" borderId="6" xfId="0" applyNumberFormat="1" applyFont="1" applyBorder="1" applyAlignment="1">
      <alignment vertical="center"/>
    </xf>
    <xf numFmtId="0" fontId="0" fillId="0" borderId="5" xfId="0" applyNumberFormat="1" applyFont="1" applyBorder="1" applyAlignment="1">
      <alignment horizontal="right" vertical="top"/>
    </xf>
    <xf numFmtId="0" fontId="0" fillId="0" borderId="5" xfId="0" applyNumberFormat="1" applyFont="1" applyBorder="1">
      <alignment vertical="top"/>
    </xf>
    <xf numFmtId="0" fontId="6" fillId="0" borderId="6" xfId="0" applyNumberFormat="1" applyFont="1" applyBorder="1" applyAlignment="1">
      <alignment vertical="center"/>
    </xf>
    <xf numFmtId="49" fontId="6" fillId="0" borderId="5" xfId="0" applyNumberFormat="1" applyFont="1" applyBorder="1" applyAlignment="1">
      <alignment vertical="center"/>
    </xf>
    <xf numFmtId="0" fontId="0" fillId="0" borderId="0" xfId="0" applyNumberFormat="1" applyFont="1">
      <alignment vertical="top"/>
    </xf>
    <xf numFmtId="0" fontId="6" fillId="0" borderId="5" xfId="0" applyNumberFormat="1" applyFont="1" applyBorder="1">
      <alignment vertical="top"/>
    </xf>
    <xf numFmtId="49" fontId="6" fillId="0" borderId="5" xfId="0" applyNumberFormat="1" applyFont="1" applyBorder="1">
      <alignment vertical="top"/>
    </xf>
    <xf numFmtId="0" fontId="6" fillId="0" borderId="0" xfId="0" applyNumberFormat="1" applyFont="1" applyAlignment="1">
      <alignment vertical="center"/>
    </xf>
    <xf numFmtId="49" fontId="6" fillId="0" borderId="7" xfId="0" applyNumberFormat="1" applyFont="1" applyBorder="1">
      <alignment vertical="top"/>
    </xf>
    <xf numFmtId="0" fontId="0" fillId="0" borderId="0" xfId="0" applyNumberFormat="1" applyFont="1" applyAlignment="1">
      <alignment vertical="center"/>
    </xf>
    <xf numFmtId="0" fontId="6" fillId="0" borderId="0" xfId="0" applyNumberFormat="1" applyFont="1">
      <alignment vertical="top"/>
    </xf>
    <xf numFmtId="49" fontId="6" fillId="0" borderId="5" xfId="0" applyNumberFormat="1" applyFont="1" applyBorder="1">
      <alignment vertical="top"/>
    </xf>
    <xf numFmtId="49" fontId="0" fillId="0" borderId="7" xfId="0" applyNumberFormat="1" applyFont="1" applyBorder="1">
      <alignment vertical="top"/>
    </xf>
    <xf numFmtId="0" fontId="0" fillId="0" borderId="10" xfId="0" applyNumberFormat="1" applyFont="1" applyBorder="1">
      <alignment vertical="top"/>
    </xf>
    <xf numFmtId="0" fontId="6" fillId="0" borderId="10" xfId="0" applyNumberFormat="1" applyFont="1" applyBorder="1" applyAlignment="1">
      <alignment vertical="center"/>
    </xf>
    <xf numFmtId="49" fontId="6" fillId="0" borderId="24" xfId="0" applyNumberFormat="1" applyFont="1" applyBorder="1" applyAlignment="1">
      <alignment horizontal="center" vertical="center"/>
    </xf>
    <xf numFmtId="49" fontId="6" fillId="0" borderId="0" xfId="0" applyNumberFormat="1" applyFont="1">
      <alignment vertical="top"/>
    </xf>
    <xf numFmtId="49" fontId="0" fillId="12" borderId="24" xfId="0" applyNumberFormat="1" applyFont="1" applyFill="1" applyBorder="1" applyAlignment="1" applyProtection="1">
      <alignment horizontal="left" vertical="center"/>
      <protection locked="0"/>
    </xf>
    <xf numFmtId="49" fontId="0" fillId="0" borderId="5" xfId="0" applyNumberFormat="1" applyFont="1" applyBorder="1" applyAlignment="1">
      <alignment horizontal="center" vertical="center"/>
    </xf>
    <xf numFmtId="49" fontId="0" fillId="0" borderId="24" xfId="0" applyNumberFormat="1" applyFont="1" applyBorder="1" applyAlignment="1">
      <alignment horizontal="right" vertical="center"/>
    </xf>
    <xf numFmtId="0" fontId="0" fillId="11" borderId="24" xfId="0" applyNumberFormat="1" applyFont="1" applyFill="1" applyBorder="1" applyAlignment="1">
      <alignment horizontal="center" vertical="center"/>
    </xf>
    <xf numFmtId="49" fontId="0" fillId="0" borderId="24"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9" fillId="0" borderId="39" xfId="0" applyNumberFormat="1" applyFont="1" applyBorder="1" applyAlignment="1">
      <alignment horizontal="center" vertical="center"/>
    </xf>
    <xf numFmtId="0" fontId="0" fillId="0" borderId="39" xfId="0" applyNumberFormat="1" applyFont="1" applyBorder="1" applyAlignment="1">
      <alignment horizontal="center" vertical="center"/>
    </xf>
    <xf numFmtId="49" fontId="22" fillId="22" borderId="5" xfId="0" applyNumberFormat="1" applyFont="1" applyFill="1" applyBorder="1" applyAlignment="1">
      <alignment horizontal="right" vertical="center"/>
    </xf>
    <xf numFmtId="49" fontId="6" fillId="12" borderId="30" xfId="0" applyNumberFormat="1" applyFont="1" applyFill="1" applyBorder="1" applyProtection="1">
      <alignment vertical="top"/>
      <protection locked="0"/>
    </xf>
    <xf numFmtId="0" fontId="6" fillId="0" borderId="5" xfId="0" applyNumberFormat="1" applyFont="1" applyBorder="1">
      <alignment vertical="top"/>
    </xf>
    <xf numFmtId="49" fontId="6" fillId="7" borderId="16" xfId="0" applyNumberFormat="1" applyFont="1" applyFill="1" applyBorder="1">
      <alignment vertical="top"/>
    </xf>
    <xf numFmtId="49" fontId="6" fillId="7" borderId="5" xfId="0" applyNumberFormat="1" applyFont="1" applyFill="1" applyBorder="1">
      <alignment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49" fontId="0" fillId="0" borderId="0" xfId="0" applyNumberFormat="1" applyFont="1" applyAlignment="1">
      <alignment vertical="center"/>
    </xf>
    <xf numFmtId="49" fontId="22" fillId="22" borderId="7" xfId="0" applyNumberFormat="1" applyFont="1" applyFill="1" applyBorder="1" applyAlignment="1">
      <alignment horizontal="right" vertical="center"/>
    </xf>
    <xf numFmtId="0" fontId="0" fillId="23" borderId="0" xfId="0" applyNumberFormat="1" applyFont="1" applyFill="1" applyAlignment="1">
      <alignment horizontal="right" vertical="center"/>
    </xf>
    <xf numFmtId="0" fontId="90" fillId="0" borderId="40" xfId="0" applyNumberFormat="1" applyFont="1" applyBorder="1" applyAlignment="1">
      <alignment horizontal="left" vertical="center" indent="1"/>
    </xf>
    <xf numFmtId="0" fontId="90" fillId="0" borderId="41" xfId="0" applyNumberFormat="1" applyFont="1" applyBorder="1" applyAlignment="1">
      <alignment horizontal="left" vertical="center" indent="1"/>
    </xf>
    <xf numFmtId="0" fontId="90" fillId="0" borderId="42" xfId="0" applyNumberFormat="1" applyFont="1" applyBorder="1" applyAlignment="1">
      <alignment horizontal="left" vertical="center" indent="1"/>
    </xf>
    <xf numFmtId="0" fontId="6" fillId="10" borderId="0" xfId="0" applyNumberFormat="1" applyFont="1" applyFill="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49" fontId="85" fillId="0" borderId="0" xfId="0" applyNumberFormat="1" applyFont="1" applyAlignment="1">
      <alignment horizontal="center" vertical="center" wrapText="1"/>
    </xf>
    <xf numFmtId="0" fontId="6" fillId="10" borderId="0" xfId="0" applyNumberFormat="1" applyFont="1" applyFill="1" applyAlignment="1">
      <alignment vertical="center" wrapText="1"/>
    </xf>
    <xf numFmtId="0" fontId="6" fillId="0" borderId="0" xfId="0" applyNumberFormat="1" applyFont="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0" fontId="0" fillId="0" borderId="5" xfId="0" applyNumberFormat="1" applyFont="1" applyBorder="1" applyAlignment="1">
      <alignment horizontal="center" vertical="center" wrapText="1"/>
    </xf>
    <xf numFmtId="0" fontId="6" fillId="0" borderId="0" xfId="0" applyNumberFormat="1" applyFont="1" applyAlignment="1">
      <alignment horizontal="left" vertical="center" wrapText="1" indent="3"/>
    </xf>
    <xf numFmtId="0" fontId="6" fillId="0" borderId="0" xfId="0" applyNumberFormat="1" applyFont="1" applyAlignment="1">
      <alignment horizontal="left" vertical="center" wrapText="1" indent="3"/>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6" fillId="22"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49" fontId="91" fillId="0" borderId="9" xfId="0" applyNumberFormat="1" applyFont="1" applyBorder="1">
      <alignment vertical="top"/>
    </xf>
    <xf numFmtId="0" fontId="0" fillId="0" borderId="0" xfId="0" applyNumberFormat="1" applyFont="1">
      <alignment vertical="top"/>
    </xf>
    <xf numFmtId="0" fontId="36" fillId="0" borderId="0" xfId="0" applyNumberFormat="1" applyFont="1" applyAlignment="1">
      <alignment vertical="center" wrapText="1"/>
    </xf>
    <xf numFmtId="49" fontId="16" fillId="15" borderId="5" xfId="0" applyNumberFormat="1" applyFont="1" applyFill="1" applyBorder="1" applyAlignment="1" applyProtection="1">
      <alignment horizontal="left" vertical="center" wrapText="1"/>
      <protection locked="0"/>
    </xf>
    <xf numFmtId="0" fontId="6" fillId="0" borderId="7" xfId="0" applyNumberFormat="1" applyFont="1" applyBorder="1" applyAlignment="1">
      <alignment horizontal="left" vertical="center"/>
    </xf>
    <xf numFmtId="0" fontId="0" fillId="0" borderId="7" xfId="0" applyNumberFormat="1" applyFont="1" applyBorder="1" applyAlignment="1">
      <alignment horizontal="left" vertical="center"/>
    </xf>
    <xf numFmtId="49" fontId="16" fillId="15" borderId="5" xfId="0" applyNumberFormat="1" applyFont="1" applyFill="1" applyBorder="1" applyAlignment="1" applyProtection="1">
      <alignment horizontal="left" vertical="center" wrapText="1"/>
      <protection locked="0"/>
    </xf>
    <xf numFmtId="0" fontId="6" fillId="10" borderId="19" xfId="0" applyNumberFormat="1" applyFont="1" applyFill="1" applyBorder="1" applyAlignment="1">
      <alignment horizontal="right" vertical="center" wrapText="1" inden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30" fillId="13" borderId="8" xfId="0" applyNumberFormat="1" applyFont="1" applyFill="1" applyBorder="1" applyAlignment="1">
      <alignment horizontal="left" vertical="center" indent="1"/>
    </xf>
    <xf numFmtId="4" fontId="6" fillId="15" borderId="24" xfId="0" applyNumberFormat="1" applyFont="1" applyFill="1" applyBorder="1" applyAlignment="1" applyProtection="1">
      <alignment horizontal="right" vertical="center" wrapText="1"/>
      <protection locked="0"/>
    </xf>
    <xf numFmtId="0" fontId="6" fillId="10" borderId="0" xfId="0" applyNumberFormat="1" applyFont="1" applyFill="1" applyAlignment="1">
      <alignment vertical="center" wrapText="1"/>
    </xf>
    <xf numFmtId="0" fontId="6" fillId="0" borderId="31" xfId="0" applyNumberFormat="1" applyFont="1" applyBorder="1" applyAlignment="1">
      <alignment vertical="center" wrapText="1"/>
    </xf>
    <xf numFmtId="0" fontId="6" fillId="0" borderId="0" xfId="0" applyNumberFormat="1" applyFont="1" applyAlignment="1">
      <alignment vertical="center"/>
    </xf>
    <xf numFmtId="0" fontId="6" fillId="0" borderId="0" xfId="0" applyNumberFormat="1" applyFont="1" applyAlignment="1">
      <alignment vertical="center" wrapText="1"/>
    </xf>
    <xf numFmtId="0" fontId="6" fillId="13" borderId="43" xfId="0" applyNumberFormat="1" applyFont="1" applyFill="1" applyBorder="1" applyAlignment="1">
      <alignment vertical="center" wrapText="1"/>
    </xf>
    <xf numFmtId="0" fontId="6" fillId="13" borderId="44" xfId="0" applyNumberFormat="1" applyFont="1" applyFill="1" applyBorder="1" applyAlignment="1">
      <alignment vertical="center" wrapText="1"/>
    </xf>
    <xf numFmtId="49" fontId="92" fillId="13" borderId="7" xfId="0" applyNumberFormat="1" applyFont="1" applyFill="1" applyBorder="1" applyAlignment="1">
      <alignment horizontal="left" vertical="center" indent="1"/>
    </xf>
    <xf numFmtId="49" fontId="92" fillId="13" borderId="8" xfId="0" applyNumberFormat="1" applyFont="1" applyFill="1" applyBorder="1" applyAlignment="1">
      <alignment horizontal="left" vertical="center" indent="1"/>
    </xf>
    <xf numFmtId="49" fontId="81" fillId="13" borderId="36" xfId="0" applyNumberFormat="1" applyFont="1" applyFill="1" applyBorder="1" applyAlignment="1">
      <alignment horizontal="center" vertical="center"/>
    </xf>
    <xf numFmtId="49" fontId="92" fillId="13" borderId="36" xfId="0" applyNumberFormat="1" applyFont="1" applyFill="1" applyBorder="1" applyAlignment="1">
      <alignment horizontal="left" vertical="center" indent="1"/>
    </xf>
    <xf numFmtId="0" fontId="35" fillId="16" borderId="5" xfId="0" applyNumberFormat="1" applyFont="1" applyFill="1" applyBorder="1" applyAlignment="1">
      <alignment horizontal="left" vertical="center" wrapText="1" indent="1"/>
    </xf>
    <xf numFmtId="49" fontId="35" fillId="13" borderId="8" xfId="0" applyNumberFormat="1" applyFont="1" applyFill="1" applyBorder="1" applyAlignment="1">
      <alignment vertical="top" wrapText="1"/>
    </xf>
    <xf numFmtId="49" fontId="35" fillId="13" borderId="6" xfId="0" applyNumberFormat="1" applyFont="1" applyFill="1" applyBorder="1" applyAlignment="1">
      <alignment vertical="top" wrapText="1"/>
    </xf>
    <xf numFmtId="49" fontId="35" fillId="13" borderId="45" xfId="0" applyNumberFormat="1" applyFont="1" applyFill="1" applyBorder="1" applyAlignment="1">
      <alignment vertical="top" wrapText="1"/>
    </xf>
    <xf numFmtId="49" fontId="92" fillId="13" borderId="45" xfId="0" applyNumberFormat="1" applyFont="1" applyFill="1" applyBorder="1" applyAlignment="1">
      <alignment horizontal="left" vertical="center" indent="1"/>
    </xf>
    <xf numFmtId="0" fontId="6" fillId="13" borderId="46" xfId="0" applyNumberFormat="1" applyFont="1" applyFill="1" applyBorder="1" applyAlignment="1">
      <alignment vertical="center" wrapText="1"/>
    </xf>
    <xf numFmtId="0" fontId="6" fillId="10" borderId="32" xfId="0" applyNumberFormat="1" applyFont="1" applyFill="1" applyBorder="1" applyAlignment="1">
      <alignment vertical="center" wrapText="1"/>
    </xf>
    <xf numFmtId="0" fontId="0" fillId="0" borderId="42" xfId="0" applyNumberFormat="1" applyFont="1" applyBorder="1" applyAlignment="1">
      <alignment horizontal="left" vertical="center" wrapText="1"/>
    </xf>
    <xf numFmtId="0" fontId="6" fillId="0" borderId="42" xfId="0" applyNumberFormat="1" applyFont="1" applyBorder="1" applyAlignment="1">
      <alignment vertical="center" wrapText="1"/>
    </xf>
    <xf numFmtId="0" fontId="6" fillId="0" borderId="47" xfId="0" applyNumberFormat="1" applyFont="1" applyBorder="1" applyAlignment="1">
      <alignment vertical="center" wrapText="1"/>
    </xf>
    <xf numFmtId="0" fontId="6" fillId="0" borderId="48" xfId="0" applyNumberFormat="1" applyFont="1" applyBorder="1" applyAlignment="1">
      <alignment vertical="center" wrapText="1"/>
    </xf>
    <xf numFmtId="0" fontId="6" fillId="16" borderId="5" xfId="0" applyNumberFormat="1" applyFont="1" applyFill="1" applyBorder="1" applyAlignment="1">
      <alignment horizontal="left" vertical="center" wrapText="1" indent="1"/>
    </xf>
    <xf numFmtId="0" fontId="0" fillId="13" borderId="43" xfId="0" applyNumberFormat="1" applyFont="1" applyFill="1" applyBorder="1" applyAlignment="1">
      <alignment horizontal="left" vertical="center"/>
    </xf>
    <xf numFmtId="0" fontId="6" fillId="10" borderId="5" xfId="0" applyNumberFormat="1" applyFont="1" applyFill="1" applyBorder="1" applyAlignment="1">
      <alignment horizontal="center" vertical="center" wrapText="1"/>
    </xf>
    <xf numFmtId="49" fontId="26" fillId="0" borderId="5" xfId="0" applyNumberFormat="1" applyFont="1" applyBorder="1" applyAlignment="1">
      <alignment horizontal="center" vertical="center"/>
    </xf>
    <xf numFmtId="49" fontId="26" fillId="7" borderId="5" xfId="0" applyNumberFormat="1" applyFont="1" applyFill="1" applyBorder="1" applyAlignment="1">
      <alignment horizontal="center" vertical="center"/>
    </xf>
    <xf numFmtId="0" fontId="26" fillId="0" borderId="5" xfId="0" applyNumberFormat="1" applyFont="1" applyBorder="1" applyAlignment="1">
      <alignment horizontal="center" vertical="center"/>
    </xf>
    <xf numFmtId="49" fontId="26" fillId="0" borderId="16" xfId="0" applyNumberFormat="1" applyFont="1" applyBorder="1" applyAlignment="1">
      <alignment horizontal="center" vertical="center"/>
    </xf>
    <xf numFmtId="49" fontId="6" fillId="0" borderId="0" xfId="0" applyNumberFormat="1" applyFont="1" applyAlignment="1">
      <alignment vertical="center"/>
    </xf>
    <xf numFmtId="49" fontId="36" fillId="0" borderId="10" xfId="0" applyNumberFormat="1" applyFont="1" applyBorder="1" applyAlignment="1">
      <alignment horizontal="center"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right" vertical="center"/>
    </xf>
    <xf numFmtId="0" fontId="6" fillId="0" borderId="10" xfId="0" applyNumberFormat="1" applyFont="1" applyBorder="1" applyAlignment="1">
      <alignment horizontal="center" vertical="center"/>
    </xf>
    <xf numFmtId="0" fontId="6" fillId="0" borderId="5" xfId="0" applyNumberFormat="1" applyFont="1" applyBorder="1" applyAlignment="1">
      <alignment horizontal="right" vertical="center"/>
    </xf>
    <xf numFmtId="49" fontId="6" fillId="0" borderId="0" xfId="0" applyNumberFormat="1" applyFont="1" applyAlignment="1">
      <alignment vertical="center"/>
    </xf>
    <xf numFmtId="49" fontId="6" fillId="0" borderId="49" xfId="0" applyNumberFormat="1" applyFont="1" applyBorder="1" applyAlignment="1">
      <alignment horizontal="center" vertical="center"/>
    </xf>
    <xf numFmtId="0" fontId="6" fillId="0" borderId="49" xfId="0" applyNumberFormat="1" applyFont="1" applyBorder="1" applyAlignment="1">
      <alignment horizontal="right" vertical="center"/>
    </xf>
    <xf numFmtId="0" fontId="6" fillId="0" borderId="49"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6" xfId="0" applyNumberFormat="1" applyFont="1" applyBorder="1" applyAlignment="1">
      <alignment horizontal="right" vertical="center"/>
    </xf>
    <xf numFmtId="0" fontId="6" fillId="10" borderId="5" xfId="0" applyNumberFormat="1" applyFont="1" applyFill="1" applyBorder="1" applyAlignment="1">
      <alignment horizontal="center" vertical="center"/>
    </xf>
    <xf numFmtId="0" fontId="6" fillId="16" borderId="5" xfId="0" applyNumberFormat="1" applyFont="1" applyFill="1" applyBorder="1" applyAlignment="1">
      <alignment horizontal="left" vertical="center" wrapText="1" indent="1"/>
    </xf>
    <xf numFmtId="0" fontId="6" fillId="15" borderId="5" xfId="0" applyNumberFormat="1" applyFont="1" applyFill="1" applyBorder="1" applyAlignment="1" applyProtection="1">
      <alignment horizontal="left" vertical="center" wrapText="1" indent="1"/>
      <protection locked="0"/>
    </xf>
    <xf numFmtId="0" fontId="6" fillId="7" borderId="5" xfId="0" applyNumberFormat="1" applyFont="1" applyFill="1" applyBorder="1" applyAlignment="1">
      <alignment horizontal="right" vertical="center"/>
    </xf>
    <xf numFmtId="4" fontId="6" fillId="12" borderId="5" xfId="0" applyNumberFormat="1" applyFont="1" applyFill="1" applyBorder="1" applyAlignment="1" applyProtection="1">
      <alignment horizontal="right" vertical="center"/>
      <protection locked="0"/>
    </xf>
    <xf numFmtId="49" fontId="30" fillId="13" borderId="50"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6" fillId="0" borderId="0" xfId="0" applyNumberFormat="1" applyFont="1">
      <alignment vertical="top"/>
    </xf>
    <xf numFmtId="0" fontId="6" fillId="23" borderId="0" xfId="0" applyNumberFormat="1" applyFont="1" applyFill="1" applyAlignment="1">
      <alignment horizontal="left" vertical="center"/>
    </xf>
    <xf numFmtId="0" fontId="6" fillId="0" borderId="0" xfId="0" applyNumberFormat="1" applyFont="1" applyAlignment="1">
      <alignment horizontal="righ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0" fontId="6" fillId="10" borderId="12" xfId="0" applyNumberFormat="1" applyFont="1" applyFill="1" applyBorder="1" applyAlignment="1">
      <alignment vertical="center" wrapText="1"/>
    </xf>
    <xf numFmtId="49" fontId="37" fillId="0" borderId="0" xfId="0" applyNumberFormat="1" applyFont="1">
      <alignment vertical="top"/>
    </xf>
    <xf numFmtId="0" fontId="37" fillId="0" borderId="32" xfId="0" applyNumberFormat="1" applyFont="1" applyBorder="1" applyAlignment="1">
      <alignment vertical="center" wrapText="1"/>
    </xf>
    <xf numFmtId="49"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11" borderId="5" xfId="0" applyNumberFormat="1" applyFont="1" applyFill="1" applyBorder="1" applyAlignment="1">
      <alignment horizontal="center" vertical="center"/>
    </xf>
    <xf numFmtId="49" fontId="6" fillId="0" borderId="15" xfId="0" applyNumberFormat="1" applyFont="1" applyBorder="1">
      <alignment vertical="top"/>
    </xf>
    <xf numFmtId="0" fontId="6" fillId="0" borderId="15" xfId="0" applyNumberFormat="1" applyFont="1" applyBorder="1" applyAlignment="1">
      <alignment vertical="center" wrapText="1"/>
    </xf>
    <xf numFmtId="4" fontId="0" fillId="12" borderId="5" xfId="0" applyNumberFormat="1" applyFont="1" applyFill="1" applyBorder="1" applyAlignment="1" applyProtection="1">
      <alignment horizontal="right" vertical="center" wrapText="1"/>
      <protection locked="0"/>
    </xf>
    <xf numFmtId="4" fontId="0" fillId="11" borderId="5" xfId="0" applyNumberFormat="1" applyFont="1" applyFill="1" applyBorder="1" applyAlignment="1">
      <alignment horizontal="right" vertical="center" wrapText="1"/>
    </xf>
    <xf numFmtId="49" fontId="0" fillId="0" borderId="5" xfId="0" applyNumberFormat="1" applyFont="1" applyBorder="1" applyAlignment="1">
      <alignment horizontal="left" vertical="center" wrapText="1" indent="2"/>
    </xf>
    <xf numFmtId="49" fontId="0" fillId="0" borderId="5" xfId="0" applyNumberFormat="1" applyFont="1" applyBorder="1" applyAlignment="1">
      <alignment horizontal="left" vertical="center" wrapText="1" indent="3"/>
    </xf>
    <xf numFmtId="49" fontId="0" fillId="0" borderId="5" xfId="0" applyNumberFormat="1" applyFont="1" applyBorder="1" applyAlignment="1">
      <alignment horizontal="left" vertical="center" wrapText="1"/>
    </xf>
    <xf numFmtId="0" fontId="6" fillId="0" borderId="31" xfId="0" applyNumberFormat="1" applyFont="1" applyBorder="1" applyAlignment="1">
      <alignment vertical="center"/>
    </xf>
    <xf numFmtId="49" fontId="30" fillId="13" borderId="8" xfId="0" applyNumberFormat="1" applyFont="1" applyFill="1" applyBorder="1" applyAlignment="1">
      <alignment horizontal="left" vertical="center" indent="1"/>
    </xf>
    <xf numFmtId="49" fontId="6" fillId="15" borderId="10"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6" fillId="10" borderId="20" xfId="0" applyNumberFormat="1" applyFont="1" applyFill="1" applyBorder="1" applyAlignment="1">
      <alignment vertical="center" wrapText="1"/>
    </xf>
    <xf numFmtId="0" fontId="37" fillId="10" borderId="12" xfId="0" applyNumberFormat="1" applyFont="1" applyFill="1" applyBorder="1" applyAlignment="1">
      <alignment horizontal="center" vertical="center" wrapText="1"/>
    </xf>
    <xf numFmtId="49" fontId="59" fillId="0" borderId="0" xfId="0" applyNumberFormat="1" applyFont="1" applyAlignment="1">
      <alignment vertical="center" wrapText="1"/>
    </xf>
    <xf numFmtId="0" fontId="93" fillId="10" borderId="0" xfId="0" applyNumberFormat="1" applyFont="1" applyFill="1" applyAlignment="1">
      <alignment vertical="center" wrapText="1"/>
    </xf>
    <xf numFmtId="0" fontId="6" fillId="0" borderId="0" xfId="0" applyNumberFormat="1" applyFont="1" applyAlignment="1">
      <alignment vertical="center"/>
    </xf>
    <xf numFmtId="49" fontId="37" fillId="10" borderId="0" xfId="0" applyNumberFormat="1" applyFont="1" applyFill="1" applyAlignment="1">
      <alignment horizontal="center" vertical="center" wrapText="1"/>
    </xf>
    <xf numFmtId="0" fontId="6" fillId="0" borderId="0" xfId="0" applyNumberFormat="1" applyFont="1" applyAlignment="1">
      <alignment horizontal="left" vertical="center" wrapText="1"/>
    </xf>
    <xf numFmtId="0" fontId="37" fillId="0" borderId="0" xfId="0" applyNumberFormat="1" applyFont="1" applyAlignment="1">
      <alignment vertical="center"/>
    </xf>
    <xf numFmtId="0" fontId="6" fillId="0" borderId="0" xfId="0" applyNumberFormat="1" applyFont="1" applyAlignment="1">
      <alignment horizontal="left" vertical="center" wrapText="1" indent="1"/>
    </xf>
    <xf numFmtId="0" fontId="6" fillId="0" borderId="0" xfId="0" applyNumberFormat="1" applyFont="1" applyAlignment="1">
      <alignment horizontal="right" vertical="top" wrapText="1"/>
    </xf>
    <xf numFmtId="0" fontId="94" fillId="10" borderId="0" xfId="0" applyNumberFormat="1" applyFont="1" applyFill="1" applyAlignment="1">
      <alignment vertical="center" wrapText="1"/>
    </xf>
    <xf numFmtId="49" fontId="67" fillId="10" borderId="12" xfId="0" applyNumberFormat="1" applyFont="1" applyFill="1" applyBorder="1" applyAlignment="1">
      <alignment horizontal="center" vertical="center" wrapText="1"/>
    </xf>
    <xf numFmtId="0" fontId="67" fillId="10" borderId="12" xfId="0" applyNumberFormat="1" applyFont="1" applyFill="1" applyBorder="1" applyAlignment="1">
      <alignment horizontal="center" vertical="center" wrapText="1"/>
    </xf>
    <xf numFmtId="167" fontId="6" fillId="12" borderId="5" xfId="0" applyNumberFormat="1" applyFont="1" applyFill="1" applyBorder="1" applyAlignment="1" applyProtection="1">
      <alignment horizontal="right" vertical="center" wrapText="1"/>
      <protection locked="0"/>
    </xf>
    <xf numFmtId="0" fontId="35" fillId="0" borderId="5" xfId="0" applyNumberFormat="1" applyFont="1" applyBorder="1" applyAlignment="1">
      <alignment vertical="top" wrapText="1"/>
    </xf>
    <xf numFmtId="0" fontId="6" fillId="16" borderId="5" xfId="0" applyNumberFormat="1" applyFont="1" applyFill="1" applyBorder="1" applyAlignment="1" applyProtection="1">
      <alignment horizontal="left" vertical="center" wrapText="1" indent="6"/>
      <protection locked="0"/>
    </xf>
    <xf numFmtId="0" fontId="6" fillId="0" borderId="0" xfId="0" applyNumberFormat="1" applyFont="1" applyAlignment="1">
      <alignment vertical="center"/>
    </xf>
    <xf numFmtId="0" fontId="95"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horizontal="left" vertical="center" indent="1"/>
    </xf>
    <xf numFmtId="49" fontId="96" fillId="13" borderId="8" xfId="0" applyNumberFormat="1" applyFont="1" applyFill="1" applyBorder="1" applyAlignment="1">
      <alignment horizontal="left" vertical="center" indent="3"/>
    </xf>
    <xf numFmtId="49" fontId="59" fillId="13" borderId="8" xfId="0" applyNumberFormat="1" applyFont="1" applyFill="1" applyBorder="1" applyAlignment="1">
      <alignment horizontal="center" vertical="center" wrapText="1"/>
    </xf>
    <xf numFmtId="49" fontId="54" fillId="13" borderId="8" xfId="0" applyNumberFormat="1" applyFont="1" applyFill="1" applyBorder="1" applyAlignment="1">
      <alignment horizontal="center" vertical="center" wrapText="1"/>
    </xf>
    <xf numFmtId="49" fontId="54" fillId="13" borderId="6" xfId="0" applyNumberFormat="1" applyFont="1" applyFill="1" applyBorder="1" applyAlignment="1">
      <alignment horizontal="center" vertical="center" wrapText="1"/>
    </xf>
    <xf numFmtId="49" fontId="96" fillId="13" borderId="8" xfId="0" applyNumberFormat="1" applyFont="1" applyFill="1" applyBorder="1" applyAlignment="1">
      <alignment horizontal="left" vertical="center" indent="2"/>
    </xf>
    <xf numFmtId="49" fontId="96" fillId="13" borderId="8" xfId="0" applyNumberFormat="1" applyFont="1" applyFill="1" applyBorder="1" applyAlignment="1">
      <alignment horizontal="left" vertical="center" indent="1"/>
    </xf>
    <xf numFmtId="49" fontId="96" fillId="13" borderId="8" xfId="0" applyNumberFormat="1" applyFont="1" applyFill="1" applyBorder="1" applyAlignment="1">
      <alignment horizontal="left" vertical="center"/>
    </xf>
    <xf numFmtId="0" fontId="6" fillId="10"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7" fillId="10" borderId="12" xfId="0" applyNumberFormat="1" applyFont="1" applyFill="1" applyBorder="1" applyAlignment="1">
      <alignment horizontal="left" vertical="center" wrapText="1"/>
    </xf>
    <xf numFmtId="49" fontId="60" fillId="13" borderId="7" xfId="0" applyNumberFormat="1" applyFont="1" applyFill="1" applyBorder="1" applyAlignment="1">
      <alignment horizontal="left" vertical="center"/>
    </xf>
    <xf numFmtId="49" fontId="88" fillId="13" borderId="7" xfId="0" applyNumberFormat="1" applyFont="1" applyFill="1" applyBorder="1" applyAlignment="1">
      <alignment horizontal="left" vertical="center"/>
    </xf>
    <xf numFmtId="49" fontId="54" fillId="13" borderId="7" xfId="0" applyNumberFormat="1" applyFont="1" applyFill="1" applyBorder="1" applyAlignment="1">
      <alignment horizontal="left" vertical="top"/>
    </xf>
    <xf numFmtId="0" fontId="0" fillId="23" borderId="0" xfId="0" applyNumberFormat="1" applyFont="1" applyFill="1" applyAlignment="1">
      <alignment horizontal="right" vertical="center"/>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top" wrapText="1"/>
    </xf>
    <xf numFmtId="0" fontId="67" fillId="10" borderId="12"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0" fontId="41" fillId="23" borderId="0" xfId="0" applyNumberFormat="1" applyFont="1" applyFill="1" applyAlignment="1">
      <alignment horizontal="left" vertical="center"/>
    </xf>
    <xf numFmtId="49" fontId="6" fillId="0" borderId="13"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3" xfId="0" applyNumberFormat="1" applyFont="1" applyBorder="1" applyAlignment="1">
      <alignment horizontal="left" vertical="center"/>
    </xf>
    <xf numFmtId="0" fontId="30" fillId="0" borderId="20" xfId="0" applyNumberFormat="1" applyFont="1" applyBorder="1" applyAlignment="1">
      <alignment horizontal="left" vertical="center"/>
    </xf>
    <xf numFmtId="0" fontId="0" fillId="0" borderId="20" xfId="0" applyNumberFormat="1" applyFont="1" applyBorder="1" applyAlignment="1">
      <alignment vertical="center"/>
    </xf>
    <xf numFmtId="0" fontId="30" fillId="0" borderId="22" xfId="0" applyNumberFormat="1" applyFont="1" applyBorder="1" applyAlignment="1">
      <alignment horizontal="left" vertical="center"/>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35" fillId="0" borderId="10" xfId="0" applyNumberFormat="1" applyFont="1" applyBorder="1" applyAlignment="1">
      <alignment vertical="top" wrapText="1"/>
    </xf>
    <xf numFmtId="0" fontId="6" fillId="10" borderId="5" xfId="0" applyNumberFormat="1" applyFont="1" applyFill="1" applyBorder="1" applyAlignment="1">
      <alignment horizontal="left" vertical="center" wrapText="1"/>
    </xf>
    <xf numFmtId="0" fontId="6" fillId="0" borderId="0" xfId="0" applyNumberFormat="1" applyFont="1" applyAlignment="1">
      <alignment horizontal="center" vertical="center"/>
    </xf>
    <xf numFmtId="49" fontId="6" fillId="0" borderId="0" xfId="0" applyNumberFormat="1" applyFont="1" applyAlignment="1">
      <alignment vertical="center" wrapText="1"/>
    </xf>
    <xf numFmtId="0" fontId="67" fillId="10" borderId="12"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wrapText="1"/>
    </xf>
    <xf numFmtId="49" fontId="37" fillId="0" borderId="0" xfId="0" applyNumberFormat="1" applyFont="1">
      <alignment vertical="top"/>
    </xf>
    <xf numFmtId="49" fontId="94" fillId="0" borderId="0" xfId="0" applyNumberFormat="1" applyFont="1">
      <alignment vertical="top"/>
    </xf>
    <xf numFmtId="49" fontId="84" fillId="0" borderId="12" xfId="0" applyNumberFormat="1" applyFont="1" applyBorder="1" applyAlignment="1">
      <alignment horizontal="left" vertical="center"/>
    </xf>
    <xf numFmtId="49" fontId="37" fillId="0" borderId="12" xfId="0" applyNumberFormat="1" applyFont="1" applyBorder="1" applyAlignment="1">
      <alignment horizontal="left" vertical="center" indent="3"/>
    </xf>
    <xf numFmtId="49" fontId="37" fillId="0" borderId="12" xfId="0" applyNumberFormat="1" applyFont="1" applyBorder="1" applyAlignment="1">
      <alignment horizontal="center" vertical="center" wrapText="1"/>
    </xf>
    <xf numFmtId="49" fontId="37" fillId="0" borderId="0" xfId="0" applyNumberFormat="1" applyFont="1" applyAlignment="1">
      <alignment horizontal="left" vertical="center"/>
    </xf>
    <xf numFmtId="49" fontId="84" fillId="0" borderId="0" xfId="0" applyNumberFormat="1" applyFont="1" applyAlignment="1">
      <alignment horizontal="left" vertical="center"/>
    </xf>
    <xf numFmtId="49" fontId="37" fillId="0" borderId="0" xfId="0" applyNumberFormat="1" applyFont="1" applyAlignment="1">
      <alignment horizontal="left" vertical="center" indent="2"/>
    </xf>
    <xf numFmtId="49" fontId="37" fillId="0" borderId="0" xfId="0" applyNumberFormat="1" applyFont="1" applyAlignment="1">
      <alignment horizontal="center" vertical="center" wrapText="1"/>
    </xf>
    <xf numFmtId="49" fontId="37" fillId="0" borderId="0" xfId="0" applyNumberFormat="1" applyFont="1" applyAlignment="1">
      <alignment horizontal="left" vertical="center" inden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left" vertical="top" wrapText="1"/>
    </xf>
    <xf numFmtId="0" fontId="0" fillId="0" borderId="6"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10" borderId="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center" vertical="center"/>
    </xf>
    <xf numFmtId="0" fontId="6" fillId="0" borderId="0" xfId="0" applyNumberFormat="1" applyFont="1" applyAlignment="1">
      <alignment horizontal="right" vertical="center" wrapText="1"/>
    </xf>
    <xf numFmtId="0" fontId="67" fillId="10" borderId="0" xfId="0" applyNumberFormat="1" applyFont="1" applyFill="1" applyAlignment="1">
      <alignment horizontal="center" vertical="center" wrapText="1"/>
    </xf>
    <xf numFmtId="49" fontId="6" fillId="0" borderId="5" xfId="0" applyNumberFormat="1" applyFont="1" applyBorder="1" applyAlignment="1">
      <alignment horizontal="left" vertical="center" wrapText="1"/>
    </xf>
    <xf numFmtId="0" fontId="37" fillId="0" borderId="0" xfId="0" applyNumberFormat="1" applyFont="1" applyAlignment="1">
      <alignment horizontal="left" vertical="center" indent="1"/>
    </xf>
    <xf numFmtId="49" fontId="94" fillId="0" borderId="0" xfId="0" applyNumberFormat="1" applyFont="1">
      <alignment vertical="top"/>
    </xf>
    <xf numFmtId="49" fontId="6" fillId="0" borderId="5" xfId="0" applyNumberFormat="1" applyFont="1" applyBorder="1" applyAlignment="1">
      <alignment vertical="center" wrapText="1"/>
    </xf>
    <xf numFmtId="0" fontId="37" fillId="0" borderId="0" xfId="0" applyNumberFormat="1" applyFont="1" applyAlignment="1">
      <alignment horizontal="center" vertical="center"/>
    </xf>
    <xf numFmtId="0" fontId="6" fillId="16" borderId="5" xfId="0" applyNumberFormat="1" applyFont="1" applyFill="1" applyBorder="1" applyAlignment="1">
      <alignment horizontal="left" vertical="center" wrapText="1" indent="6"/>
    </xf>
    <xf numFmtId="4" fontId="6" fillId="0" borderId="10" xfId="0" applyNumberFormat="1" applyFont="1" applyBorder="1" applyAlignment="1">
      <alignment horizontal="right" vertical="center" wrapText="1"/>
    </xf>
    <xf numFmtId="4" fontId="6" fillId="0" borderId="16" xfId="0" applyNumberFormat="1" applyFont="1" applyBorder="1" applyAlignment="1">
      <alignment horizontal="right" vertical="center" wrapText="1"/>
    </xf>
    <xf numFmtId="0" fontId="0" fillId="0" borderId="0" xfId="0" applyNumberFormat="1" applyFont="1" applyAlignment="1">
      <alignment vertical="center"/>
    </xf>
    <xf numFmtId="0" fontId="6" fillId="0" borderId="10"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4" fontId="36" fillId="0" borderId="5" xfId="0" applyNumberFormat="1" applyFont="1" applyBorder="1" applyAlignment="1">
      <alignment horizontal="right" vertical="center" wrapText="1"/>
    </xf>
    <xf numFmtId="167" fontId="36" fillId="0" borderId="5" xfId="0" applyNumberFormat="1" applyFont="1" applyBorder="1" applyAlignment="1">
      <alignment horizontal="right" vertical="center" wrapText="1"/>
    </xf>
    <xf numFmtId="49" fontId="36" fillId="0" borderId="0" xfId="0" applyNumberFormat="1" applyFont="1" applyAlignment="1">
      <alignment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49" fontId="36" fillId="0" borderId="5" xfId="0" applyNumberFormat="1" applyFont="1" applyBorder="1" applyAlignment="1">
      <alignment vertical="center" wrapText="1"/>
    </xf>
    <xf numFmtId="0" fontId="36" fillId="0" borderId="0" xfId="0" applyNumberFormat="1" applyFont="1" applyAlignment="1">
      <alignment vertical="center"/>
    </xf>
    <xf numFmtId="0" fontId="36" fillId="0" borderId="0" xfId="0" applyNumberFormat="1" applyFont="1" applyAlignment="1">
      <alignment horizontal="center" vertical="center"/>
    </xf>
    <xf numFmtId="0" fontId="36" fillId="0" borderId="0" xfId="0" applyNumberFormat="1" applyFont="1" applyAlignment="1">
      <alignment vertical="center"/>
    </xf>
    <xf numFmtId="0" fontId="56" fillId="0" borderId="0" xfId="0" applyNumberFormat="1" applyFont="1" applyAlignment="1">
      <alignment vertical="center" wrapText="1"/>
    </xf>
    <xf numFmtId="0" fontId="0" fillId="0" borderId="8" xfId="0" applyNumberFormat="1" applyFont="1" applyBorder="1" applyAlignment="1">
      <alignment vertical="center"/>
    </xf>
    <xf numFmtId="0" fontId="37" fillId="0" borderId="5" xfId="0" applyNumberFormat="1" applyFont="1" applyBorder="1" applyAlignment="1">
      <alignment horizontal="center" vertical="center" wrapText="1"/>
    </xf>
    <xf numFmtId="0" fontId="59" fillId="0" borderId="0" xfId="0" applyNumberFormat="1" applyFont="1" applyAlignment="1">
      <alignment horizontal="left" vertical="center" indent="1"/>
    </xf>
    <xf numFmtId="0" fontId="59" fillId="0" borderId="0" xfId="0" applyNumberFormat="1" applyFont="1" applyAlignment="1">
      <alignment horizontal="left" vertical="center" indent="1"/>
    </xf>
    <xf numFmtId="0" fontId="37" fillId="0" borderId="5" xfId="0" applyNumberFormat="1" applyFont="1" applyBorder="1" applyAlignment="1">
      <alignment vertical="center" wrapText="1"/>
    </xf>
    <xf numFmtId="0" fontId="59" fillId="0" borderId="0" xfId="0" applyNumberFormat="1" applyFont="1" applyAlignment="1">
      <alignment horizontal="center" vertical="center"/>
    </xf>
    <xf numFmtId="0" fontId="59" fillId="0" borderId="0" xfId="0" applyNumberFormat="1" applyFont="1" applyAlignment="1">
      <alignment horizontal="left" vertical="center" wrapText="1"/>
    </xf>
    <xf numFmtId="49" fontId="59" fillId="0" borderId="0" xfId="0" applyNumberFormat="1" applyFont="1" applyAlignment="1">
      <alignment horizontal="left" vertical="center"/>
    </xf>
    <xf numFmtId="0" fontId="6" fillId="0" borderId="0" xfId="0" applyNumberFormat="1" applyFont="1" applyAlignment="1">
      <alignment horizontal="center" vertical="center"/>
    </xf>
    <xf numFmtId="0" fontId="59" fillId="0" borderId="0" xfId="0" applyNumberFormat="1" applyFont="1" applyAlignment="1">
      <alignment horizontal="center" vertical="center"/>
    </xf>
    <xf numFmtId="4" fontId="6" fillId="0" borderId="6" xfId="0" applyNumberFormat="1" applyFont="1" applyBorder="1" applyAlignment="1">
      <alignment horizontal="right" vertical="center" wrapText="1"/>
    </xf>
    <xf numFmtId="0" fontId="37" fillId="0" borderId="5" xfId="0" applyNumberFormat="1" applyFont="1" applyBorder="1" applyAlignment="1">
      <alignment horizontal="left" vertical="center" wrapText="1" indent="4"/>
    </xf>
    <xf numFmtId="0" fontId="37" fillId="0" borderId="5" xfId="0" applyNumberFormat="1" applyFont="1" applyBorder="1" applyAlignment="1">
      <alignment horizontal="left" vertical="center" wrapText="1" indent="6"/>
    </xf>
    <xf numFmtId="0" fontId="37" fillId="0" borderId="5" xfId="0" applyNumberFormat="1" applyFont="1" applyBorder="1" applyAlignment="1">
      <alignment vertical="top" wrapText="1"/>
    </xf>
    <xf numFmtId="49" fontId="84" fillId="0" borderId="7" xfId="0" applyNumberFormat="1" applyFont="1" applyBorder="1" applyAlignment="1">
      <alignment horizontal="left" vertical="center"/>
    </xf>
    <xf numFmtId="49" fontId="37" fillId="0" borderId="8" xfId="0" applyNumberFormat="1" applyFont="1" applyBorder="1" applyAlignment="1">
      <alignment horizontal="left" vertical="center" indent="4"/>
    </xf>
    <xf numFmtId="49" fontId="37" fillId="0" borderId="8" xfId="0" applyNumberFormat="1" applyFont="1" applyBorder="1" applyAlignment="1">
      <alignment horizontal="center" vertical="center" wrapText="1"/>
    </xf>
    <xf numFmtId="49" fontId="37" fillId="0" borderId="6" xfId="0" applyNumberFormat="1" applyFont="1" applyBorder="1" applyAlignment="1">
      <alignment horizontal="center" vertical="center" wrapText="1"/>
    </xf>
    <xf numFmtId="4" fontId="6" fillId="0" borderId="29" xfId="0" applyNumberFormat="1" applyFont="1" applyBorder="1" applyAlignment="1">
      <alignment horizontal="right" vertical="center" wrapText="1"/>
    </xf>
    <xf numFmtId="0" fontId="6" fillId="12" borderId="5" xfId="0" applyNumberFormat="1" applyFont="1" applyFill="1" applyBorder="1" applyAlignment="1" applyProtection="1">
      <alignment horizontal="left" vertical="center" wrapText="1" indent="7"/>
      <protection locked="0"/>
    </xf>
    <xf numFmtId="0" fontId="6" fillId="13" borderId="8" xfId="0" applyNumberFormat="1" applyFont="1" applyFill="1" applyBorder="1" applyAlignment="1">
      <alignment horizontal="left" vertical="center" wrapText="1" indent="6"/>
    </xf>
    <xf numFmtId="4" fontId="6" fillId="13" borderId="8" xfId="0" applyNumberFormat="1" applyFont="1" applyFill="1" applyBorder="1" applyAlignment="1">
      <alignment horizontal="right" vertical="center" wrapText="1"/>
    </xf>
    <xf numFmtId="4" fontId="37" fillId="13" borderId="8" xfId="0" applyNumberFormat="1" applyFont="1" applyFill="1" applyBorder="1" applyAlignment="1">
      <alignment horizontal="center" vertical="center" wrapText="1"/>
    </xf>
    <xf numFmtId="4" fontId="6" fillId="13" borderId="6" xfId="0" applyNumberFormat="1" applyFont="1" applyFill="1" applyBorder="1" applyAlignment="1">
      <alignment horizontal="right" vertical="center" wrapText="1"/>
    </xf>
    <xf numFmtId="4" fontId="37" fillId="13" borderId="6" xfId="0" applyNumberFormat="1" applyFont="1" applyFill="1" applyBorder="1" applyAlignment="1">
      <alignment horizontal="center" vertical="center" wrapText="1"/>
    </xf>
    <xf numFmtId="167" fontId="6" fillId="13" borderId="6" xfId="0" applyNumberFormat="1" applyFont="1" applyFill="1" applyBorder="1" applyAlignment="1">
      <alignment horizontal="right" vertical="center" wrapText="1"/>
    </xf>
    <xf numFmtId="0" fontId="6" fillId="16" borderId="5" xfId="0" applyNumberFormat="1" applyFont="1" applyFill="1" applyBorder="1" applyAlignment="1">
      <alignment horizontal="left" vertical="center" wrapText="1" indent="1"/>
    </xf>
    <xf numFmtId="0" fontId="37" fillId="0" borderId="5" xfId="0" applyNumberFormat="1" applyFont="1" applyBorder="1" applyAlignment="1">
      <alignment horizontal="left" vertical="center" wrapText="1" indent="5"/>
    </xf>
    <xf numFmtId="49" fontId="59" fillId="0" borderId="17" xfId="0" applyNumberFormat="1" applyFont="1" applyBorder="1">
      <alignment vertical="top"/>
    </xf>
    <xf numFmtId="49" fontId="37" fillId="0" borderId="17" xfId="0" applyNumberFormat="1" applyFont="1" applyBorder="1">
      <alignment vertical="top"/>
    </xf>
    <xf numFmtId="0" fontId="6" fillId="0" borderId="5" xfId="0" applyNumberFormat="1" applyFont="1" applyBorder="1" applyAlignment="1">
      <alignment horizontal="left" vertical="center" wrapText="1" indent="1"/>
    </xf>
    <xf numFmtId="4" fontId="37" fillId="0" borderId="5" xfId="0" applyNumberFormat="1" applyFont="1" applyBorder="1" applyAlignment="1">
      <alignment horizontal="right" vertical="center" wrapText="1"/>
    </xf>
    <xf numFmtId="167" fontId="37" fillId="0" borderId="5" xfId="0" applyNumberFormat="1" applyFont="1" applyBorder="1" applyAlignment="1">
      <alignment horizontal="right" vertical="center" wrapText="1"/>
    </xf>
    <xf numFmtId="167" fontId="6" fillId="12" borderId="7" xfId="0" applyNumberFormat="1" applyFont="1" applyFill="1" applyBorder="1" applyAlignment="1" applyProtection="1">
      <alignment horizontal="right" vertical="center" wrapText="1"/>
      <protection locked="0"/>
    </xf>
    <xf numFmtId="4" fontId="37" fillId="0" borderId="7" xfId="0" applyNumberFormat="1" applyFont="1" applyBorder="1" applyAlignment="1">
      <alignment horizontal="center" vertical="center" wrapText="1"/>
    </xf>
    <xf numFmtId="4" fontId="6" fillId="12" borderId="6" xfId="0" applyNumberFormat="1" applyFont="1" applyFill="1" applyBorder="1" applyAlignment="1" applyProtection="1">
      <alignment horizontal="right" vertical="center" wrapText="1"/>
      <protection locked="0"/>
    </xf>
    <xf numFmtId="49" fontId="6" fillId="13" borderId="20" xfId="0" applyNumberFormat="1" applyFont="1" applyFill="1" applyBorder="1" applyAlignment="1">
      <alignment horizontal="center" vertical="center" wrapText="1"/>
    </xf>
    <xf numFmtId="49" fontId="36" fillId="0" borderId="0" xfId="0" applyNumberFormat="1" applyFont="1" applyAlignment="1">
      <alignment vertical="center" wrapText="1"/>
    </xf>
    <xf numFmtId="0" fontId="36" fillId="0" borderId="0" xfId="0" applyNumberFormat="1" applyFont="1" applyAlignment="1">
      <alignment horizontal="center" vertical="center" wrapText="1"/>
    </xf>
    <xf numFmtId="0" fontId="43" fillId="10" borderId="0" xfId="0" applyNumberFormat="1" applyFont="1" applyFill="1" applyAlignment="1">
      <alignment horizontal="center" vertical="center" wrapText="1"/>
    </xf>
    <xf numFmtId="0" fontId="43" fillId="0" borderId="0" xfId="0" applyNumberFormat="1" applyFont="1" applyAlignment="1">
      <alignment vertical="center" wrapText="1"/>
    </xf>
    <xf numFmtId="0" fontId="37" fillId="0" borderId="0" xfId="0" applyNumberFormat="1" applyFont="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0" borderId="12"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0" borderId="0" xfId="0" applyNumberFormat="1" applyFont="1" applyAlignment="1">
      <alignment horizontal="center" vertical="top"/>
    </xf>
    <xf numFmtId="49" fontId="22" fillId="0" borderId="0" xfId="0" applyNumberFormat="1" applyFont="1" applyAlignment="1">
      <alignment horizontal="center" vertical="center"/>
    </xf>
    <xf numFmtId="0" fontId="0" fillId="0" borderId="0" xfId="0" applyNumberFormat="1" applyFont="1" applyAlignment="1">
      <alignment horizontal="left" vertical="center"/>
    </xf>
    <xf numFmtId="0" fontId="41"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0" fillId="13" borderId="22" xfId="0" applyNumberFormat="1" applyFont="1" applyFill="1" applyBorder="1" applyAlignment="1">
      <alignment horizontal="left" vertical="center"/>
    </xf>
    <xf numFmtId="49" fontId="37" fillId="0" borderId="7" xfId="0" applyNumberFormat="1" applyFont="1" applyBorder="1" applyAlignment="1">
      <alignment horizontal="left" vertical="center" wrapText="1"/>
    </xf>
    <xf numFmtId="0" fontId="37" fillId="0" borderId="7" xfId="0" applyNumberFormat="1" applyFont="1" applyBorder="1" applyAlignment="1">
      <alignment horizontal="left" vertical="center"/>
    </xf>
    <xf numFmtId="0" fontId="37" fillId="0" borderId="8" xfId="0" applyNumberFormat="1" applyFont="1" applyBorder="1" applyAlignment="1">
      <alignment horizontal="left" vertical="center"/>
    </xf>
    <xf numFmtId="49" fontId="6" fillId="12" borderId="5" xfId="0" applyNumberFormat="1" applyFont="1" applyFill="1" applyBorder="1" applyAlignment="1" applyProtection="1">
      <alignment horizontal="left" vertical="center" wrapText="1" indent="6"/>
      <protection locked="0"/>
    </xf>
    <xf numFmtId="4" fontId="6" fillId="0" borderId="30"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49" fontId="0" fillId="13" borderId="22" xfId="0" applyNumberFormat="1" applyFont="1" applyFill="1" applyBorder="1" applyAlignment="1">
      <alignment horizontal="center" vertical="center" wrapText="1"/>
    </xf>
    <xf numFmtId="0" fontId="97" fillId="0" borderId="0" xfId="0" applyNumberFormat="1" applyFont="1" applyAlignment="1">
      <alignment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16" borderId="5" xfId="0" applyNumberFormat="1" applyFont="1" applyFill="1" applyBorder="1" applyAlignment="1">
      <alignment horizontal="center" vertical="center" wrapText="1"/>
    </xf>
    <xf numFmtId="49" fontId="37"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xf>
    <xf numFmtId="0" fontId="6" fillId="10"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0" xfId="0" applyNumberFormat="1" applyFont="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10" borderId="5" xfId="0" applyNumberFormat="1" applyFont="1" applyFill="1" applyBorder="1" applyAlignment="1">
      <alignment horizontal="center" vertical="center" wrapText="1"/>
    </xf>
    <xf numFmtId="0" fontId="37" fillId="10" borderId="0" xfId="0" applyNumberFormat="1" applyFont="1" applyFill="1" applyAlignment="1">
      <alignment horizontal="center" vertical="center" wrapText="1"/>
    </xf>
    <xf numFmtId="0" fontId="0" fillId="10" borderId="5" xfId="0" applyNumberFormat="1" applyFont="1" applyFill="1" applyBorder="1" applyAlignment="1">
      <alignment horizontal="center" vertical="center" wrapText="1"/>
    </xf>
    <xf numFmtId="0" fontId="6" fillId="10" borderId="17"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7" fillId="0" borderId="5" xfId="0" applyNumberFormat="1" applyFont="1" applyBorder="1" applyAlignment="1">
      <alignment horizontal="center" vertical="center" wrapText="1"/>
    </xf>
    <xf numFmtId="49" fontId="6" fillId="10" borderId="5"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0" fontId="27" fillId="0" borderId="0" xfId="0" applyNumberFormat="1" applyFont="1" applyAlignment="1">
      <alignment horizontal="center" vertical="center" wrapText="1"/>
    </xf>
    <xf numFmtId="167" fontId="6" fillId="13" borderId="8" xfId="0" applyNumberFormat="1" applyFont="1" applyFill="1" applyBorder="1" applyAlignment="1">
      <alignment horizontal="right" vertical="center" wrapText="1"/>
    </xf>
    <xf numFmtId="0" fontId="98" fillId="0" borderId="0" xfId="0" applyNumberFormat="1" applyFont="1" applyAlignment="1">
      <alignment vertical="center" wrapText="1"/>
    </xf>
    <xf numFmtId="0" fontId="98" fillId="10" borderId="0" xfId="0" applyNumberFormat="1" applyFont="1" applyFill="1" applyAlignment="1">
      <alignment horizontal="center" vertical="center" wrapText="1"/>
    </xf>
    <xf numFmtId="0" fontId="37" fillId="10" borderId="5" xfId="0" applyNumberFormat="1" applyFont="1" applyFill="1" applyBorder="1" applyAlignment="1">
      <alignment horizontal="left" vertical="center" wrapText="1" indent="3"/>
    </xf>
    <xf numFmtId="49" fontId="30" fillId="13" borderId="20" xfId="0" applyNumberFormat="1" applyFont="1" applyFill="1" applyBorder="1" applyAlignment="1">
      <alignment horizontal="left" vertical="center"/>
    </xf>
    <xf numFmtId="0" fontId="98" fillId="0" borderId="0" xfId="0" applyNumberFormat="1" applyFont="1" applyAlignment="1">
      <alignment horizontal="center" vertical="center" wrapText="1"/>
    </xf>
    <xf numFmtId="49" fontId="3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4"/>
    </xf>
    <xf numFmtId="0" fontId="37" fillId="0" borderId="0" xfId="0" applyNumberFormat="1" applyFont="1" applyAlignment="1">
      <alignment horizontal="left" vertical="center" wrapText="1" indent="1"/>
    </xf>
    <xf numFmtId="49" fontId="6" fillId="13" borderId="7" xfId="0" applyNumberFormat="1" applyFont="1" applyFill="1" applyBorder="1" applyAlignment="1">
      <alignment horizontal="center" vertical="center" wrapText="1"/>
    </xf>
    <xf numFmtId="0" fontId="37" fillId="0" borderId="17" xfId="0" applyNumberFormat="1" applyFont="1" applyBorder="1" applyAlignment="1">
      <alignment horizontal="left" vertical="center" wrapText="1" indent="1"/>
    </xf>
    <xf numFmtId="0" fontId="36" fillId="0" borderId="0" xfId="0" applyNumberFormat="1" applyFont="1" applyAlignment="1">
      <alignment horizontal="left" vertical="center"/>
    </xf>
    <xf numFmtId="49" fontId="36" fillId="0" borderId="0" xfId="0" applyNumberFormat="1" applyFont="1" applyAlignment="1">
      <alignment horizontal="left" vertical="center"/>
    </xf>
    <xf numFmtId="0" fontId="36" fillId="0" borderId="0" xfId="0" applyNumberFormat="1" applyFont="1" applyAlignment="1">
      <alignment horizontal="left" vertical="center"/>
    </xf>
    <xf numFmtId="0" fontId="56" fillId="0" borderId="0" xfId="0" applyNumberFormat="1" applyFont="1" applyAlignment="1">
      <alignment horizontal="left" vertical="center"/>
    </xf>
    <xf numFmtId="0" fontId="37" fillId="0" borderId="0" xfId="0" applyNumberFormat="1" applyFont="1" applyAlignment="1">
      <alignment horizontal="left" vertical="center"/>
    </xf>
    <xf numFmtId="49" fontId="6" fillId="0" borderId="0" xfId="0" applyNumberFormat="1" applyFont="1" applyAlignment="1">
      <alignment horizontal="center" vertical="center" wrapText="1"/>
    </xf>
    <xf numFmtId="49" fontId="6" fillId="0" borderId="12" xfId="0" applyNumberFormat="1" applyFont="1" applyBorder="1" applyAlignment="1">
      <alignment horizontal="center" vertical="center" wrapText="1"/>
    </xf>
    <xf numFmtId="49" fontId="6" fillId="0" borderId="12" xfId="0" applyNumberFormat="1" applyFont="1" applyBorder="1" applyAlignment="1">
      <alignment horizontal="left" vertical="center" wrapText="1"/>
    </xf>
    <xf numFmtId="0" fontId="27" fillId="0" borderId="0" xfId="0" applyNumberFormat="1" applyFont="1" applyAlignment="1">
      <alignment horizontal="center" vertical="center" wrapText="1"/>
    </xf>
    <xf numFmtId="0" fontId="27" fillId="10" borderId="0" xfId="0" applyNumberFormat="1" applyFont="1" applyFill="1" applyAlignment="1">
      <alignment horizontal="center" vertical="center" wrapText="1"/>
    </xf>
    <xf numFmtId="49" fontId="36" fillId="0" borderId="0" xfId="0" applyNumberFormat="1" applyFont="1" applyAlignment="1">
      <alignment horizontal="left" vertical="center"/>
    </xf>
    <xf numFmtId="49" fontId="36" fillId="0" borderId="0" xfId="0" applyNumberFormat="1" applyFont="1" applyAlignment="1">
      <alignment horizontal="left" vertical="center"/>
    </xf>
    <xf numFmtId="49" fontId="36" fillId="0" borderId="0" xfId="0" applyNumberFormat="1" applyFont="1" applyAlignment="1">
      <alignment horizontal="left" vertical="top"/>
    </xf>
    <xf numFmtId="49" fontId="6" fillId="10" borderId="5" xfId="0" applyNumberFormat="1" applyFont="1" applyFill="1" applyBorder="1" applyAlignment="1">
      <alignment horizontal="center" vertical="center"/>
    </xf>
    <xf numFmtId="0"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1"/>
    </xf>
    <xf numFmtId="49" fontId="6" fillId="0" borderId="5" xfId="0" applyNumberFormat="1" applyFont="1" applyBorder="1" applyAlignment="1">
      <alignment horizontal="center" vertical="center"/>
    </xf>
    <xf numFmtId="0" fontId="6" fillId="0" borderId="5" xfId="0" applyNumberFormat="1" applyFont="1" applyBorder="1" applyAlignment="1">
      <alignment horizontal="left" vertical="center" wrapText="1" indent="1"/>
    </xf>
    <xf numFmtId="0" fontId="6" fillId="0" borderId="5" xfId="0" applyNumberFormat="1" applyFont="1" applyBorder="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xf>
    <xf numFmtId="0" fontId="59" fillId="10" borderId="0" xfId="0" applyNumberFormat="1" applyFont="1" applyFill="1" applyAlignment="1">
      <alignment vertical="center" wrapText="1"/>
    </xf>
    <xf numFmtId="49" fontId="6" fillId="12" borderId="5" xfId="0" applyNumberFormat="1" applyFont="1" applyFill="1" applyBorder="1" applyAlignment="1" applyProtection="1">
      <alignment horizontal="left" vertical="center" wrapText="1"/>
      <protection locked="0"/>
    </xf>
    <xf numFmtId="0" fontId="71" fillId="10" borderId="0" xfId="0" applyNumberFormat="1" applyFont="1" applyFill="1" applyAlignment="1"/>
    <xf numFmtId="0" fontId="55" fillId="10" borderId="0" xfId="0" applyNumberFormat="1" applyFont="1" applyFill="1" applyAlignment="1"/>
    <xf numFmtId="14" fontId="6" fillId="15" borderId="16" xfId="0" applyNumberFormat="1" applyFont="1" applyFill="1" applyBorder="1" applyAlignment="1" applyProtection="1">
      <alignment horizontal="left" vertical="center" wrapText="1" indent="1"/>
      <protection locked="0"/>
    </xf>
    <xf numFmtId="0" fontId="99" fillId="0" borderId="0" xfId="0" applyNumberFormat="1" applyFont="1" applyAlignment="1">
      <alignment vertical="center"/>
    </xf>
    <xf numFmtId="0" fontId="99" fillId="0" borderId="0" xfId="0" applyNumberFormat="1" applyFont="1" applyAlignment="1">
      <alignment vertical="center" wrapText="1"/>
    </xf>
    <xf numFmtId="168" fontId="6" fillId="0" borderId="16" xfId="0" applyNumberFormat="1" applyFont="1" applyBorder="1" applyAlignment="1">
      <alignment horizontal="center" vertical="center" wrapText="1"/>
    </xf>
    <xf numFmtId="14" fontId="6" fillId="15" borderId="5" xfId="0" applyNumberFormat="1" applyFont="1" applyFill="1" applyBorder="1" applyAlignment="1" applyProtection="1">
      <alignment horizontal="left" vertical="center" wrapText="1" indent="1"/>
      <protection locked="0"/>
    </xf>
    <xf numFmtId="0" fontId="6" fillId="11" borderId="16" xfId="0" applyNumberFormat="1" applyFont="1" applyFill="1" applyBorder="1" applyAlignment="1">
      <alignment horizontal="left" vertical="center" wrapText="1" indent="1"/>
    </xf>
    <xf numFmtId="168" fontId="6" fillId="0" borderId="10" xfId="0" applyNumberFormat="1" applyFont="1" applyBorder="1" applyAlignment="1">
      <alignment horizontal="center" vertical="center" wrapText="1"/>
    </xf>
    <xf numFmtId="49" fontId="18" fillId="13" borderId="23" xfId="0" applyNumberFormat="1" applyFont="1" applyFill="1" applyBorder="1" applyAlignment="1">
      <alignment horizontal="right" vertical="center" wrapText="1"/>
    </xf>
    <xf numFmtId="49" fontId="0" fillId="13" borderId="20" xfId="0" applyNumberFormat="1" applyFont="1" applyFill="1" applyBorder="1" applyAlignment="1">
      <alignment horizontal="right" vertical="center" wrapText="1"/>
    </xf>
    <xf numFmtId="49" fontId="16" fillId="13" borderId="20" xfId="0" applyNumberFormat="1" applyFont="1" applyFill="1" applyBorder="1" applyAlignment="1">
      <alignment horizontal="left" vertical="center" wrapText="1"/>
    </xf>
    <xf numFmtId="0" fontId="37" fillId="0" borderId="20" xfId="0" applyNumberFormat="1" applyFont="1" applyBorder="1" applyAlignment="1">
      <alignment horizontal="center" vertical="center" wrapText="1"/>
    </xf>
    <xf numFmtId="0" fontId="37" fillId="0" borderId="0" xfId="0" applyNumberFormat="1" applyFont="1" applyAlignment="1">
      <alignment horizontal="center" vertical="center"/>
    </xf>
    <xf numFmtId="14" fontId="6" fillId="16" borderId="5" xfId="0" applyNumberFormat="1" applyFont="1" applyFill="1" applyBorder="1" applyAlignment="1">
      <alignment horizontal="left" vertical="center" wrapText="1"/>
    </xf>
    <xf numFmtId="168" fontId="6" fillId="0" borderId="30"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36" fillId="10" borderId="0" xfId="0" applyNumberFormat="1" applyFont="1" applyFill="1" applyAlignment="1"/>
    <xf numFmtId="0" fontId="6" fillId="0" borderId="8" xfId="0" applyNumberFormat="1" applyFont="1" applyBorder="1" applyAlignment="1">
      <alignment horizontal="right" vertical="center" wrapText="1" indent="1"/>
    </xf>
    <xf numFmtId="0" fontId="6" fillId="11" borderId="7" xfId="0" applyNumberFormat="1" applyFont="1" applyFill="1" applyBorder="1" applyAlignment="1">
      <alignment horizontal="left" vertical="top" wrapText="1"/>
    </xf>
    <xf numFmtId="49" fontId="37" fillId="0" borderId="0" xfId="0" applyNumberFormat="1" applyFont="1" applyAlignment="1">
      <alignment horizontal="center" vertical="center"/>
    </xf>
    <xf numFmtId="0" fontId="32" fillId="0" borderId="0" xfId="0" applyNumberFormat="1" applyFont="1" applyAlignment="1">
      <alignment vertical="center"/>
    </xf>
    <xf numFmtId="0" fontId="6" fillId="0" borderId="29" xfId="0" applyNumberFormat="1" applyFont="1" applyBorder="1" applyAlignment="1">
      <alignment horizontal="center" vertical="center" wrapText="1"/>
    </xf>
    <xf numFmtId="0" fontId="6" fillId="0" borderId="30"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49" fontId="6" fillId="0" borderId="29" xfId="0" applyNumberFormat="1" applyFont="1" applyBorder="1" applyAlignment="1">
      <alignment horizontal="left" vertical="center" wrapText="1"/>
    </xf>
    <xf numFmtId="49" fontId="6" fillId="0" borderId="29"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0" fontId="6" fillId="0" borderId="29" xfId="0" applyNumberFormat="1" applyFont="1" applyBorder="1" applyAlignment="1">
      <alignment horizontal="left" vertical="center" wrapText="1"/>
    </xf>
    <xf numFmtId="49" fontId="6" fillId="0" borderId="29" xfId="0" applyNumberFormat="1" applyFont="1" applyBorder="1" applyAlignment="1">
      <alignment vertical="center" wrapText="1"/>
    </xf>
    <xf numFmtId="0" fontId="6" fillId="0" borderId="16" xfId="0" applyNumberFormat="1" applyFont="1" applyBorder="1" applyAlignment="1">
      <alignment horizontal="left" vertical="center" wrapText="1"/>
    </xf>
    <xf numFmtId="0" fontId="30" fillId="0" borderId="16" xfId="0" applyNumberFormat="1" applyFont="1" applyBorder="1" applyAlignment="1">
      <alignment horizontal="left" vertical="center"/>
    </xf>
    <xf numFmtId="0" fontId="30" fillId="13" borderId="7" xfId="0" applyNumberFormat="1" applyFont="1" applyFill="1" applyBorder="1" applyAlignment="1">
      <alignment horizontal="left" vertical="center"/>
    </xf>
    <xf numFmtId="0" fontId="30" fillId="0" borderId="29" xfId="0" applyNumberFormat="1" applyFont="1" applyBorder="1" applyAlignment="1">
      <alignment horizontal="left" vertical="center"/>
    </xf>
    <xf numFmtId="0" fontId="30" fillId="13" borderId="30" xfId="0" applyNumberFormat="1" applyFont="1" applyFill="1" applyBorder="1" applyAlignment="1">
      <alignment horizontal="left" vertical="center"/>
    </xf>
    <xf numFmtId="49" fontId="54" fillId="13" borderId="7" xfId="0" applyNumberFormat="1" applyFont="1" applyFill="1" applyBorder="1">
      <alignment vertical="top"/>
    </xf>
    <xf numFmtId="49" fontId="54" fillId="13" borderId="8" xfId="0" applyNumberFormat="1" applyFont="1" applyFill="1" applyBorder="1">
      <alignment vertical="top"/>
    </xf>
    <xf numFmtId="49" fontId="6" fillId="16" borderId="10" xfId="0" applyNumberFormat="1" applyFont="1" applyFill="1" applyBorder="1" applyAlignment="1">
      <alignment vertical="center" wrapText="1"/>
    </xf>
    <xf numFmtId="0" fontId="6" fillId="0" borderId="30" xfId="0" applyNumberFormat="1" applyFont="1" applyBorder="1" applyAlignment="1">
      <alignment horizontal="center" vertical="center" wrapText="1"/>
    </xf>
    <xf numFmtId="49" fontId="0" fillId="0" borderId="0" xfId="0" applyNumberFormat="1" applyFont="1">
      <alignment vertical="top"/>
    </xf>
    <xf numFmtId="49" fontId="36" fillId="0" borderId="0" xfId="0" applyNumberFormat="1" applyFont="1" applyAlignment="1">
      <alignment horizontal="center" vertical="center"/>
    </xf>
    <xf numFmtId="0" fontId="100" fillId="0" borderId="0" xfId="0" applyNumberFormat="1" applyFont="1" applyAlignment="1">
      <alignment vertical="center" wrapText="1"/>
    </xf>
    <xf numFmtId="0" fontId="101" fillId="0" borderId="0" xfId="0" applyNumberFormat="1" applyFont="1" applyAlignment="1">
      <alignment vertical="center" wrapText="1"/>
    </xf>
    <xf numFmtId="0" fontId="6" fillId="0" borderId="10"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0" fontId="6" fillId="0" borderId="0" xfId="0" applyNumberFormat="1" applyFont="1" applyAlignment="1">
      <alignment horizontal="left" vertical="center" wrapText="1"/>
    </xf>
    <xf numFmtId="49" fontId="6" fillId="0" borderId="12" xfId="0" applyNumberFormat="1" applyFont="1" applyBorder="1" applyAlignment="1">
      <alignment vertical="center" wrapText="1"/>
    </xf>
    <xf numFmtId="49" fontId="6" fillId="0" borderId="12" xfId="0" applyNumberFormat="1" applyFont="1" applyBorder="1" applyAlignment="1">
      <alignment horizontal="left" vertical="center" wrapText="1"/>
    </xf>
    <xf numFmtId="49" fontId="27" fillId="0" borderId="12" xfId="0" applyNumberFormat="1" applyFont="1" applyBorder="1" applyAlignment="1">
      <alignment vertical="center" wrapText="1"/>
    </xf>
    <xf numFmtId="49" fontId="6" fillId="0" borderId="12" xfId="0" applyNumberFormat="1" applyFont="1" applyBorder="1" applyAlignment="1">
      <alignment horizontal="center" vertical="center" wrapText="1"/>
    </xf>
    <xf numFmtId="0" fontId="6" fillId="0" borderId="12" xfId="0" applyNumberFormat="1" applyFont="1" applyBorder="1" applyAlignment="1">
      <alignment horizontal="left" vertical="center" wrapText="1"/>
    </xf>
    <xf numFmtId="49" fontId="6" fillId="0" borderId="12" xfId="0" applyNumberFormat="1" applyFont="1" applyBorder="1" applyAlignment="1">
      <alignment vertical="center" wrapText="1"/>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49" fontId="27" fillId="0" borderId="0" xfId="0" applyNumberFormat="1" applyFont="1" applyAlignment="1">
      <alignment vertical="center" wrapText="1"/>
    </xf>
    <xf numFmtId="49" fontId="6" fillId="0" borderId="0" xfId="0" applyNumberFormat="1" applyFont="1" applyAlignment="1">
      <alignment horizontal="center" vertical="center" wrapText="1"/>
    </xf>
    <xf numFmtId="0" fontId="6" fillId="0" borderId="0" xfId="0" applyNumberFormat="1" applyFont="1" applyAlignment="1">
      <alignment horizontal="left" vertical="center" wrapText="1"/>
    </xf>
    <xf numFmtId="0" fontId="30" fillId="0" borderId="0" xfId="0" applyNumberFormat="1" applyFont="1" applyAlignment="1">
      <alignment horizontal="left" vertical="center"/>
    </xf>
    <xf numFmtId="49" fontId="27" fillId="0" borderId="0" xfId="0" applyNumberFormat="1" applyFont="1" applyAlignment="1">
      <alignment horizontal="center" vertical="center" wrapText="1"/>
    </xf>
    <xf numFmtId="0" fontId="30" fillId="0" borderId="0" xfId="0" applyNumberFormat="1" applyFont="1" applyAlignment="1">
      <alignment vertical="center"/>
    </xf>
    <xf numFmtId="49" fontId="54" fillId="0" borderId="23" xfId="0" applyNumberFormat="1" applyFont="1" applyBorder="1">
      <alignment vertical="top"/>
    </xf>
    <xf numFmtId="49" fontId="6" fillId="0" borderId="30" xfId="0" applyNumberFormat="1" applyFont="1" applyBorder="1" applyAlignment="1">
      <alignment vertical="center" wrapText="1"/>
    </xf>
    <xf numFmtId="49" fontId="6" fillId="0" borderId="15" xfId="0" applyNumberFormat="1" applyFont="1" applyBorder="1" applyAlignment="1">
      <alignment vertical="center" wrapText="1"/>
    </xf>
    <xf numFmtId="0" fontId="30" fillId="0" borderId="15" xfId="0" applyNumberFormat="1" applyFont="1" applyBorder="1" applyAlignment="1">
      <alignment horizontal="left" vertical="center"/>
    </xf>
    <xf numFmtId="49" fontId="54" fillId="0" borderId="20" xfId="0" applyNumberFormat="1" applyFont="1" applyBorder="1">
      <alignment vertical="top"/>
    </xf>
    <xf numFmtId="49" fontId="6" fillId="0" borderId="29" xfId="0" applyNumberFormat="1" applyFont="1" applyBorder="1" applyAlignment="1">
      <alignment horizontal="center" vertical="center" wrapText="1"/>
    </xf>
    <xf numFmtId="0" fontId="30" fillId="13" borderId="30" xfId="0" applyNumberFormat="1" applyFont="1" applyFill="1" applyBorder="1" applyAlignment="1">
      <alignment vertical="center"/>
    </xf>
    <xf numFmtId="49" fontId="0" fillId="0" borderId="5" xfId="0" applyNumberFormat="1" applyFont="1" applyBorder="1" applyAlignment="1">
      <alignment horizontal="left" vertical="center" wrapText="1" indent="1"/>
    </xf>
    <xf numFmtId="49" fontId="0" fillId="0" borderId="0" xfId="0" applyNumberFormat="1" applyFont="1">
      <alignment vertical="top"/>
    </xf>
    <xf numFmtId="0" fontId="6" fillId="0" borderId="0" xfId="0" applyNumberFormat="1" applyFont="1" applyAlignment="1">
      <alignment vertical="center" wrapText="1"/>
    </xf>
    <xf numFmtId="0" fontId="6" fillId="0" borderId="0" xfId="0" applyNumberFormat="1" applyFont="1" applyAlignment="1">
      <alignment horizontal="left" vertical="center" wrapText="1"/>
    </xf>
    <xf numFmtId="0" fontId="45" fillId="0" borderId="0" xfId="0" applyNumberFormat="1" applyFont="1" applyAlignment="1">
      <alignment vertical="center" wrapText="1"/>
    </xf>
    <xf numFmtId="0" fontId="37" fillId="0" borderId="0" xfId="0" applyNumberFormat="1" applyFont="1" applyAlignment="1">
      <alignment vertical="center" wrapText="1"/>
    </xf>
    <xf numFmtId="0" fontId="51" fillId="0" borderId="0" xfId="0" applyNumberFormat="1" applyFont="1" applyAlignment="1">
      <alignment vertical="center" wrapText="1"/>
    </xf>
    <xf numFmtId="49" fontId="6" fillId="0" borderId="5" xfId="0" applyNumberFormat="1" applyFont="1" applyBorder="1" applyAlignment="1">
      <alignment horizontal="center" vertical="center" wrapText="1"/>
    </xf>
    <xf numFmtId="0" fontId="27"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49" fontId="6" fillId="0" borderId="5" xfId="0" applyNumberFormat="1" applyFont="1" applyBorder="1" applyAlignment="1">
      <alignment horizontal="center" vertical="center" wrapText="1"/>
    </xf>
    <xf numFmtId="3" fontId="6" fillId="15" borderId="5" xfId="0" applyNumberFormat="1" applyFont="1" applyFill="1" applyBorder="1" applyAlignment="1" applyProtection="1">
      <alignment horizontal="right" vertical="center" wrapText="1"/>
      <protection locked="0"/>
    </xf>
    <xf numFmtId="0" fontId="37" fillId="0" borderId="0" xfId="0" applyNumberFormat="1" applyFont="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27" fillId="10" borderId="5" xfId="0" applyNumberFormat="1" applyFont="1" applyFill="1" applyBorder="1" applyAlignment="1">
      <alignment horizontal="center" vertical="center" wrapText="1"/>
    </xf>
    <xf numFmtId="0" fontId="36" fillId="0" borderId="15" xfId="0" applyNumberFormat="1" applyFont="1" applyBorder="1" applyAlignment="1">
      <alignment vertical="center"/>
    </xf>
    <xf numFmtId="0" fontId="36" fillId="0" borderId="15" xfId="0" applyNumberFormat="1" applyFont="1" applyBorder="1" applyAlignment="1">
      <alignment vertical="center"/>
    </xf>
    <xf numFmtId="0" fontId="6" fillId="0" borderId="10" xfId="0" applyNumberFormat="1" applyFont="1" applyBorder="1" applyAlignment="1">
      <alignment horizontal="left" vertical="center" wrapText="1" indent="1"/>
    </xf>
    <xf numFmtId="49" fontId="6" fillId="0" borderId="51"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41" fillId="0" borderId="0" xfId="0" applyNumberFormat="1" applyFont="1" applyAlignment="1">
      <alignment vertical="center"/>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horizontal="left" vertical="center" wrapText="1" indent="2"/>
    </xf>
    <xf numFmtId="0" fontId="37" fillId="0" borderId="10"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49" fontId="0" fillId="0" borderId="5" xfId="0" applyNumberFormat="1" applyFont="1" applyBorder="1" applyAlignment="1">
      <alignment vertical="center" wrapText="1"/>
    </xf>
    <xf numFmtId="0" fontId="37" fillId="0" borderId="7" xfId="0" applyNumberFormat="1" applyFont="1" applyBorder="1" applyAlignment="1">
      <alignment vertical="center" wrapText="1"/>
    </xf>
    <xf numFmtId="0" fontId="37" fillId="0" borderId="7" xfId="0" applyNumberFormat="1" applyFont="1" applyBorder="1" applyAlignment="1">
      <alignment horizontal="left" vertical="top" wrapText="1"/>
    </xf>
    <xf numFmtId="49" fontId="6" fillId="0" borderId="52"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49" fontId="30" fillId="13" borderId="12" xfId="0" applyNumberFormat="1" applyFont="1" applyFill="1" applyBorder="1" applyAlignment="1">
      <alignment horizontal="left" vertical="center" indent="2"/>
    </xf>
    <xf numFmtId="49" fontId="0" fillId="0" borderId="5" xfId="0" applyNumberFormat="1" applyFont="1" applyBorder="1" applyAlignment="1">
      <alignment horizontal="left" vertical="center" wrapText="1" indent="1"/>
    </xf>
    <xf numFmtId="49" fontId="0" fillId="0" borderId="5" xfId="0" applyNumberFormat="1" applyFont="1" applyBorder="1" applyAlignment="1">
      <alignment horizontal="left" vertical="center" wrapText="1" indent="2"/>
    </xf>
    <xf numFmtId="49" fontId="6" fillId="0" borderId="0" xfId="0" applyNumberFormat="1" applyFont="1" applyAlignment="1">
      <alignment vertical="center" wrapText="1"/>
    </xf>
    <xf numFmtId="0" fontId="0"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49" fontId="6" fillId="16" borderId="5" xfId="0" applyNumberFormat="1" applyFont="1" applyFill="1" applyBorder="1" applyAlignment="1">
      <alignment horizontal="left" vertical="center" wrapText="1"/>
    </xf>
    <xf numFmtId="49" fontId="6" fillId="0" borderId="53" xfId="0" applyNumberFormat="1" applyFont="1" applyBorder="1" applyAlignment="1">
      <alignment horizontal="center" vertical="center" wrapText="1"/>
    </xf>
    <xf numFmtId="4" fontId="6" fillId="15" borderId="10" xfId="0" applyNumberFormat="1" applyFont="1" applyFill="1" applyBorder="1" applyAlignment="1" applyProtection="1">
      <alignment horizontal="right" vertical="center" wrapText="1"/>
      <protection locked="0"/>
    </xf>
    <xf numFmtId="49" fontId="30" fillId="0" borderId="12" xfId="0" applyNumberFormat="1" applyFont="1" applyBorder="1" applyAlignment="1">
      <alignment horizontal="left" vertical="center"/>
    </xf>
    <xf numFmtId="49" fontId="30" fillId="0" borderId="12" xfId="0" applyNumberFormat="1" applyFont="1" applyBorder="1" applyAlignment="1">
      <alignment horizontal="left" vertical="center" indent="2"/>
    </xf>
    <xf numFmtId="49" fontId="34" fillId="0" borderId="12" xfId="0" applyNumberFormat="1" applyFont="1" applyBorder="1" applyAlignment="1">
      <alignment horizontal="center" vertical="top"/>
    </xf>
    <xf numFmtId="0" fontId="6" fillId="0" borderId="12" xfId="0" applyNumberFormat="1" applyFont="1" applyBorder="1" applyAlignment="1">
      <alignment horizontal="left" vertical="top" wrapText="1"/>
    </xf>
    <xf numFmtId="0" fontId="6" fillId="0" borderId="0" xfId="0" applyNumberFormat="1" applyFont="1" applyAlignment="1">
      <alignment horizontal="right" vertical="top" wrapText="1"/>
    </xf>
    <xf numFmtId="49" fontId="0" fillId="15" borderId="5" xfId="0" applyNumberFormat="1" applyFont="1" applyFill="1" applyBorder="1" applyAlignment="1" applyProtection="1">
      <alignment horizontal="left" vertical="center" wrapText="1" indent="1"/>
      <protection locked="0"/>
    </xf>
    <xf numFmtId="49" fontId="36" fillId="0" borderId="0" xfId="0" applyNumberFormat="1" applyFont="1">
      <alignment vertical="top"/>
    </xf>
    <xf numFmtId="49"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0" fontId="6" fillId="10" borderId="0" xfId="0" applyNumberFormat="1" applyFont="1" applyFill="1" applyAlignment="1"/>
    <xf numFmtId="0" fontId="6" fillId="0" borderId="0" xfId="0" applyNumberFormat="1" applyFont="1" applyAlignment="1">
      <alignment vertical="top" wrapText="1"/>
    </xf>
    <xf numFmtId="0" fontId="27" fillId="10" borderId="0" xfId="0" applyNumberFormat="1" applyFont="1" applyFill="1" applyAlignment="1">
      <alignment horizontal="center" vertical="center" wrapText="1"/>
    </xf>
    <xf numFmtId="0" fontId="0" fillId="10" borderId="16"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49" fontId="0" fillId="0" borderId="0" xfId="0" applyNumberFormat="1" applyFont="1" applyAlignment="1">
      <alignment vertical="center"/>
    </xf>
    <xf numFmtId="0" fontId="0" fillId="23" borderId="0" xfId="0" applyNumberFormat="1" applyFont="1" applyFill="1" applyAlignment="1">
      <alignment horizontal="right" vertical="center"/>
    </xf>
    <xf numFmtId="0" fontId="41" fillId="23" borderId="0" xfId="0" applyNumberFormat="1" applyFont="1" applyFill="1" applyAlignment="1">
      <alignment horizontal="left" vertical="center"/>
    </xf>
    <xf numFmtId="0" fontId="0" fillId="0" borderId="0" xfId="0" applyNumberFormat="1" applyFont="1" applyAlignment="1">
      <alignment horizontal="right" vertical="top"/>
    </xf>
    <xf numFmtId="0" fontId="0" fillId="23" borderId="3" xfId="0" applyNumberFormat="1" applyFont="1" applyFill="1" applyBorder="1" applyAlignment="1">
      <alignment horizontal="center"/>
    </xf>
    <xf numFmtId="0" fontId="0" fillId="0" borderId="3" xfId="0" applyNumberFormat="1" applyFont="1" applyBorder="1" applyAlignment="1">
      <alignment horizontal="center"/>
    </xf>
    <xf numFmtId="0" fontId="102" fillId="0" borderId="0" xfId="0" applyNumberFormat="1" applyFont="1" applyAlignment="1">
      <alignment wrapText="1"/>
    </xf>
    <xf numFmtId="49" fontId="53" fillId="0" borderId="0" xfId="0" applyNumberFormat="1" applyFont="1" applyAlignment="1">
      <alignment wrapText="1"/>
    </xf>
    <xf numFmtId="49" fontId="53" fillId="0" borderId="0" xfId="0" applyNumberFormat="1" applyFont="1" applyAlignment="1">
      <alignment vertical="center" wrapText="1"/>
    </xf>
    <xf numFmtId="49" fontId="103" fillId="0" borderId="0" xfId="0" applyNumberFormat="1" applyFont="1" applyAlignment="1">
      <alignment wrapText="1"/>
    </xf>
    <xf numFmtId="0" fontId="89" fillId="0" borderId="0" xfId="0" applyNumberFormat="1" applyFont="1" applyAlignment="1">
      <alignment horizontal="left" vertical="center" wrapText="1"/>
    </xf>
    <xf numFmtId="49" fontId="104" fillId="0" borderId="0" xfId="0" applyNumberFormat="1" applyFont="1" applyAlignment="1">
      <alignment wrapText="1"/>
    </xf>
    <xf numFmtId="0" fontId="5" fillId="0" borderId="0" xfId="0" applyNumberFormat="1" applyFont="1" applyAlignment="1">
      <alignment horizontal="left" vertical="top" wrapText="1"/>
    </xf>
    <xf numFmtId="49" fontId="6" fillId="0" borderId="0" xfId="0" applyNumberFormat="1" applyFont="1" applyAlignment="1">
      <alignment vertical="top" wrapText="1"/>
    </xf>
    <xf numFmtId="0" fontId="53" fillId="0" borderId="0" xfId="0" applyNumberFormat="1" applyFont="1" applyAlignment="1">
      <alignment wrapText="1"/>
    </xf>
    <xf numFmtId="0" fontId="105" fillId="0" borderId="0" xfId="0" applyNumberFormat="1" applyFont="1" applyAlignment="1">
      <alignment horizontal="left" vertical="center" wrapText="1"/>
    </xf>
    <xf numFmtId="0" fontId="106" fillId="0" borderId="0" xfId="0" applyNumberFormat="1" applyFont="1" applyAlignment="1">
      <alignment vertical="center" wrapText="1"/>
    </xf>
    <xf numFmtId="0" fontId="53" fillId="0" borderId="31" xfId="0" applyNumberFormat="1" applyFont="1" applyBorder="1" applyAlignment="1">
      <alignment wrapText="1"/>
    </xf>
    <xf numFmtId="0" fontId="53" fillId="0" borderId="0" xfId="0" applyNumberFormat="1" applyFont="1" applyAlignment="1"/>
    <xf numFmtId="0" fontId="105" fillId="0" borderId="0" xfId="0" applyNumberFormat="1" applyFont="1" applyAlignment="1"/>
    <xf numFmtId="0" fontId="107" fillId="0" borderId="0" xfId="0" applyNumberFormat="1" applyFont="1" applyAlignment="1">
      <alignment wrapText="1"/>
    </xf>
    <xf numFmtId="0" fontId="0" fillId="12" borderId="54" xfId="0" applyNumberFormat="1" applyFont="1" applyFill="1" applyBorder="1" applyAlignment="1">
      <alignment horizontal="center" vertical="center" wrapText="1"/>
    </xf>
    <xf numFmtId="0" fontId="0" fillId="28" borderId="54" xfId="0" applyNumberFormat="1" applyFont="1" applyFill="1" applyBorder="1" applyAlignment="1">
      <alignment horizontal="center" vertical="center" wrapText="1"/>
    </xf>
    <xf numFmtId="0" fontId="0" fillId="11" borderId="54" xfId="0" applyNumberFormat="1" applyFont="1" applyFill="1" applyBorder="1" applyAlignment="1">
      <alignment horizontal="center" vertical="center" wrapText="1"/>
    </xf>
    <xf numFmtId="0" fontId="0" fillId="15" borderId="54" xfId="0" applyNumberFormat="1" applyFont="1" applyFill="1" applyBorder="1" applyAlignment="1">
      <alignment horizontal="center" vertical="center" wrapText="1"/>
    </xf>
    <xf numFmtId="0" fontId="105" fillId="0" borderId="31" xfId="0" applyNumberFormat="1" applyFont="1" applyBorder="1" applyAlignment="1">
      <alignment horizontal="left" vertical="center" wrapText="1"/>
    </xf>
    <xf numFmtId="0" fontId="105" fillId="0" borderId="55" xfId="0" applyNumberFormat="1" applyFont="1" applyBorder="1" applyAlignment="1">
      <alignment horizontal="left" vertical="center" wrapText="1"/>
    </xf>
    <xf numFmtId="0" fontId="107" fillId="0" borderId="0" xfId="0" applyNumberFormat="1" applyFont="1" applyAlignment="1"/>
    <xf numFmtId="0" fontId="107" fillId="0" borderId="31" xfId="0" applyNumberFormat="1" applyFont="1" applyBorder="1" applyAlignment="1">
      <alignment wrapText="1"/>
    </xf>
    <xf numFmtId="0" fontId="53" fillId="0" borderId="56" xfId="0" applyNumberFormat="1" applyFont="1" applyBorder="1" applyAlignment="1">
      <alignment wrapText="1"/>
    </xf>
    <xf numFmtId="0" fontId="53" fillId="0" borderId="32" xfId="0" applyNumberFormat="1" applyFont="1" applyBorder="1" applyAlignment="1">
      <alignment wrapText="1"/>
    </xf>
    <xf numFmtId="0" fontId="53" fillId="0" borderId="32" xfId="0" applyNumberFormat="1" applyFont="1" applyBorder="1" applyAlignment="1">
      <alignment vertical="center" wrapText="1"/>
    </xf>
    <xf numFmtId="0" fontId="103" fillId="0" borderId="0" xfId="0" applyNumberFormat="1" applyFont="1" applyAlignment="1"/>
    <xf numFmtId="0" fontId="26" fillId="0" borderId="17"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108" fillId="0" borderId="0" xfId="0" applyNumberFormat="1" applyFont="1" applyAlignment="1">
      <alignment horizontal="center" vertical="center" wrapText="1"/>
    </xf>
    <xf numFmtId="49" fontId="6" fillId="23" borderId="0" xfId="0" applyNumberFormat="1" applyFont="1" applyFill="1" applyAlignment="1">
      <alignment horizontal="center" vertical="center"/>
    </xf>
    <xf numFmtId="170" fontId="0" fillId="15" borderId="5" xfId="0" applyNumberFormat="1" applyFont="1" applyFill="1" applyBorder="1" applyAlignment="1" applyProtection="1">
      <alignment horizontal="left" vertical="center" wrapText="1" indent="1"/>
      <protection locked="0"/>
    </xf>
    <xf numFmtId="170" fontId="0" fillId="0" borderId="5" xfId="0" applyNumberFormat="1" applyFont="1" applyBorder="1" applyAlignment="1">
      <alignment horizontal="left" vertical="center" wrapText="1" indent="1"/>
    </xf>
    <xf numFmtId="170" fontId="0" fillId="15" borderId="5" xfId="0" applyNumberFormat="1" applyFont="1" applyFill="1" applyBorder="1" applyAlignment="1" applyProtection="1">
      <alignment horizontal="center" vertical="center" wrapText="1"/>
      <protection locked="0"/>
    </xf>
    <xf numFmtId="170" fontId="37" fillId="0" borderId="0" xfId="0" applyNumberFormat="1" applyFont="1" applyAlignment="1">
      <alignment horizontal="center" vertical="center" wrapText="1"/>
    </xf>
    <xf numFmtId="170" fontId="37" fillId="0" borderId="5" xfId="0" applyNumberFormat="1" applyFont="1" applyBorder="1" applyAlignment="1">
      <alignment horizontal="center" vertical="center" wrapText="1"/>
    </xf>
    <xf numFmtId="170" fontId="0" fillId="15" borderId="5" xfId="0" applyNumberFormat="1" applyFont="1" applyFill="1" applyBorder="1" applyAlignment="1" applyProtection="1">
      <alignment horizontal="left" vertical="center" wrapText="1"/>
      <protection locked="0"/>
    </xf>
    <xf numFmtId="170" fontId="0" fillId="12" borderId="5" xfId="0" applyNumberFormat="1" applyFont="1" applyFill="1" applyBorder="1" applyAlignment="1" applyProtection="1">
      <alignment horizontal="left" vertical="center" wrapText="1" indent="1"/>
      <protection locked="0"/>
    </xf>
    <xf numFmtId="170" fontId="0" fillId="15" borderId="6" xfId="0" applyNumberFormat="1" applyFont="1" applyFill="1" applyBorder="1" applyAlignment="1" applyProtection="1">
      <alignment horizontal="left" vertical="center" wrapText="1"/>
      <protection locked="0"/>
    </xf>
    <xf numFmtId="0" fontId="6" fillId="0" borderId="0" xfId="0" applyNumberFormat="1" applyFont="1" applyAlignment="1">
      <alignment horizontal="left" vertical="top" indent="1"/>
    </xf>
    <xf numFmtId="0" fontId="6" fillId="11" borderId="23" xfId="0" applyNumberFormat="1" applyFont="1" applyFill="1" applyBorder="1" applyAlignment="1">
      <alignment horizontal="center" vertical="top"/>
    </xf>
    <xf numFmtId="0" fontId="0" fillId="0" borderId="27" xfId="0" applyNumberFormat="1" applyFont="1" applyBorder="1" applyAlignment="1">
      <alignment horizontal="center" vertical="center"/>
    </xf>
    <xf numFmtId="0" fontId="0" fillId="0" borderId="26" xfId="0" applyNumberFormat="1" applyFont="1" applyBorder="1" applyAlignment="1">
      <alignment horizontal="center" vertical="center"/>
    </xf>
    <xf numFmtId="0" fontId="6" fillId="11" borderId="23" xfId="0" applyNumberFormat="1" applyFont="1" applyFill="1" applyBorder="1" applyAlignment="1">
      <alignment horizontal="left" vertical="top"/>
    </xf>
    <xf numFmtId="0" fontId="6" fillId="0" borderId="5" xfId="0" applyNumberFormat="1" applyFont="1" applyBorder="1" applyAlignment="1">
      <alignment horizontal="left" vertical="top"/>
    </xf>
    <xf numFmtId="49" fontId="6" fillId="0" borderId="0" xfId="0" applyNumberFormat="1" applyFont="1" applyAlignment="1">
      <alignment horizontal="left" vertical="top"/>
    </xf>
    <xf numFmtId="0" fontId="0" fillId="11" borderId="29" xfId="0" applyNumberFormat="1" applyFont="1" applyFill="1" applyBorder="1" applyAlignment="1">
      <alignment horizontal="left" vertical="top" wrapText="1" indent="1"/>
    </xf>
    <xf numFmtId="49" fontId="6" fillId="16" borderId="29" xfId="0" applyNumberFormat="1" applyFont="1" applyFill="1" applyBorder="1" applyAlignment="1">
      <alignment horizontal="center" vertical="top" wrapText="1"/>
    </xf>
    <xf numFmtId="49" fontId="0" fillId="15" borderId="29" xfId="0" applyNumberFormat="1" applyFont="1" applyFill="1" applyBorder="1" applyAlignment="1" applyProtection="1">
      <alignment horizontal="center" vertical="top" wrapText="1"/>
      <protection locked="0"/>
    </xf>
    <xf numFmtId="49" fontId="0" fillId="12" borderId="29" xfId="0" applyNumberFormat="1" applyFont="1" applyFill="1" applyBorder="1" applyAlignment="1" applyProtection="1">
      <alignment horizontal="center" vertical="top" wrapText="1"/>
      <protection locked="0"/>
    </xf>
    <xf numFmtId="49" fontId="6" fillId="16" borderId="29" xfId="0" applyNumberFormat="1" applyFont="1" applyFill="1" applyBorder="1" applyAlignment="1">
      <alignment horizontal="left" vertical="top" wrapText="1"/>
    </xf>
    <xf numFmtId="49" fontId="6" fillId="15" borderId="29" xfId="0" applyNumberFormat="1" applyFont="1" applyFill="1" applyBorder="1" applyAlignment="1" applyProtection="1">
      <alignment horizontal="left" vertical="top" wrapText="1"/>
      <protection locked="0"/>
    </xf>
    <xf numFmtId="49" fontId="0" fillId="11" borderId="29" xfId="0" applyNumberFormat="1" applyFont="1" applyFill="1" applyBorder="1" applyAlignment="1">
      <alignment horizontal="center" vertical="top" wrapText="1"/>
    </xf>
    <xf numFmtId="0" fontId="6" fillId="11" borderId="29" xfId="0" applyNumberFormat="1" applyFont="1" applyFill="1" applyBorder="1" applyAlignment="1">
      <alignment horizontal="center" vertical="top" wrapText="1"/>
    </xf>
    <xf numFmtId="0" fontId="6" fillId="12" borderId="29" xfId="0" applyNumberFormat="1" applyFont="1" applyFill="1" applyBorder="1" applyAlignment="1" applyProtection="1">
      <alignment horizontal="left" vertical="top" wrapText="1"/>
      <protection locked="0"/>
    </xf>
    <xf numFmtId="0" fontId="30" fillId="0" borderId="29" xfId="0" applyNumberFormat="1" applyFont="1" applyBorder="1" applyAlignment="1">
      <alignment horizontal="left" vertical="center"/>
    </xf>
    <xf numFmtId="0" fontId="30" fillId="12" borderId="29" xfId="0" applyNumberFormat="1" applyFont="1" applyFill="1" applyBorder="1" applyAlignment="1" applyProtection="1">
      <alignment horizontal="left" vertical="center"/>
      <protection locked="0"/>
    </xf>
    <xf numFmtId="0" fontId="30" fillId="15" borderId="29" xfId="0" applyNumberFormat="1" applyFont="1" applyFill="1" applyBorder="1" applyAlignment="1" applyProtection="1">
      <alignment horizontal="left" vertical="center"/>
      <protection locked="0"/>
    </xf>
    <xf numFmtId="14" fontId="6" fillId="16" borderId="29" xfId="0" applyNumberFormat="1" applyFont="1" applyFill="1" applyBorder="1" applyAlignment="1">
      <alignment horizontal="left" vertical="center" wrapText="1" indent="1"/>
    </xf>
    <xf numFmtId="49" fontId="6" fillId="16"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0" fillId="10" borderId="5" xfId="0" applyNumberFormat="1" applyFont="1" applyFill="1" applyBorder="1" applyAlignment="1">
      <alignment vertical="top" wrapText="1"/>
    </xf>
    <xf numFmtId="0" fontId="36" fillId="0" borderId="5" xfId="0" applyNumberFormat="1" applyFont="1" applyBorder="1" applyAlignment="1">
      <alignment vertical="top" wrapText="1"/>
    </xf>
    <xf numFmtId="49" fontId="6" fillId="16" borderId="10" xfId="0" applyNumberFormat="1" applyFont="1" applyFill="1" applyBorder="1" applyAlignment="1">
      <alignment vertical="center" wrapText="1"/>
    </xf>
    <xf numFmtId="49" fontId="6" fillId="16" borderId="29" xfId="0" applyNumberFormat="1" applyFont="1" applyFill="1" applyBorder="1" applyAlignment="1">
      <alignment vertical="center" wrapText="1"/>
    </xf>
    <xf numFmtId="49" fontId="6" fillId="16" borderId="16" xfId="0" applyNumberFormat="1" applyFont="1" applyFill="1" applyBorder="1" applyAlignment="1">
      <alignment vertical="center" wrapText="1"/>
    </xf>
    <xf numFmtId="0" fontId="0" fillId="15" borderId="5" xfId="0" applyNumberFormat="1" applyFont="1" applyFill="1" applyBorder="1" applyAlignment="1" applyProtection="1">
      <alignment horizontal="left" vertical="center" wrapText="1" indent="1"/>
      <protection locked="0"/>
    </xf>
    <xf numFmtId="0" fontId="0" fillId="0" borderId="6"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49" fontId="6" fillId="0" borderId="0" xfId="0" applyNumberFormat="1" applyFont="1" applyAlignment="1">
      <alignment horizontal="left" vertical="center" indent="1"/>
    </xf>
    <xf numFmtId="170" fontId="0" fillId="15" borderId="7" xfId="0" applyNumberFormat="1" applyFont="1" applyFill="1" applyBorder="1" applyAlignment="1" applyProtection="1">
      <alignment horizontal="left" vertical="center" wrapText="1"/>
      <protection locked="0"/>
    </xf>
    <xf numFmtId="170" fontId="0" fillId="0" borderId="4" xfId="0" applyNumberFormat="1" applyFont="1" applyBorder="1" applyAlignment="1">
      <alignment horizontal="left" vertical="center" wrapText="1" indent="1"/>
    </xf>
    <xf numFmtId="49" fontId="6" fillId="10" borderId="19" xfId="0" applyNumberFormat="1" applyFont="1" applyFill="1" applyBorder="1" applyAlignment="1">
      <alignment horizontal="right" vertical="center" wrapText="1" indent="1"/>
    </xf>
    <xf numFmtId="49" fontId="36" fillId="0" borderId="0" xfId="0" applyNumberFormat="1" applyFont="1" applyAlignment="1">
      <alignment vertical="center" wrapText="1"/>
    </xf>
    <xf numFmtId="49" fontId="0" fillId="12" borderId="5" xfId="0" applyNumberFormat="1" applyFont="1" applyFill="1" applyBorder="1" applyAlignment="1" applyProtection="1">
      <alignment horizontal="left" vertical="center" wrapText="1"/>
      <protection locked="0"/>
    </xf>
    <xf numFmtId="4" fontId="0" fillId="15" borderId="5" xfId="0" applyNumberFormat="1" applyFont="1" applyFill="1" applyBorder="1" applyAlignment="1" applyProtection="1">
      <alignment horizontal="right" vertical="center" wrapText="1"/>
      <protection locked="0"/>
    </xf>
    <xf numFmtId="49" fontId="6" fillId="0" borderId="0" xfId="0" applyNumberFormat="1" applyFont="1" applyAlignment="1">
      <alignment vertical="top" wrapText="1"/>
    </xf>
    <xf numFmtId="49" fontId="6" fillId="0" borderId="0" xfId="0" applyNumberFormat="1" applyFont="1">
      <alignment vertical="top"/>
    </xf>
    <xf numFmtId="49" fontId="6" fillId="0" borderId="0" xfId="0" applyNumberFormat="1" applyFont="1">
      <alignment vertical="top"/>
    </xf>
    <xf numFmtId="49" fontId="6" fillId="0" borderId="5" xfId="0" applyNumberFormat="1" applyFont="1" applyBorder="1" applyAlignment="1">
      <alignment horizontal="center" vertical="center" wrapText="1"/>
    </xf>
    <xf numFmtId="49" fontId="6" fillId="0" borderId="12" xfId="0" applyNumberFormat="1" applyFont="1" applyBorder="1" applyAlignment="1">
      <alignment horizontal="center" vertical="center" wrapText="1"/>
    </xf>
    <xf numFmtId="0" fontId="6" fillId="16" borderId="29" xfId="0" applyNumberFormat="1" applyFont="1" applyFill="1" applyBorder="1" applyAlignment="1">
      <alignment horizontal="center" vertical="top" wrapText="1"/>
    </xf>
    <xf numFmtId="49" fontId="6" fillId="0" borderId="12" xfId="0" applyNumberFormat="1" applyFont="1" applyBorder="1" applyAlignment="1">
      <alignment horizontal="left" vertical="center" wrapText="1"/>
    </xf>
    <xf numFmtId="49" fontId="6" fillId="0" borderId="0" xfId="0" applyNumberFormat="1" applyFont="1" applyAlignment="1">
      <alignment horizontal="center" vertical="center" wrapText="1"/>
    </xf>
    <xf numFmtId="49" fontId="6" fillId="16" borderId="29" xfId="0" applyNumberFormat="1" applyFont="1" applyFill="1" applyBorder="1" applyAlignment="1">
      <alignment horizontal="center" vertical="center" wrapText="1"/>
    </xf>
    <xf numFmtId="0" fontId="30" fillId="0" borderId="0" xfId="0" applyNumberFormat="1" applyFont="1" applyAlignment="1">
      <alignment horizontal="left"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5" fillId="0" borderId="5" xfId="0" applyNumberFormat="1" applyFont="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36" fillId="0" borderId="0" xfId="0" applyNumberFormat="1" applyFont="1" applyAlignment="1">
      <alignment horizontal="center" vertical="top"/>
    </xf>
    <xf numFmtId="49" fontId="6" fillId="0" borderId="29" xfId="0" applyNumberFormat="1" applyFont="1" applyBorder="1" applyAlignment="1">
      <alignment horizontal="center" vertical="top" wrapText="1"/>
    </xf>
    <xf numFmtId="0" fontId="6" fillId="0" borderId="5" xfId="0" applyNumberFormat="1" applyFont="1" applyBorder="1" applyAlignment="1">
      <alignment horizontal="left" vertical="center" wrapText="1"/>
    </xf>
    <xf numFmtId="0" fontId="26" fillId="0" borderId="5" xfId="0" applyNumberFormat="1" applyFont="1" applyBorder="1" applyAlignment="1">
      <alignment horizontal="center" vertical="center" wrapText="1"/>
    </xf>
    <xf numFmtId="49" fontId="30" fillId="13" borderId="44" xfId="0" applyNumberFormat="1" applyFont="1" applyFill="1" applyBorder="1" applyAlignment="1">
      <alignment horizontal="left" vertical="center" indent="1"/>
    </xf>
    <xf numFmtId="49" fontId="6" fillId="12" borderId="5" xfId="0" applyNumberFormat="1" applyFont="1" applyFill="1" applyBorder="1" applyAlignment="1" applyProtection="1">
      <alignment horizontal="left" vertical="center" wrapText="1"/>
      <protection locked="0"/>
    </xf>
    <xf numFmtId="49" fontId="37" fillId="0" borderId="5" xfId="0" applyNumberFormat="1" applyFont="1" applyBorder="1" applyAlignment="1">
      <alignment horizontal="center" vertical="center" wrapText="1"/>
    </xf>
    <xf numFmtId="170"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0" fontId="6" fillId="0" borderId="29" xfId="0" applyNumberFormat="1" applyFont="1" applyBorder="1" applyAlignment="1">
      <alignment horizontal="center" vertical="center" wrapText="1"/>
    </xf>
    <xf numFmtId="0" fontId="6" fillId="10" borderId="7" xfId="0" applyNumberFormat="1" applyFont="1" applyFill="1" applyBorder="1" applyAlignment="1">
      <alignment horizontal="center" vertical="center" wrapText="1"/>
    </xf>
    <xf numFmtId="49" fontId="0"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6" fillId="16" borderId="7" xfId="0" applyNumberFormat="1" applyFont="1" applyFill="1" applyBorder="1" applyAlignment="1">
      <alignment horizontal="left" vertical="center" wrapText="1"/>
    </xf>
    <xf numFmtId="0" fontId="6" fillId="0" borderId="16" xfId="0" applyNumberFormat="1" applyFont="1" applyBorder="1" applyAlignment="1">
      <alignment horizontal="center" vertical="center" wrapText="1"/>
    </xf>
    <xf numFmtId="0" fontId="35" fillId="0" borderId="6" xfId="0" applyNumberFormat="1" applyFont="1" applyBorder="1" applyAlignment="1">
      <alignment horizontal="center" vertical="center"/>
    </xf>
    <xf numFmtId="49" fontId="0" fillId="14" borderId="0" xfId="0" applyNumberFormat="1" applyFont="1" applyFill="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xf>
    <xf numFmtId="0" fontId="27"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lignment vertical="top"/>
    </xf>
    <xf numFmtId="49" fontId="6" fillId="0" borderId="0" xfId="0" applyNumberFormat="1" applyFont="1">
      <alignment vertical="top"/>
    </xf>
    <xf numFmtId="0" fontId="27" fillId="10" borderId="0" xfId="0" applyNumberFormat="1" applyFont="1" applyFill="1" applyAlignment="1">
      <alignment vertical="top" wrapText="1"/>
    </xf>
    <xf numFmtId="49" fontId="109" fillId="15" borderId="5" xfId="0" applyNumberFormat="1" applyFont="1" applyFill="1" applyBorder="1" applyAlignment="1" applyProtection="1">
      <alignment horizontal="left" vertical="center" wrapText="1"/>
      <protection locked="0"/>
    </xf>
    <xf numFmtId="49" fontId="27" fillId="0" borderId="0" xfId="0" applyNumberFormat="1" applyFont="1" applyAlignment="1">
      <alignment horizontal="center" vertical="center" wrapText="1"/>
    </xf>
    <xf numFmtId="0" fontId="27" fillId="0" borderId="17" xfId="0" applyNumberFormat="1" applyFont="1" applyBorder="1" applyAlignment="1">
      <alignment horizontal="center" vertical="center" wrapText="1"/>
    </xf>
    <xf numFmtId="49" fontId="110" fillId="0" borderId="0" xfId="0" applyNumberFormat="1" applyFont="1" applyAlignment="1">
      <alignment horizontal="center" vertical="top" wrapText="1"/>
    </xf>
    <xf numFmtId="49" fontId="0" fillId="11" borderId="29" xfId="0" applyNumberFormat="1" applyFont="1" applyFill="1" applyBorder="1">
      <alignment vertical="top"/>
    </xf>
    <xf numFmtId="49" fontId="0" fillId="0" borderId="29" xfId="0" applyNumberFormat="1" applyFont="1" applyBorder="1">
      <alignment vertical="top"/>
    </xf>
    <xf numFmtId="49" fontId="0" fillId="15" borderId="29" xfId="0" applyNumberFormat="1" applyFont="1" applyFill="1" applyBorder="1" applyProtection="1">
      <alignment vertical="top"/>
      <protection locked="0"/>
    </xf>
    <xf numFmtId="49" fontId="0" fillId="15" borderId="10" xfId="0" applyNumberFormat="1" applyFont="1" applyFill="1" applyBorder="1" applyProtection="1">
      <alignment vertical="top"/>
      <protection locked="0"/>
    </xf>
    <xf numFmtId="49" fontId="0" fillId="15" borderId="16" xfId="0" applyNumberFormat="1" applyFont="1" applyFill="1" applyBorder="1" applyProtection="1">
      <alignment vertical="top"/>
      <protection locked="0"/>
    </xf>
    <xf numFmtId="49" fontId="110" fillId="0" borderId="29" xfId="0" applyNumberFormat="1" applyFont="1" applyBorder="1" applyAlignment="1">
      <alignment horizontal="center" vertical="top" wrapText="1"/>
    </xf>
    <xf numFmtId="49" fontId="0" fillId="0" borderId="0" xfId="0" applyNumberFormat="1" applyFont="1">
      <alignment vertical="top"/>
    </xf>
    <xf numFmtId="49" fontId="0" fillId="0" borderId="12" xfId="0" applyNumberFormat="1" applyFont="1" applyBorder="1">
      <alignment vertical="top"/>
    </xf>
    <xf numFmtId="49" fontId="0" fillId="0" borderId="15" xfId="0" applyNumberFormat="1" applyFont="1" applyBorder="1">
      <alignment vertical="top"/>
    </xf>
    <xf numFmtId="49" fontId="0" fillId="0" borderId="17"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3" borderId="8" xfId="0" applyNumberFormat="1" applyFont="1" applyFill="1" applyBorder="1" applyAlignment="1">
      <alignment vertical="center"/>
    </xf>
    <xf numFmtId="49" fontId="0" fillId="0" borderId="29" xfId="0" applyNumberFormat="1" applyFont="1" applyBorder="1" applyAlignment="1">
      <alignment horizontal="left" vertical="top"/>
    </xf>
    <xf numFmtId="49" fontId="0" fillId="16" borderId="29" xfId="0" applyNumberFormat="1" applyFont="1" applyFill="1" applyBorder="1" applyAlignment="1">
      <alignment horizontal="left" vertical="top"/>
    </xf>
    <xf numFmtId="49" fontId="0" fillId="12" borderId="29" xfId="0" applyNumberFormat="1" applyFont="1" applyFill="1" applyBorder="1" applyAlignment="1" applyProtection="1">
      <alignment horizontal="left" vertical="top"/>
      <protection locked="0"/>
    </xf>
    <xf numFmtId="49" fontId="0" fillId="16" borderId="29"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12" borderId="29" xfId="0" applyNumberFormat="1" applyFont="1" applyFill="1" applyBorder="1" applyProtection="1">
      <alignment vertical="top"/>
      <protection locked="0"/>
    </xf>
    <xf numFmtId="49" fontId="0" fillId="0" borderId="12" xfId="0" applyNumberFormat="1" applyFont="1" applyBorder="1" applyAlignment="1">
      <alignment horizontal="left" vertical="center" wrapText="1"/>
    </xf>
    <xf numFmtId="0" fontId="0" fillId="0" borderId="0" xfId="0" applyNumberFormat="1" applyFont="1" applyAlignment="1">
      <alignment vertical="center"/>
    </xf>
    <xf numFmtId="0" fontId="0" fillId="0" borderId="20" xfId="0" applyNumberFormat="1" applyFont="1" applyBorder="1" applyAlignment="1">
      <alignment vertical="center"/>
    </xf>
    <xf numFmtId="49" fontId="27" fillId="0" borderId="29" xfId="0" applyNumberFormat="1" applyFont="1" applyBorder="1" applyAlignment="1">
      <alignment vertical="center" wrapText="1"/>
    </xf>
    <xf numFmtId="49" fontId="27" fillId="0" borderId="29" xfId="0" applyNumberFormat="1" applyFont="1" applyBorder="1" applyAlignment="1">
      <alignment horizontal="center" vertical="center" wrapText="1"/>
    </xf>
    <xf numFmtId="49" fontId="27" fillId="0" borderId="12" xfId="0" applyNumberFormat="1" applyFont="1" applyBorder="1" applyAlignment="1">
      <alignment vertical="center" wrapText="1"/>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0" fontId="6" fillId="10" borderId="16" xfId="0" applyNumberFormat="1" applyFont="1" applyFill="1" applyBorder="1" applyAlignment="1">
      <alignment horizontal="center" vertical="center" wrapText="1"/>
    </xf>
    <xf numFmtId="0" fontId="6" fillId="0" borderId="29" xfId="0" applyNumberFormat="1" applyFont="1" applyBorder="1" applyAlignment="1">
      <alignment horizontal="left" vertical="top" wrapText="1"/>
    </xf>
    <xf numFmtId="0" fontId="0" fillId="0" borderId="6" xfId="0" applyNumberFormat="1" applyFont="1" applyBorder="1" applyAlignment="1">
      <alignment horizontal="center" vertical="center" wrapText="1"/>
    </xf>
    <xf numFmtId="4" fontId="0" fillId="15" borderId="6" xfId="0" applyNumberFormat="1" applyFont="1" applyFill="1" applyBorder="1" applyAlignment="1" applyProtection="1">
      <alignment horizontal="right" vertical="center" wrapText="1"/>
      <protection locked="0"/>
    </xf>
    <xf numFmtId="0" fontId="0" fillId="0" borderId="6"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xf>
    <xf numFmtId="49" fontId="0" fillId="10" borderId="10" xfId="0" applyNumberFormat="1" applyFont="1" applyFill="1" applyBorder="1" applyAlignment="1">
      <alignment horizontal="center" vertical="center" wrapText="1"/>
    </xf>
    <xf numFmtId="0" fontId="0" fillId="0" borderId="16" xfId="0" applyNumberFormat="1" applyFont="1" applyBorder="1" applyAlignment="1">
      <alignment horizontal="center" vertical="center" wrapText="1"/>
    </xf>
    <xf numFmtId="0" fontId="6" fillId="16" borderId="7"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35" fillId="29" borderId="0" xfId="0" applyNumberFormat="1" applyFont="1" applyFill="1" applyAlignment="1">
      <alignment vertical="center" wrapText="1"/>
    </xf>
    <xf numFmtId="0" fontId="36" fillId="0" borderId="0" xfId="0" applyNumberFormat="1" applyFont="1" applyAlignment="1">
      <alignment vertical="top" wrapText="1"/>
    </xf>
    <xf numFmtId="49" fontId="22" fillId="0" borderId="0" xfId="0" applyNumberFormat="1" applyFont="1" applyAlignment="1">
      <alignment horizontal="center" vertical="top" wrapText="1"/>
    </xf>
    <xf numFmtId="49" fontId="6" fillId="10" borderId="0" xfId="0" applyNumberFormat="1" applyFont="1" applyFill="1" applyAlignment="1">
      <alignment horizontal="center" vertical="top" wrapText="1"/>
    </xf>
    <xf numFmtId="0" fontId="0" fillId="0" borderId="29"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6" fillId="0" borderId="5"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49" fontId="6" fillId="11" borderId="5" xfId="0" applyNumberFormat="1" applyFont="1" applyFill="1" applyBorder="1" applyAlignment="1">
      <alignment horizontal="center" vertical="center" wrapText="1"/>
    </xf>
    <xf numFmtId="0" fontId="0" fillId="0" borderId="5" xfId="0" applyNumberFormat="1" applyFont="1" applyBorder="1" applyAlignment="1">
      <alignment horizontal="left" vertical="top" wrapText="1"/>
    </xf>
    <xf numFmtId="14" fontId="6" fillId="16" borderId="5" xfId="0" applyNumberFormat="1" applyFont="1" applyFill="1" applyBorder="1" applyAlignment="1">
      <alignment horizontal="left" vertical="center" wrapText="1" indent="1"/>
    </xf>
    <xf numFmtId="49" fontId="14" fillId="0" borderId="5" xfId="0" applyNumberFormat="1" applyFont="1" applyBorder="1" applyAlignment="1">
      <alignment horizontal="left" vertical="center" wrapText="1" indent="1"/>
    </xf>
    <xf numFmtId="0" fontId="6" fillId="0" borderId="7"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0" borderId="16" xfId="0" applyNumberFormat="1" applyFont="1" applyBorder="1" applyAlignment="1">
      <alignment horizontal="left" vertical="center" wrapText="1" inden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168" fontId="6" fillId="0" borderId="16" xfId="0" applyNumberFormat="1" applyFont="1" applyBorder="1" applyAlignment="1">
      <alignment horizontal="center" vertical="center" wrapText="1"/>
    </xf>
    <xf numFmtId="0" fontId="6" fillId="0" borderId="0" xfId="0" applyNumberFormat="1" applyFont="1" applyAlignment="1">
      <alignment horizontal="right" vertical="center" wrapText="1"/>
    </xf>
    <xf numFmtId="0" fontId="6" fillId="10" borderId="5" xfId="0" applyNumberFormat="1" applyFont="1" applyFill="1" applyBorder="1" applyAlignment="1">
      <alignment vertical="top" wrapText="1"/>
    </xf>
    <xf numFmtId="0" fontId="6" fillId="10" borderId="5" xfId="0" applyNumberFormat="1" applyFont="1" applyFill="1" applyBorder="1" applyAlignment="1">
      <alignment horizontal="left" vertical="top" wrapText="1"/>
    </xf>
    <xf numFmtId="49" fontId="16" fillId="12" borderId="16" xfId="0" applyNumberFormat="1" applyFont="1" applyFill="1" applyBorder="1" applyAlignment="1" applyProtection="1">
      <alignment horizontal="left" vertical="center" wrapText="1"/>
      <protection locked="0"/>
    </xf>
    <xf numFmtId="49" fontId="0" fillId="13" borderId="22"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23" borderId="0" xfId="0" applyNumberFormat="1" applyFont="1" applyFill="1" applyAlignment="1">
      <alignment horizontal="right" vertical="top" wrapText="1"/>
    </xf>
    <xf numFmtId="0" fontId="6" fillId="0" borderId="0" xfId="0" applyNumberFormat="1" applyFont="1" applyAlignment="1">
      <alignment horizontal="left" vertical="top" wrapText="1"/>
    </xf>
    <xf numFmtId="14" fontId="6" fillId="0" borderId="16"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0" fontId="6" fillId="11" borderId="5" xfId="0" applyNumberFormat="1" applyFont="1" applyFill="1" applyBorder="1" applyAlignment="1">
      <alignment horizontal="left" vertical="center" wrapText="1"/>
    </xf>
    <xf numFmtId="168"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protection locked="0"/>
    </xf>
    <xf numFmtId="0" fontId="6" fillId="10" borderId="29" xfId="0" applyNumberFormat="1" applyFont="1" applyFill="1" applyBorder="1" applyAlignment="1">
      <alignment vertical="center" wrapText="1"/>
    </xf>
    <xf numFmtId="168" fontId="35" fillId="0" borderId="12" xfId="0" applyNumberFormat="1" applyFont="1" applyBorder="1" applyAlignment="1">
      <alignment horizontal="center" vertical="center" wrapText="1"/>
    </xf>
    <xf numFmtId="168" fontId="35" fillId="0" borderId="13" xfId="0" applyNumberFormat="1" applyFont="1" applyBorder="1" applyAlignment="1">
      <alignment horizontal="center" vertical="center" wrapText="1"/>
    </xf>
    <xf numFmtId="171" fontId="6" fillId="15" borderId="5" xfId="0" applyNumberFormat="1" applyFont="1" applyFill="1" applyBorder="1" applyAlignment="1" applyProtection="1">
      <alignment horizontal="left" vertical="center" wrapText="1" indent="1"/>
      <protection locked="0"/>
    </xf>
    <xf numFmtId="170" fontId="0" fillId="15" borderId="8" xfId="0" applyNumberFormat="1" applyFont="1" applyFill="1" applyBorder="1" applyAlignment="1" applyProtection="1">
      <alignment horizontal="left" vertical="center" wrapText="1" indent="1"/>
      <protection locked="0"/>
    </xf>
    <xf numFmtId="49" fontId="6" fillId="15" borderId="20" xfId="0" applyNumberFormat="1" applyFont="1" applyFill="1" applyBorder="1" applyAlignment="1" applyProtection="1">
      <alignment horizontal="left" vertical="center" wrapText="1"/>
      <protection locked="0"/>
    </xf>
    <xf numFmtId="49" fontId="6" fillId="15" borderId="23" xfId="0" applyNumberFormat="1" applyFont="1" applyFill="1" applyBorder="1" applyAlignment="1" applyProtection="1">
      <alignment horizontal="left" vertical="center" wrapText="1"/>
      <protection locked="0"/>
    </xf>
    <xf numFmtId="49" fontId="16" fillId="13" borderId="22" xfId="0" applyNumberFormat="1" applyFont="1" applyFill="1" applyBorder="1" applyAlignment="1">
      <alignment horizontal="left" vertical="center" wrapText="1"/>
    </xf>
    <xf numFmtId="0" fontId="6" fillId="15" borderId="5" xfId="0" applyNumberFormat="1" applyFont="1" applyFill="1" applyBorder="1" applyAlignment="1" applyProtection="1">
      <alignment horizontal="left" vertical="top" wrapText="1" indent="1"/>
      <protection locked="0"/>
    </xf>
    <xf numFmtId="0" fontId="6" fillId="0" borderId="8"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6" fillId="10" borderId="15" xfId="0" applyNumberFormat="1" applyFont="1" applyFill="1" applyBorder="1" applyAlignment="1">
      <alignment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5" xfId="26" applyNumberFormat="1" applyFont="1" applyBorder="1" applyAlignment="1">
      <alignment horizontal="center" vertical="center" wrapText="1"/>
    </xf>
    <xf numFmtId="0" fontId="6" fillId="0" borderId="5" xfId="0" applyNumberFormat="1" applyFont="1" applyBorder="1" applyAlignment="1">
      <alignment horizontal="left" vertical="top"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10" borderId="5"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1" borderId="8" xfId="0" applyNumberFormat="1" applyFont="1" applyFill="1" applyBorder="1" applyAlignment="1">
      <alignment horizontal="left"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170" fontId="0" fillId="15" borderId="5" xfId="0" applyNumberFormat="1" applyFont="1" applyFill="1" applyBorder="1" applyAlignment="1" applyProtection="1">
      <alignment horizontal="center" vertical="center" wrapText="1"/>
      <protection locked="0"/>
    </xf>
    <xf numFmtId="0" fontId="67" fillId="10" borderId="12" xfId="0" applyNumberFormat="1" applyFont="1" applyFill="1" applyBorder="1" applyAlignment="1">
      <alignment horizontal="center" vertical="center" wrapText="1"/>
    </xf>
    <xf numFmtId="0" fontId="27" fillId="0" borderId="20"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0" fontId="6" fillId="10" borderId="16" xfId="0" applyNumberFormat="1" applyFont="1" applyFill="1" applyBorder="1" applyAlignment="1">
      <alignment horizontal="center" vertical="center" wrapText="1"/>
    </xf>
    <xf numFmtId="0" fontId="37" fillId="0" borderId="8" xfId="0" applyNumberFormat="1" applyFont="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0" fontId="6" fillId="10" borderId="10" xfId="0" applyNumberFormat="1" applyFont="1" applyFill="1" applyBorder="1" applyAlignment="1">
      <alignment horizontal="left" vertical="center" wrapText="1"/>
    </xf>
    <xf numFmtId="4" fontId="6" fillId="15" borderId="5" xfId="0" applyNumberFormat="1" applyFont="1" applyFill="1" applyBorder="1" applyAlignment="1" applyProtection="1">
      <alignment horizontal="left" vertical="center" wrapText="1" indent="1"/>
      <protection locked="0"/>
    </xf>
    <xf numFmtId="49" fontId="6" fillId="12" borderId="10" xfId="0" applyNumberFormat="1" applyFont="1" applyFill="1" applyBorder="1" applyAlignment="1" applyProtection="1">
      <alignment horizontal="left" vertical="center" wrapText="1" indent="6"/>
      <protection locked="0"/>
    </xf>
    <xf numFmtId="49" fontId="6" fillId="0" borderId="0" xfId="0" applyNumberFormat="1" applyFont="1" applyAlignment="1">
      <alignment vertical="center" wrapText="1"/>
    </xf>
    <xf numFmtId="49" fontId="37"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2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9" fontId="6" fillId="16" borderId="8" xfId="0" applyNumberFormat="1" applyFont="1" applyFill="1" applyBorder="1" applyAlignment="1">
      <alignment horizontal="center" vertical="center" wrapText="1"/>
    </xf>
    <xf numFmtId="0" fontId="6"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NumberFormat="1" applyFont="1" applyAlignment="1">
      <alignment horizontal="left" vertical="center"/>
    </xf>
    <xf numFmtId="0" fontId="6" fillId="0" borderId="0" xfId="0" applyNumberFormat="1" applyFont="1" applyAlignment="1">
      <alignment horizontal="left" vertical="center" indent="1"/>
    </xf>
    <xf numFmtId="49" fontId="6" fillId="0" borderId="0" xfId="0" applyNumberFormat="1" applyFont="1" applyAlignment="1">
      <alignment horizontal="left" vertical="center"/>
    </xf>
    <xf numFmtId="0" fontId="0" fillId="0" borderId="5" xfId="0" applyNumberFormat="1" applyFont="1" applyBorder="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49" fontId="6" fillId="10" borderId="0" xfId="0" applyNumberFormat="1" applyFont="1" applyFill="1" applyAlignment="1">
      <alignment vertical="center" wrapText="1"/>
    </xf>
    <xf numFmtId="0" fontId="67" fillId="10" borderId="1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49" fontId="6" fillId="12" borderId="5" xfId="0" applyNumberFormat="1" applyFont="1" applyFill="1" applyBorder="1" applyAlignment="1" applyProtection="1">
      <alignment horizontal="left" vertical="center" indent="1"/>
      <protection locked="0"/>
    </xf>
    <xf numFmtId="49" fontId="6" fillId="10" borderId="5" xfId="0" applyNumberFormat="1" applyFont="1" applyFill="1" applyBorder="1" applyAlignment="1">
      <alignment horizontal="center" vertical="center" wrapText="1"/>
    </xf>
    <xf numFmtId="170" fontId="0" fillId="15" borderId="5" xfId="0" applyNumberFormat="1" applyFont="1" applyFill="1" applyBorder="1" applyAlignment="1" applyProtection="1">
      <alignment horizontal="left" vertical="center" wrapText="1" indent="1"/>
      <protection locked="0"/>
    </xf>
    <xf numFmtId="49" fontId="112" fillId="15" borderId="5" xfId="0" applyNumberFormat="1" applyFont="1" applyFill="1" applyBorder="1" applyAlignment="1" applyProtection="1">
      <alignment horizontal="left" vertical="center" wrapText="1" indent="1"/>
      <protection locked="0"/>
    </xf>
    <xf numFmtId="0" fontId="6" fillId="15" borderId="5" xfId="0" applyNumberFormat="1" applyFont="1" applyFill="1" applyBorder="1" applyAlignment="1" applyProtection="1">
      <alignment horizontal="left" vertical="center" wrapText="1" indent="1"/>
      <protection locked="0"/>
    </xf>
    <xf numFmtId="0" fontId="32" fillId="0" borderId="0" xfId="0" applyNumberFormat="1" applyFont="1" applyAlignment="1">
      <alignment vertical="center" wrapText="1"/>
    </xf>
    <xf numFmtId="49" fontId="37" fillId="0" borderId="5" xfId="0" applyNumberFormat="1" applyFont="1" applyBorder="1" applyAlignment="1">
      <alignment horizontal="center" vertical="center" wrapText="1"/>
    </xf>
    <xf numFmtId="49" fontId="37" fillId="0" borderId="7" xfId="0" applyNumberFormat="1" applyFont="1" applyBorder="1" applyAlignment="1">
      <alignment horizontal="left" vertical="center" wrapText="1"/>
    </xf>
    <xf numFmtId="0" fontId="37" fillId="0" borderId="7" xfId="0" applyNumberFormat="1" applyFont="1" applyBorder="1" applyAlignment="1">
      <alignment horizontal="left" vertical="center"/>
    </xf>
    <xf numFmtId="0" fontId="37" fillId="0" borderId="8" xfId="0" applyNumberFormat="1" applyFont="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22" xfId="0" applyNumberFormat="1" applyFont="1" applyFill="1" applyBorder="1" applyAlignment="1">
      <alignment horizontal="left" vertical="center"/>
    </xf>
    <xf numFmtId="0" fontId="0" fillId="0" borderId="0" xfId="0" applyNumberFormat="1" applyFont="1" applyAlignment="1">
      <alignment vertical="center"/>
    </xf>
    <xf numFmtId="0" fontId="6" fillId="0" borderId="0" xfId="0" applyNumberFormat="1" applyFont="1" applyAlignment="1">
      <alignment horizontal="left" vertical="center" indent="1"/>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6"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6" xfId="0" applyNumberFormat="1" applyFont="1" applyFill="1" applyBorder="1" applyAlignment="1">
      <alignment horizontal="left" vertical="center"/>
    </xf>
    <xf numFmtId="0" fontId="6" fillId="0" borderId="0" xfId="0" applyNumberFormat="1" applyFont="1" applyAlignment="1">
      <alignment vertical="center" wrapText="1"/>
    </xf>
    <xf numFmtId="4" fontId="6" fillId="12" borderId="5" xfId="0" applyNumberFormat="1" applyFont="1" applyFill="1" applyBorder="1" applyAlignment="1" applyProtection="1">
      <alignment horizontal="right" vertical="center" wrapText="1"/>
      <protection locked="0"/>
    </xf>
    <xf numFmtId="4" fontId="6" fillId="0" borderId="5" xfId="0" applyNumberFormat="1" applyFont="1" applyBorder="1" applyAlignment="1">
      <alignment horizontal="right"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37" fillId="0" borderId="0" xfId="0" applyNumberFormat="1" applyFont="1" applyAlignment="1">
      <alignment horizontal="center" vertical="center" wrapText="1"/>
    </xf>
    <xf numFmtId="0" fontId="36" fillId="0" borderId="0" xfId="0" applyNumberFormat="1" applyFont="1" applyAlignment="1">
      <alignment vertical="center" wrapText="1"/>
    </xf>
    <xf numFmtId="49" fontId="36" fillId="0" borderId="5" xfId="0" applyNumberFormat="1" applyFont="1" applyBorder="1" applyAlignment="1">
      <alignment vertical="center" wrapText="1"/>
    </xf>
    <xf numFmtId="0" fontId="36" fillId="0" borderId="0" xfId="0" applyNumberFormat="1" applyFont="1" applyAlignment="1">
      <alignment vertical="center"/>
    </xf>
    <xf numFmtId="0" fontId="6" fillId="0" borderId="12" xfId="0" applyNumberFormat="1" applyFont="1" applyBorder="1" applyAlignment="1">
      <alignment horizontal="left" vertical="top" wrapText="1" indent="1"/>
    </xf>
    <xf numFmtId="0" fontId="6" fillId="0" borderId="20" xfId="0" applyNumberFormat="1" applyFont="1" applyBorder="1" applyAlignment="1">
      <alignment horizontal="left" vertical="center" wrapText="1" indent="1"/>
    </xf>
    <xf numFmtId="0" fontId="18" fillId="10" borderId="0" xfId="0" applyNumberFormat="1" applyFont="1" applyFill="1" applyAlignment="1">
      <alignment horizontal="center" vertical="center" wrapText="1"/>
    </xf>
    <xf numFmtId="0" fontId="37" fillId="0" borderId="0" xfId="0" applyNumberFormat="1" applyFont="1" applyAlignment="1">
      <alignment vertical="center" wrapText="1"/>
    </xf>
    <xf numFmtId="49" fontId="6" fillId="10" borderId="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7" fillId="10" borderId="0" xfId="0" applyNumberFormat="1" applyFont="1" applyFill="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0" fontId="36" fillId="0" borderId="0" xfId="0" applyNumberFormat="1" applyFont="1" applyAlignment="1">
      <alignment horizontal="left" vertical="center" wrapText="1"/>
    </xf>
    <xf numFmtId="0" fontId="6" fillId="0" borderId="0" xfId="0" applyNumberFormat="1" applyFont="1" applyAlignment="1">
      <alignment horizontal="center" vertical="center" wrapText="1"/>
    </xf>
    <xf numFmtId="0" fontId="32" fillId="10" borderId="0" xfId="0" applyNumberFormat="1" applyFont="1" applyFill="1" applyAlignment="1">
      <alignment horizontal="center" vertical="center" wrapText="1"/>
    </xf>
    <xf numFmtId="0" fontId="6" fillId="0" borderId="17" xfId="0" applyNumberFormat="1" applyFont="1" applyBorder="1" applyAlignment="1">
      <alignment vertical="center" wrapText="1"/>
    </xf>
    <xf numFmtId="0" fontId="6" fillId="10" borderId="5" xfId="0" applyNumberFormat="1" applyFont="1" applyFill="1" applyBorder="1" applyAlignment="1">
      <alignment horizontal="left" vertical="center" wrapText="1"/>
    </xf>
    <xf numFmtId="0" fontId="6" fillId="10" borderId="5" xfId="0" applyNumberFormat="1" applyFont="1" applyFill="1" applyBorder="1" applyAlignment="1">
      <alignment horizontal="left" vertical="center" wrapText="1" indent="1"/>
    </xf>
    <xf numFmtId="0" fontId="6" fillId="0" borderId="5" xfId="0" applyNumberFormat="1" applyFont="1" applyBorder="1" applyAlignment="1">
      <alignment horizontal="left" vertical="center" wrapText="1" indent="6"/>
    </xf>
    <xf numFmtId="0" fontId="35" fillId="0" borderId="5" xfId="0" applyNumberFormat="1" applyFont="1" applyBorder="1" applyAlignment="1">
      <alignment vertical="top" wrapText="1"/>
    </xf>
    <xf numFmtId="0" fontId="37" fillId="0" borderId="0" xfId="0" applyNumberFormat="1" applyFont="1" applyAlignment="1">
      <alignment vertical="center"/>
    </xf>
    <xf numFmtId="0" fontId="27" fillId="0" borderId="0" xfId="0" applyNumberFormat="1" applyFont="1" applyAlignment="1">
      <alignment vertical="center" wrapText="1"/>
    </xf>
    <xf numFmtId="0" fontId="6" fillId="10" borderId="5" xfId="0" applyNumberFormat="1" applyFont="1" applyFill="1" applyBorder="1" applyAlignment="1">
      <alignment horizontal="left" vertical="center" wrapText="1" indent="2"/>
    </xf>
    <xf numFmtId="49" fontId="36" fillId="0" borderId="0" xfId="0" applyNumberFormat="1" applyFont="1" applyAlignment="1">
      <alignment vertical="center" wrapText="1"/>
    </xf>
    <xf numFmtId="0" fontId="37" fillId="0" borderId="0" xfId="0" applyNumberFormat="1" applyFont="1" applyAlignment="1">
      <alignment horizontal="center" vertical="center" wrapText="1"/>
    </xf>
    <xf numFmtId="0" fontId="37" fillId="0" borderId="17"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4"/>
    </xf>
    <xf numFmtId="0" fontId="37" fillId="0" borderId="17" xfId="0" applyNumberFormat="1" applyFont="1" applyBorder="1" applyAlignment="1">
      <alignment vertical="center" wrapText="1"/>
    </xf>
    <xf numFmtId="0" fontId="6" fillId="10" borderId="5" xfId="0" applyNumberFormat="1" applyFont="1" applyFill="1" applyBorder="1" applyAlignment="1">
      <alignment horizontal="left" vertical="center" wrapText="1" indent="5"/>
    </xf>
    <xf numFmtId="0" fontId="35" fillId="0" borderId="10" xfId="0" applyNumberFormat="1" applyFont="1" applyBorder="1" applyAlignment="1">
      <alignment vertical="top" wrapText="1"/>
    </xf>
    <xf numFmtId="49" fontId="6" fillId="12" borderId="5" xfId="0" applyNumberFormat="1" applyFont="1" applyFill="1" applyBorder="1" applyAlignment="1" applyProtection="1">
      <alignment horizontal="left" vertical="center" wrapText="1" indent="6"/>
      <protection locked="0"/>
    </xf>
    <xf numFmtId="4" fontId="6" fillId="0" borderId="30" xfId="0" applyNumberFormat="1" applyFont="1" applyBorder="1" applyAlignment="1">
      <alignment horizontal="right" vertical="center" wrapText="1"/>
    </xf>
    <xf numFmtId="49" fontId="6" fillId="0" borderId="5" xfId="0" applyNumberFormat="1" applyFont="1" applyBorder="1" applyAlignment="1">
      <alignment horizontal="left" vertical="center" wrapText="1"/>
    </xf>
    <xf numFmtId="4" fontId="6" fillId="0" borderId="23" xfId="0" applyNumberFormat="1" applyFont="1" applyBorder="1" applyAlignment="1">
      <alignment horizontal="right"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 fillId="0" borderId="0" xfId="0" applyNumberFormat="1" applyFont="1">
      <alignment vertical="top"/>
    </xf>
    <xf numFmtId="49" fontId="29" fillId="0" borderId="0" xfId="0" applyNumberFormat="1" applyFont="1">
      <alignment vertical="top"/>
    </xf>
    <xf numFmtId="49" fontId="6" fillId="0" borderId="17" xfId="0" applyNumberFormat="1" applyFont="1" applyBorder="1">
      <alignment vertical="top"/>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0" fontId="37" fillId="0" borderId="0" xfId="0" applyNumberFormat="1" applyFont="1" applyAlignment="1">
      <alignment horizontal="left" vertical="center" indent="1"/>
    </xf>
    <xf numFmtId="0" fontId="37" fillId="0" borderId="0" xfId="0" applyNumberFormat="1" applyFont="1" applyAlignment="1">
      <alignment horizontal="center" vertical="center"/>
    </xf>
    <xf numFmtId="49" fontId="37" fillId="0" borderId="0" xfId="0" applyNumberFormat="1" applyFont="1" applyAlignment="1">
      <alignment horizontal="left" vertical="center"/>
    </xf>
    <xf numFmtId="49" fontId="37" fillId="0" borderId="0" xfId="0" applyNumberFormat="1" applyFont="1">
      <alignment vertical="top"/>
    </xf>
    <xf numFmtId="49" fontId="94" fillId="0" borderId="0" xfId="0" applyNumberFormat="1" applyFont="1">
      <alignment vertical="top"/>
    </xf>
    <xf numFmtId="49" fontId="84" fillId="0" borderId="0" xfId="0" applyNumberFormat="1" applyFont="1" applyAlignment="1">
      <alignment horizontal="left" vertical="center"/>
    </xf>
    <xf numFmtId="49" fontId="37" fillId="0" borderId="0" xfId="0" applyNumberFormat="1" applyFont="1" applyAlignment="1">
      <alignment horizontal="left" vertical="center" inden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0" fillId="0" borderId="0" xfId="0" applyNumberFormat="1" applyFont="1">
      <alignment vertical="top"/>
    </xf>
    <xf numFmtId="0" fontId="0" fillId="0" borderId="0" xfId="0" applyNumberFormat="1" applyFont="1" applyAlignment="1">
      <alignment vertical="center"/>
    </xf>
    <xf numFmtId="0" fontId="6" fillId="0" borderId="0" xfId="0" applyNumberFormat="1" applyFont="1" applyAlignment="1">
      <alignment horizontal="left" vertical="center" indent="1"/>
    </xf>
    <xf numFmtId="4" fontId="6" fillId="12" borderId="5" xfId="0" applyNumberFormat="1" applyFont="1" applyFill="1" applyBorder="1" applyAlignment="1" applyProtection="1">
      <alignment horizontal="right" vertical="center" wrapText="1"/>
      <protection locked="0"/>
    </xf>
    <xf numFmtId="4" fontId="6" fillId="0" borderId="5" xfId="0" applyNumberFormat="1" applyFont="1" applyBorder="1" applyAlignment="1">
      <alignment horizontal="right"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49" fontId="36" fillId="0" borderId="0" xfId="0" applyNumberFormat="1" applyFont="1" applyAlignment="1">
      <alignment vertical="center" wrapText="1"/>
    </xf>
    <xf numFmtId="0" fontId="37" fillId="0" borderId="0" xfId="0" applyNumberFormat="1" applyFont="1" applyAlignment="1">
      <alignment horizontal="center" vertical="center" wrapText="1"/>
    </xf>
    <xf numFmtId="0" fontId="37" fillId="0" borderId="17" xfId="0" applyNumberFormat="1" applyFont="1" applyBorder="1" applyAlignment="1">
      <alignment vertical="center" wrapText="1"/>
    </xf>
    <xf numFmtId="0" fontId="6" fillId="10" borderId="5" xfId="0" applyNumberFormat="1" applyFont="1" applyFill="1" applyBorder="1" applyAlignment="1">
      <alignment horizontal="left" vertical="center" wrapText="1"/>
    </xf>
    <xf numFmtId="0" fontId="6" fillId="10" borderId="5" xfId="0" applyNumberFormat="1" applyFont="1" applyFill="1" applyBorder="1" applyAlignment="1">
      <alignment horizontal="left" vertical="center" wrapText="1" indent="5"/>
    </xf>
    <xf numFmtId="0" fontId="6" fillId="0" borderId="5" xfId="0" applyNumberFormat="1" applyFont="1" applyBorder="1" applyAlignment="1">
      <alignment horizontal="left" vertical="center" wrapText="1" indent="6"/>
    </xf>
    <xf numFmtId="0" fontId="35" fillId="0" borderId="10" xfId="0" applyNumberFormat="1" applyFont="1" applyBorder="1" applyAlignment="1">
      <alignment vertical="top" wrapText="1"/>
    </xf>
    <xf numFmtId="0" fontId="37" fillId="0" borderId="0" xfId="0" applyNumberFormat="1" applyFont="1" applyAlignment="1">
      <alignment vertical="center" wrapText="1"/>
    </xf>
    <xf numFmtId="0" fontId="37" fillId="0" borderId="0" xfId="0" applyNumberFormat="1" applyFont="1" applyAlignment="1">
      <alignment vertical="center"/>
    </xf>
    <xf numFmtId="49" fontId="6" fillId="12" borderId="5" xfId="0" applyNumberFormat="1" applyFont="1" applyFill="1" applyBorder="1" applyAlignment="1" applyProtection="1">
      <alignment horizontal="left" vertical="center" wrapText="1" indent="6"/>
      <protection locked="0"/>
    </xf>
    <xf numFmtId="4" fontId="6" fillId="0" borderId="30" xfId="0" applyNumberFormat="1" applyFont="1" applyBorder="1" applyAlignment="1">
      <alignment horizontal="right" vertical="center" wrapText="1"/>
    </xf>
    <xf numFmtId="49" fontId="6" fillId="0" borderId="5" xfId="0" applyNumberFormat="1" applyFont="1" applyBorder="1" applyAlignment="1">
      <alignment horizontal="left" vertical="center" wrapText="1"/>
    </xf>
    <xf numFmtId="4" fontId="6" fillId="0" borderId="23" xfId="0" applyNumberFormat="1" applyFont="1" applyBorder="1" applyAlignment="1">
      <alignment horizontal="right" vertical="center" wrapText="1"/>
    </xf>
    <xf numFmtId="0" fontId="37" fillId="0" borderId="17" xfId="0" applyNumberFormat="1" applyFont="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35" fillId="0" borderId="5" xfId="0" applyNumberFormat="1" applyFont="1" applyBorder="1" applyAlignment="1">
      <alignment vertical="top"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36" fillId="0" borderId="0" xfId="0" applyNumberFormat="1" applyFont="1" applyAlignment="1">
      <alignment horizontal="left" vertical="center" wrapText="1"/>
    </xf>
    <xf numFmtId="0" fontId="27" fillId="0" borderId="0" xfId="0" applyNumberFormat="1" applyFont="1" applyAlignment="1">
      <alignment vertical="center" wrapText="1"/>
    </xf>
    <xf numFmtId="0" fontId="32" fillId="10" borderId="0" xfId="0" applyNumberFormat="1" applyFont="1" applyFill="1" applyAlignment="1">
      <alignment horizontal="center" vertical="center" wrapText="1"/>
    </xf>
    <xf numFmtId="0" fontId="6" fillId="0" borderId="17" xfId="0" applyNumberFormat="1" applyFont="1" applyBorder="1" applyAlignment="1">
      <alignment vertical="center" wrapText="1"/>
    </xf>
    <xf numFmtId="0" fontId="6" fillId="10" borderId="5" xfId="0" applyNumberFormat="1" applyFont="1" applyFill="1" applyBorder="1" applyAlignment="1">
      <alignment horizontal="left" vertical="center" wrapText="1" indent="2"/>
    </xf>
    <xf numFmtId="0" fontId="6" fillId="10" borderId="5" xfId="0" applyNumberFormat="1" applyFont="1" applyFill="1" applyBorder="1" applyAlignment="1">
      <alignment horizontal="left" vertical="center" wrapText="1" indent="4"/>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4"/>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22" xfId="0" applyNumberFormat="1" applyFont="1" applyFill="1" applyBorder="1" applyAlignment="1">
      <alignment horizontal="center" vertical="center" wrapText="1"/>
    </xf>
    <xf numFmtId="0" fontId="36" fillId="0" borderId="0" xfId="0" applyNumberFormat="1" applyFont="1" applyAlignment="1">
      <alignment vertical="center" wrapText="1"/>
    </xf>
    <xf numFmtId="49" fontId="6" fillId="0" borderId="0" xfId="0" applyNumberFormat="1" applyFont="1">
      <alignment vertical="top"/>
    </xf>
    <xf numFmtId="49" fontId="29" fillId="0" borderId="0" xfId="0" applyNumberFormat="1" applyFont="1">
      <alignment vertical="top"/>
    </xf>
    <xf numFmtId="49" fontId="6" fillId="0" borderId="17" xfId="0" applyNumberFormat="1" applyFont="1" applyBorder="1">
      <alignment vertical="top"/>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3"/>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13" borderId="6"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26"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20" fillId="0" borderId="0" xfId="0" applyNumberFormat="1" applyFont="1" applyAlignment="1"/>
    <xf numFmtId="0" fontId="50" fillId="0" borderId="0" xfId="0" applyNumberFormat="1" applyFont="1" applyAlignment="1">
      <alignment vertical="center" wrapText="1"/>
    </xf>
    <xf numFmtId="0" fontId="22" fillId="0" borderId="0" xfId="0" applyNumberFormat="1" applyFont="1" applyAlignment="1">
      <alignment vertical="center" wrapText="1"/>
    </xf>
    <xf numFmtId="0" fontId="47" fillId="0" borderId="0" xfId="0" applyNumberFormat="1" applyFont="1" applyAlignment="1">
      <alignment vertical="center" wrapText="1"/>
    </xf>
    <xf numFmtId="0" fontId="6" fillId="0" borderId="0" xfId="0" applyNumberFormat="1" applyFont="1" applyAlignment="1">
      <alignment vertical="center" wrapText="1"/>
    </xf>
    <xf numFmtId="0" fontId="47" fillId="0" borderId="0" xfId="0" applyNumberFormat="1" applyFont="1" applyAlignment="1">
      <alignment vertical="center" wrapText="1"/>
    </xf>
    <xf numFmtId="0" fontId="6" fillId="0" borderId="0" xfId="0" applyNumberFormat="1" applyFont="1" applyAlignment="1">
      <alignment vertical="center" wrapText="1"/>
    </xf>
    <xf numFmtId="0" fontId="78"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0" fontId="36" fillId="0" borderId="0" xfId="0" applyNumberFormat="1" applyFont="1" applyAlignment="1">
      <alignment vertical="center" wrapText="1"/>
    </xf>
    <xf numFmtId="0" fontId="37" fillId="0" borderId="0" xfId="0" applyNumberFormat="1" applyFont="1" applyAlignment="1">
      <alignment vertical="center" wrapText="1"/>
    </xf>
    <xf numFmtId="0" fontId="43" fillId="0" borderId="0" xfId="0" applyNumberFormat="1" applyFont="1" applyAlignment="1">
      <alignment vertical="center" wrapText="1"/>
    </xf>
    <xf numFmtId="0" fontId="32" fillId="0" borderId="0" xfId="0" applyNumberFormat="1" applyFont="1" applyAlignment="1">
      <alignment vertical="center" wrapText="1"/>
    </xf>
    <xf numFmtId="0" fontId="32" fillId="0" borderId="0" xfId="0" applyNumberFormat="1" applyFont="1" applyAlignment="1">
      <alignment vertical="center" wrapText="1"/>
    </xf>
    <xf numFmtId="49" fontId="0" fillId="0" borderId="0" xfId="0" applyNumberFormat="1" applyFont="1">
      <alignment vertical="top"/>
    </xf>
    <xf numFmtId="0" fontId="35" fillId="0" borderId="0" xfId="0" applyNumberFormat="1" applyFont="1" applyAlignment="1">
      <alignment vertical="center" wrapText="1"/>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xf>
    <xf numFmtId="0" fontId="37" fillId="0" borderId="0" xfId="0" applyNumberFormat="1" applyFont="1" applyAlignment="1">
      <alignment vertical="center"/>
    </xf>
    <xf numFmtId="0" fontId="42" fillId="0" borderId="0" xfId="0" applyNumberFormat="1" applyFont="1" applyAlignment="1">
      <alignment vertical="center"/>
    </xf>
    <xf numFmtId="0" fontId="31"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6" fillId="0" borderId="0" xfId="0" applyNumberFormat="1" applyFont="1" applyAlignment="1">
      <alignment vertical="center"/>
    </xf>
    <xf numFmtId="0" fontId="37" fillId="0" borderId="0" xfId="0" applyNumberFormat="1" applyFont="1" applyAlignment="1">
      <alignment vertical="center"/>
    </xf>
    <xf numFmtId="0" fontId="6" fillId="0" borderId="0" xfId="0" applyNumberFormat="1" applyFont="1" applyAlignment="1">
      <alignment vertical="center"/>
    </xf>
    <xf numFmtId="0" fontId="31" fillId="0" borderId="0" xfId="0" applyNumberFormat="1" applyFont="1" applyAlignment="1">
      <alignment vertical="center"/>
    </xf>
    <xf numFmtId="0" fontId="54"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6" fillId="0" borderId="0" xfId="0" applyNumberFormat="1" applyFont="1" applyAlignment="1">
      <alignment vertical="center"/>
    </xf>
    <xf numFmtId="49" fontId="37" fillId="0" borderId="0" xfId="0" applyNumberFormat="1" applyFont="1">
      <alignment vertical="top"/>
    </xf>
    <xf numFmtId="49" fontId="37" fillId="0" borderId="0" xfId="0" applyNumberFormat="1" applyFont="1" applyAlignment="1">
      <alignment horizontal="center" vertical="center"/>
    </xf>
    <xf numFmtId="49" fontId="54" fillId="0" borderId="0" xfId="0" applyNumberFormat="1" applyFont="1">
      <alignment vertical="top"/>
    </xf>
    <xf numFmtId="0" fontId="32" fillId="0" borderId="0" xfId="0" applyNumberFormat="1" applyFont="1" applyAlignment="1">
      <alignment vertical="center" wrapText="1"/>
    </xf>
    <xf numFmtId="49" fontId="0" fillId="0" borderId="0" xfId="0" applyNumberFormat="1" applyFont="1">
      <alignment vertical="top"/>
    </xf>
    <xf numFmtId="49" fontId="22" fillId="0" borderId="0" xfId="0" applyNumberFormat="1" applyFont="1">
      <alignment vertical="top"/>
    </xf>
    <xf numFmtId="0" fontId="48" fillId="10" borderId="0" xfId="0" applyNumberFormat="1" applyFont="1" applyFill="1" applyAlignment="1"/>
    <xf numFmtId="0" fontId="37" fillId="10" borderId="0" xfId="0" applyNumberFormat="1" applyFont="1" applyFill="1" applyAlignment="1"/>
    <xf numFmtId="0" fontId="63" fillId="10" borderId="0" xfId="0" applyNumberFormat="1" applyFont="1" applyFill="1" applyAlignment="1"/>
    <xf numFmtId="0" fontId="6" fillId="10" borderId="0" xfId="0" applyNumberFormat="1" applyFont="1" applyFill="1" applyAlignment="1"/>
    <xf numFmtId="0" fontId="0" fillId="10" borderId="0" xfId="0" applyNumberFormat="1" applyFont="1" applyFill="1" applyAlignment="1"/>
    <xf numFmtId="0" fontId="0" fillId="10" borderId="0" xfId="0" applyNumberFormat="1" applyFont="1" applyFill="1" applyAlignment="1">
      <alignment horizontal="center"/>
    </xf>
    <xf numFmtId="0" fontId="75" fillId="0" borderId="0" xfId="0" applyNumberFormat="1" applyFont="1" applyAlignment="1">
      <alignment vertical="center" wrapText="1"/>
    </xf>
    <xf numFmtId="0" fontId="47" fillId="0" borderId="0" xfId="0" applyNumberFormat="1" applyFont="1" applyAlignment="1">
      <alignment vertical="center" wrapText="1"/>
    </xf>
    <xf numFmtId="0" fontId="59"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0" xfId="0" applyNumberFormat="1" applyFont="1" applyAlignment="1">
      <alignment vertical="center" wrapText="1"/>
    </xf>
    <xf numFmtId="0" fontId="32" fillId="0" borderId="0" xfId="0" applyNumberFormat="1" applyFont="1" applyAlignment="1">
      <alignment vertical="center" wrapText="1"/>
    </xf>
    <xf numFmtId="0" fontId="37" fillId="0" borderId="0" xfId="0" applyNumberFormat="1" applyFont="1" applyAlignment="1">
      <alignment vertical="center" wrapText="1"/>
    </xf>
    <xf numFmtId="0" fontId="6" fillId="0" borderId="0" xfId="0" applyNumberFormat="1" applyFont="1" applyAlignment="1">
      <alignment vertical="center" wrapText="1"/>
    </xf>
    <xf numFmtId="0" fontId="75" fillId="0" borderId="0" xfId="0" applyNumberFormat="1" applyFont="1" applyAlignment="1">
      <alignment vertical="center" wrapText="1"/>
    </xf>
    <xf numFmtId="0" fontId="4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6" fillId="0" borderId="0" xfId="0" applyNumberFormat="1" applyFont="1" applyAlignment="1">
      <alignment vertical="center" wrapText="1"/>
    </xf>
    <xf numFmtId="0" fontId="0" fillId="0" borderId="0" xfId="0" applyNumberFormat="1" applyFont="1" applyAlignment="1">
      <alignment vertical="center"/>
    </xf>
    <xf numFmtId="0" fontId="37" fillId="0" borderId="0" xfId="0" applyNumberFormat="1" applyFont="1" applyAlignment="1">
      <alignment vertical="center" wrapText="1"/>
    </xf>
    <xf numFmtId="0" fontId="36" fillId="0" borderId="0" xfId="0" applyNumberFormat="1" applyFont="1" applyAlignment="1">
      <alignment horizontal="center" vertical="center" wrapText="1"/>
    </xf>
    <xf numFmtId="49" fontId="36" fillId="0" borderId="0" xfId="0" applyNumberFormat="1" applyFont="1" applyAlignment="1">
      <alignment vertical="center" wrapText="1"/>
    </xf>
    <xf numFmtId="49" fontId="6" fillId="0" borderId="0" xfId="0" applyNumberFormat="1" applyFont="1" applyAlignment="1">
      <alignment vertical="center" wrapText="1"/>
    </xf>
    <xf numFmtId="0" fontId="29"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7" fillId="0" borderId="0" xfId="0" applyNumberFormat="1" applyFont="1" applyAlignment="1">
      <alignment vertical="center" wrapText="1"/>
    </xf>
    <xf numFmtId="0" fontId="36" fillId="0" borderId="0" xfId="0" applyNumberFormat="1" applyFont="1" applyAlignment="1">
      <alignment vertical="center" wrapText="1"/>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vertical="center"/>
    </xf>
    <xf numFmtId="0" fontId="6" fillId="0" borderId="0" xfId="0" applyNumberFormat="1" applyFont="1" applyAlignment="1">
      <alignment horizontal="center" vertical="center" wrapText="1"/>
    </xf>
    <xf numFmtId="0" fontId="36" fillId="0" borderId="0" xfId="0" applyNumberFormat="1" applyFont="1" applyAlignment="1">
      <alignment horizontal="left" vertical="center"/>
    </xf>
    <xf numFmtId="0" fontId="56" fillId="0" borderId="0" xfId="0" applyNumberFormat="1" applyFont="1" applyAlignment="1">
      <alignment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50"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50" fillId="0" borderId="0" xfId="0" applyNumberFormat="1" applyFont="1" applyAlignment="1">
      <alignment vertical="center" wrapText="1"/>
    </xf>
    <xf numFmtId="49" fontId="0" fillId="0" borderId="0" xfId="0" applyNumberFormat="1" applyFont="1">
      <alignment vertical="top"/>
    </xf>
    <xf numFmtId="0" fontId="22" fillId="0" borderId="0" xfId="0" applyNumberFormat="1" applyFont="1" applyAlignment="1">
      <alignment vertical="center" wrapTex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6" fillId="0" borderId="0" xfId="0" applyNumberFormat="1" applyFont="1" applyAlignment="1">
      <alignment vertical="center" wrapText="1"/>
    </xf>
    <xf numFmtId="49" fontId="78" fillId="0" borderId="0" xfId="0" applyNumberFormat="1" applyFont="1" applyAlignment="1">
      <alignment horizontal="center" vertical="center" wrapText="1"/>
    </xf>
    <xf numFmtId="0" fontId="6" fillId="0" borderId="0" xfId="0" applyNumberFormat="1" applyFont="1" applyAlignment="1">
      <alignment vertical="center" wrapText="1"/>
    </xf>
    <xf numFmtId="0" fontId="41" fillId="0" borderId="0" xfId="0" applyNumberFormat="1" applyFont="1" applyAlignment="1">
      <alignment vertical="center" wrapText="1"/>
    </xf>
    <xf numFmtId="0" fontId="6" fillId="0" borderId="0" xfId="0" applyNumberFormat="1" applyFont="1" applyAlignment="1">
      <alignment vertical="center" wrapText="1"/>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0" fontId="70"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49" fontId="35" fillId="0" borderId="0" xfId="0" applyNumberFormat="1" applyFont="1" applyAlignment="1">
      <alignment vertical="center"/>
    </xf>
    <xf numFmtId="49" fontId="6" fillId="0" borderId="0" xfId="0" applyNumberFormat="1" applyFont="1" applyAlignment="1">
      <alignment horizontal="center" vertical="top" wrapText="1"/>
    </xf>
    <xf numFmtId="49" fontId="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vertical="center"/>
    </xf>
    <xf numFmtId="49" fontId="35" fillId="0" borderId="0" xfId="0" applyNumberFormat="1" applyFont="1" applyAlignment="1">
      <alignment vertical="center" wrapText="1"/>
    </xf>
    <xf numFmtId="49" fontId="35" fillId="0" borderId="0" xfId="0" applyNumberFormat="1" applyFont="1" applyAlignment="1">
      <alignment vertical="center" wrapText="1"/>
    </xf>
    <xf numFmtId="49" fontId="86" fillId="0" borderId="0" xfId="0" applyNumberFormat="1" applyFont="1" applyAlignment="1">
      <alignmen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6" fillId="0" borderId="0" xfId="0" applyNumberFormat="1" applyFont="1" applyAlignment="1">
      <alignment vertical="center" wrapText="1"/>
    </xf>
    <xf numFmtId="0" fontId="29" fillId="0" borderId="0" xfId="0" applyNumberFormat="1" applyFont="1" applyAlignment="1">
      <alignment vertical="center" wrapText="1"/>
    </xf>
    <xf numFmtId="49" fontId="6" fillId="0" borderId="0" xfId="0" applyNumberFormat="1" applyFont="1">
      <alignment vertical="top"/>
    </xf>
    <xf numFmtId="49" fontId="6" fillId="0" borderId="0" xfId="0" applyNumberFormat="1" applyFont="1" applyAlignment="1">
      <alignment vertical="top" wrapText="1"/>
    </xf>
    <xf numFmtId="0" fontId="6" fillId="0" borderId="0" xfId="0" applyNumberFormat="1" applyFont="1" applyAlignment="1">
      <alignment vertical="top" wrapText="1"/>
    </xf>
    <xf numFmtId="0" fontId="6" fillId="0" borderId="0" xfId="0" applyNumberFormat="1" applyFont="1" applyAlignment="1">
      <alignment vertical="center" wrapText="1"/>
    </xf>
    <xf numFmtId="0" fontId="37" fillId="0" borderId="0" xfId="0" applyNumberFormat="1" applyFont="1" applyAlignment="1">
      <alignment vertical="center"/>
    </xf>
    <xf numFmtId="49" fontId="6" fillId="0" borderId="0" xfId="0" applyNumberFormat="1" applyFont="1" applyAlignment="1">
      <alignment vertical="center" wrapText="1"/>
    </xf>
    <xf numFmtId="49" fontId="6" fillId="0" borderId="0" xfId="0" applyNumberFormat="1" applyFont="1" applyAlignment="1">
      <alignment horizontal="center" vertical="top"/>
    </xf>
    <xf numFmtId="49" fontId="6" fillId="0" borderId="0" xfId="0" applyNumberFormat="1" applyFont="1" applyAlignment="1">
      <alignment vertical="center"/>
    </xf>
    <xf numFmtId="49" fontId="0"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6" fillId="0" borderId="0" xfId="0" applyNumberFormat="1" applyFont="1">
      <alignment vertical="top"/>
    </xf>
    <xf numFmtId="0" fontId="54" fillId="10" borderId="0" xfId="0" applyNumberFormat="1" applyFont="1" applyFill="1" applyAlignment="1"/>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horizontal="center" vertical="center" wrapText="1"/>
    </xf>
    <xf numFmtId="0" fontId="37" fillId="0" borderId="0" xfId="0" applyNumberFormat="1" applyFont="1" applyAlignment="1">
      <alignment vertical="center"/>
    </xf>
    <xf numFmtId="0" fontId="32" fillId="0" borderId="0" xfId="0" applyNumberFormat="1" applyFont="1" applyAlignment="1">
      <alignment horizontal="center" vertical="center" wrapText="1"/>
    </xf>
    <xf numFmtId="49" fontId="22"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0" borderId="0" xfId="0" applyNumberFormat="1" applyFont="1" applyAlignment="1"/>
    <xf numFmtId="0" fontId="27" fillId="0" borderId="0" xfId="0" applyNumberFormat="1" applyFont="1" applyAlignment="1">
      <alignment horizontal="center" vertical="center"/>
    </xf>
    <xf numFmtId="49" fontId="0" fillId="0" borderId="0" xfId="0" applyNumberFormat="1" applyFont="1">
      <alignment vertical="top"/>
    </xf>
    <xf numFmtId="49" fontId="0" fillId="14" borderId="0" xfId="0" applyNumberFormat="1" applyFont="1" applyFill="1">
      <alignment vertical="top"/>
    </xf>
    <xf numFmtId="0" fontId="32" fillId="0" borderId="0" xfId="0" applyNumberFormat="1" applyFont="1" applyAlignment="1">
      <alignment vertical="center" wrapText="1"/>
    </xf>
    <xf numFmtId="0" fontId="0" fillId="0" borderId="0" xfId="0" applyNumberFormat="1" applyFont="1" applyAlignment="1">
      <alignment vertical="center"/>
    </xf>
    <xf numFmtId="49" fontId="6" fillId="0" borderId="0" xfId="0" applyNumberFormat="1" applyFont="1">
      <alignment vertical="top"/>
    </xf>
    <xf numFmtId="0" fontId="0" fillId="0" borderId="0" xfId="0" applyNumberFormat="1" applyFont="1" applyAlignment="1">
      <alignment vertical="center"/>
    </xf>
    <xf numFmtId="49" fontId="82" fillId="0" borderId="0" xfId="0" applyNumberFormat="1" applyFont="1" applyAlignment="1">
      <alignment vertical="top" wrapText="1"/>
    </xf>
    <xf numFmtId="49" fontId="82" fillId="0" borderId="0" xfId="0" applyNumberFormat="1" applyFont="1">
      <alignment vertical="top"/>
    </xf>
    <xf numFmtId="49" fontId="82" fillId="0" borderId="0" xfId="0" applyNumberFormat="1" applyFont="1" applyAlignment="1">
      <alignment horizontal="center" vertical="top" wrapText="1"/>
    </xf>
    <xf numFmtId="49" fontId="82" fillId="0" borderId="0" xfId="0" applyNumberFormat="1" applyFont="1" applyAlignment="1">
      <alignment horizontal="left" vertical="top" wrapText="1"/>
    </xf>
    <xf numFmtId="49" fontId="82" fillId="7" borderId="0" xfId="0" applyNumberFormat="1" applyFont="1" applyFill="1" applyAlignment="1">
      <alignment horizontal="left" vertical="top" wrapText="1"/>
    </xf>
    <xf numFmtId="0" fontId="82" fillId="0" borderId="0" xfId="0" applyNumberFormat="1" applyFont="1" applyAlignment="1">
      <alignment vertical="top" wrapText="1"/>
    </xf>
    <xf numFmtId="49" fontId="0" fillId="0" borderId="0" xfId="0" applyNumberFormat="1" applyFont="1">
      <alignment vertical="top"/>
    </xf>
    <xf numFmtId="49" fontId="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0" fontId="1" fillId="0" borderId="0" xfId="0" applyNumberFormat="1" applyFont="1" applyAlignment="1"/>
    <xf numFmtId="0" fontId="20"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89" fillId="0" borderId="0" xfId="0" applyNumberFormat="1" applyFont="1" applyAlignment="1">
      <alignment vertical="center" wrapText="1"/>
    </xf>
    <xf numFmtId="0" fontId="89" fillId="0" borderId="0" xfId="0" applyNumberFormat="1" applyFont="1" applyAlignment="1">
      <alignment vertical="center"/>
    </xf>
    <xf numFmtId="0" fontId="5" fillId="30" borderId="59" xfId="0" applyNumberFormat="1" applyFont="1" applyFill="1" applyBorder="1" applyAlignment="1">
      <alignment horizontal="center" vertical="center" wrapText="1"/>
    </xf>
    <xf numFmtId="0" fontId="5" fillId="30" borderId="60" xfId="0" applyNumberFormat="1" applyFont="1" applyFill="1" applyBorder="1" applyAlignment="1">
      <alignment horizontal="center" vertical="center" wrapText="1"/>
    </xf>
    <xf numFmtId="0" fontId="5" fillId="30" borderId="61" xfId="0" applyNumberFormat="1" applyFont="1" applyFill="1" applyBorder="1" applyAlignment="1">
      <alignment horizontal="center" vertical="center" wrapText="1"/>
    </xf>
    <xf numFmtId="0" fontId="5" fillId="21" borderId="31" xfId="0" applyNumberFormat="1" applyFont="1" applyFill="1" applyBorder="1" applyAlignment="1">
      <alignment horizontal="right" vertical="center" wrapText="1" indent="1"/>
    </xf>
    <xf numFmtId="0" fontId="5" fillId="21" borderId="58" xfId="0" applyNumberFormat="1" applyFont="1" applyFill="1" applyBorder="1" applyAlignment="1">
      <alignment horizontal="right" vertical="center" wrapText="1" indent="1"/>
    </xf>
    <xf numFmtId="0" fontId="5" fillId="21" borderId="0" xfId="0" applyNumberFormat="1" applyFont="1" applyFill="1" applyAlignment="1">
      <alignment horizontal="right" vertical="center" wrapText="1" indent="1"/>
    </xf>
    <xf numFmtId="0" fontId="107" fillId="0" borderId="31" xfId="0" applyNumberFormat="1" applyFont="1" applyBorder="1" applyAlignment="1">
      <alignment vertical="center" wrapText="1"/>
    </xf>
    <xf numFmtId="0" fontId="107" fillId="0" borderId="0" xfId="0" applyNumberFormat="1" applyFont="1" applyAlignment="1">
      <alignment vertical="center" wrapText="1"/>
    </xf>
    <xf numFmtId="0" fontId="107" fillId="0" borderId="31" xfId="0" applyNumberFormat="1" applyFont="1" applyBorder="1" applyAlignment="1">
      <alignment horizontal="left" vertical="center" wrapText="1"/>
    </xf>
    <xf numFmtId="0" fontId="107" fillId="0" borderId="0" xfId="0" applyNumberFormat="1" applyFont="1" applyAlignment="1">
      <alignment horizontal="left" vertical="center" wrapText="1"/>
    </xf>
    <xf numFmtId="0" fontId="5" fillId="21" borderId="54" xfId="0" applyNumberFormat="1" applyFont="1" applyFill="1" applyBorder="1" applyAlignment="1">
      <alignment horizontal="right" vertical="center" wrapText="1" indent="1"/>
    </xf>
    <xf numFmtId="0" fontId="5" fillId="21" borderId="57" xfId="0" applyNumberFormat="1" applyFont="1" applyFill="1" applyBorder="1" applyAlignment="1">
      <alignment horizontal="right" vertical="center" wrapText="1" indent="1"/>
    </xf>
    <xf numFmtId="0" fontId="5" fillId="21" borderId="56" xfId="0" applyNumberFormat="1" applyFont="1" applyFill="1" applyBorder="1" applyAlignment="1">
      <alignment horizontal="right" vertical="center" wrapText="1" indent="1"/>
    </xf>
    <xf numFmtId="0" fontId="5" fillId="21" borderId="32" xfId="0" applyNumberFormat="1" applyFont="1" applyFill="1" applyBorder="1" applyAlignment="1">
      <alignment horizontal="right" vertical="center" wrapText="1" indent="1"/>
    </xf>
    <xf numFmtId="0" fontId="107" fillId="0" borderId="0" xfId="0" applyNumberFormat="1" applyFont="1" applyAlignment="1">
      <alignment vertical="top" wrapText="1"/>
    </xf>
    <xf numFmtId="49" fontId="53" fillId="0" borderId="0" xfId="0" applyNumberFormat="1" applyFont="1" applyAlignment="1">
      <alignment vertical="top" wrapText="1"/>
    </xf>
    <xf numFmtId="0" fontId="6" fillId="0" borderId="6"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83" fillId="0" borderId="0" xfId="0" applyNumberFormat="1" applyFont="1" applyAlignment="1">
      <alignment horizontal="left" vertical="center" wrapText="1"/>
    </xf>
    <xf numFmtId="14" fontId="8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8" xfId="0" applyNumberFormat="1" applyFont="1" applyBorder="1" applyAlignment="1">
      <alignment horizontal="left" vertical="center" wrapText="1" indent="1"/>
    </xf>
    <xf numFmtId="0" fontId="6" fillId="0" borderId="8" xfId="0" applyNumberFormat="1" applyFont="1" applyBorder="1" applyAlignment="1">
      <alignment horizontal="center" vertical="center" wrapText="1"/>
    </xf>
    <xf numFmtId="4"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6" fillId="16" borderId="10" xfId="0" applyNumberFormat="1" applyFont="1" applyFill="1" applyBorder="1" applyAlignment="1" applyProtection="1">
      <alignment horizontal="left" vertical="center" wrapText="1" indent="1"/>
      <protection locked="0"/>
    </xf>
    <xf numFmtId="0" fontId="6" fillId="16" borderId="16" xfId="0" applyNumberFormat="1" applyFont="1" applyFill="1" applyBorder="1" applyAlignment="1" applyProtection="1">
      <alignment horizontal="left" vertical="center" wrapText="1" indent="1"/>
      <protection locked="0"/>
    </xf>
    <xf numFmtId="49" fontId="6" fillId="16"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0" fontId="6" fillId="16" borderId="10" xfId="0" applyNumberFormat="1" applyFont="1" applyFill="1" applyBorder="1" applyAlignment="1">
      <alignment horizontal="left" vertical="center" wrapText="1" indent="2"/>
    </xf>
    <xf numFmtId="0" fontId="6" fillId="16" borderId="29" xfId="0" applyNumberFormat="1" applyFont="1" applyFill="1" applyBorder="1" applyAlignment="1">
      <alignment horizontal="left" vertical="center" wrapText="1" indent="2"/>
    </xf>
    <xf numFmtId="0" fontId="6" fillId="16" borderId="16" xfId="0" applyNumberFormat="1" applyFont="1" applyFill="1" applyBorder="1" applyAlignment="1">
      <alignment horizontal="left" vertical="center" wrapText="1" indent="2"/>
    </xf>
    <xf numFmtId="49" fontId="6" fillId="16" borderId="16" xfId="0" applyNumberFormat="1" applyFont="1" applyFill="1" applyBorder="1" applyAlignment="1">
      <alignment horizontal="center" vertical="center" wrapText="1"/>
    </xf>
    <xf numFmtId="14" fontId="68" fillId="0" borderId="66" xfId="0" applyNumberFormat="1" applyFont="1" applyBorder="1" applyAlignment="1">
      <alignment horizontal="center" vertical="center" wrapText="1"/>
    </xf>
    <xf numFmtId="0" fontId="6" fillId="0" borderId="66" xfId="0" applyNumberFormat="1" applyFont="1" applyBorder="1" applyAlignment="1">
      <alignment horizontal="center" vertical="center" wrapText="1"/>
    </xf>
    <xf numFmtId="49" fontId="26" fillId="0" borderId="62" xfId="0" applyNumberFormat="1" applyFont="1" applyBorder="1" applyAlignment="1">
      <alignment horizontal="center" vertical="center" wrapText="1"/>
    </xf>
    <xf numFmtId="49" fontId="26" fillId="0" borderId="63"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6" fillId="0" borderId="6" xfId="0" applyNumberFormat="1" applyFont="1" applyBorder="1" applyAlignment="1">
      <alignment horizontal="center" vertical="center" wrapText="1"/>
    </xf>
    <xf numFmtId="0" fontId="6" fillId="0" borderId="13" xfId="0" applyNumberFormat="1" applyFont="1" applyBorder="1" applyAlignment="1">
      <alignment horizontal="left" vertical="center" wrapText="1" indent="1"/>
    </xf>
    <xf numFmtId="0" fontId="6" fillId="0" borderId="10" xfId="0" applyNumberFormat="1" applyFont="1" applyBorder="1" applyAlignment="1">
      <alignment horizontal="left" vertical="center" wrapText="1" indent="1"/>
    </xf>
    <xf numFmtId="0" fontId="6" fillId="0" borderId="30" xfId="0" applyNumberFormat="1" applyFont="1" applyBorder="1" applyAlignment="1">
      <alignment horizontal="left" vertical="center" wrapText="1" indent="1"/>
    </xf>
    <xf numFmtId="0" fontId="6" fillId="0" borderId="22" xfId="0" applyNumberFormat="1" applyFont="1" applyBorder="1" applyAlignment="1">
      <alignment horizontal="left" vertical="center" indent="1"/>
    </xf>
    <xf numFmtId="0" fontId="6" fillId="0" borderId="16" xfId="0" applyNumberFormat="1" applyFont="1" applyBorder="1" applyAlignment="1">
      <alignment horizontal="left" vertical="center" indent="1"/>
    </xf>
    <xf numFmtId="0" fontId="6" fillId="0" borderId="23" xfId="0" applyNumberFormat="1" applyFont="1" applyBorder="1" applyAlignment="1">
      <alignment horizontal="left" vertical="center" indent="1"/>
    </xf>
    <xf numFmtId="0" fontId="6" fillId="17"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2" fillId="0" borderId="30" xfId="0" applyNumberFormat="1" applyFont="1" applyBorder="1" applyAlignment="1">
      <alignment horizontal="center" vertical="center" wrapText="1"/>
    </xf>
    <xf numFmtId="0" fontId="62" fillId="0" borderId="12"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2" fillId="0" borderId="5" xfId="0" applyNumberFormat="1" applyFont="1" applyBorder="1" applyAlignment="1">
      <alignment horizontal="center" vertical="center" wrapText="1"/>
    </xf>
    <xf numFmtId="0" fontId="6" fillId="0" borderId="64" xfId="0" applyNumberFormat="1" applyFont="1" applyBorder="1" applyAlignment="1">
      <alignment horizontal="center" vertical="center" wrapText="1"/>
    </xf>
    <xf numFmtId="0" fontId="6" fillId="0" borderId="65" xfId="0" applyNumberFormat="1" applyFont="1" applyBorder="1" applyAlignment="1">
      <alignment horizontal="center" vertical="center" wrapText="1"/>
    </xf>
    <xf numFmtId="0" fontId="0" fillId="0" borderId="5" xfId="0" applyNumberFormat="1" applyFont="1" applyBorder="1" applyAlignment="1">
      <alignment horizontal="center" vertical="top"/>
    </xf>
    <xf numFmtId="49" fontId="0" fillId="0" borderId="5" xfId="0" applyNumberFormat="1" applyFont="1" applyBorder="1">
      <alignment vertical="top"/>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0" fillId="0" borderId="12"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2" xfId="0" applyNumberFormat="1" applyFont="1" applyBorder="1" applyAlignment="1">
      <alignment horizontal="left" vertical="center" wrapText="1"/>
    </xf>
    <xf numFmtId="0" fontId="6" fillId="0" borderId="5" xfId="0" applyNumberFormat="1" applyFont="1" applyBorder="1" applyAlignment="1">
      <alignment horizontal="left" vertical="top" wrapText="1"/>
    </xf>
    <xf numFmtId="49" fontId="0" fillId="0" borderId="5" xfId="0" applyNumberFormat="1" applyFont="1" applyBorder="1" applyAlignment="1">
      <alignment horizontal="left" vertical="top"/>
    </xf>
    <xf numFmtId="0" fontId="6" fillId="16" borderId="10" xfId="0" applyNumberFormat="1" applyFont="1" applyFill="1" applyBorder="1" applyAlignment="1">
      <alignment horizontal="center" vertical="top" wrapText="1"/>
    </xf>
    <xf numFmtId="0" fontId="6" fillId="16" borderId="29" xfId="0" applyNumberFormat="1" applyFont="1" applyFill="1" applyBorder="1" applyAlignment="1">
      <alignment horizontal="center" vertical="top" wrapText="1"/>
    </xf>
    <xf numFmtId="0" fontId="6" fillId="16" borderId="16" xfId="0" applyNumberFormat="1" applyFont="1" applyFill="1" applyBorder="1" applyAlignment="1">
      <alignment horizontal="center" vertical="top" wrapText="1"/>
    </xf>
    <xf numFmtId="0" fontId="0" fillId="0" borderId="30" xfId="0" applyNumberFormat="1" applyFont="1" applyBorder="1" applyAlignment="1">
      <alignment horizontal="center" vertical="center"/>
    </xf>
    <xf numFmtId="0" fontId="0" fillId="0" borderId="15" xfId="0" applyNumberFormat="1" applyFont="1" applyBorder="1" applyAlignment="1">
      <alignment horizontal="center" vertical="center"/>
    </xf>
    <xf numFmtId="0" fontId="0" fillId="0" borderId="12" xfId="0" applyNumberFormat="1" applyFont="1" applyBorder="1" applyAlignment="1">
      <alignment horizontal="center" vertical="center"/>
    </xf>
    <xf numFmtId="0" fontId="0" fillId="0" borderId="0" xfId="0" applyNumberFormat="1" applyFont="1" applyAlignment="1">
      <alignment horizontal="center"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5" xfId="0" applyNumberFormat="1" applyFont="1" applyBorder="1" applyAlignment="1">
      <alignment horizontal="center" vertical="center" wrapText="1"/>
    </xf>
    <xf numFmtId="49" fontId="37" fillId="10" borderId="20" xfId="0" applyNumberFormat="1" applyFont="1" applyFill="1" applyBorder="1" applyAlignment="1">
      <alignment horizontal="center" vertical="center" wrapText="1"/>
    </xf>
    <xf numFmtId="0" fontId="6" fillId="0" borderId="13" xfId="0" applyNumberFormat="1" applyFont="1" applyBorder="1" applyAlignment="1">
      <alignment horizontal="left" vertical="top" wrapText="1" indent="1"/>
    </xf>
    <xf numFmtId="0" fontId="6" fillId="0" borderId="10" xfId="0" applyNumberFormat="1" applyFont="1" applyBorder="1" applyAlignment="1">
      <alignment horizontal="left" vertical="top" wrapText="1" indent="1"/>
    </xf>
    <xf numFmtId="0" fontId="6" fillId="0" borderId="30" xfId="0" applyNumberFormat="1" applyFont="1" applyBorder="1" applyAlignment="1">
      <alignment horizontal="left" vertical="top" wrapText="1" indent="1"/>
    </xf>
    <xf numFmtId="0" fontId="59" fillId="0" borderId="17" xfId="0" applyNumberFormat="1" applyFont="1" applyBorder="1" applyAlignment="1">
      <alignment horizontal="left" vertical="center" wrapText="1" indent="1"/>
    </xf>
    <xf numFmtId="0" fontId="59" fillId="0" borderId="29" xfId="0" applyNumberFormat="1" applyFont="1" applyBorder="1" applyAlignment="1">
      <alignment horizontal="left" vertical="center" wrapText="1" indent="1"/>
    </xf>
    <xf numFmtId="0" fontId="59" fillId="0" borderId="15" xfId="0" applyNumberFormat="1" applyFont="1" applyBorder="1" applyAlignment="1">
      <alignment horizontal="left" vertical="center" wrapText="1" indent="1"/>
    </xf>
    <xf numFmtId="0" fontId="6" fillId="0" borderId="20" xfId="0" applyNumberFormat="1" applyFont="1" applyBorder="1" applyAlignment="1">
      <alignment horizontal="left" vertical="center" indent="1"/>
    </xf>
    <xf numFmtId="0" fontId="0" fillId="0" borderId="10" xfId="0" applyNumberFormat="1" applyFont="1" applyBorder="1" applyAlignment="1">
      <alignment horizontal="center" vertical="top"/>
    </xf>
    <xf numFmtId="0" fontId="0" fillId="0" borderId="29" xfId="0" applyNumberFormat="1" applyFont="1" applyBorder="1" applyAlignment="1">
      <alignment horizontal="center" vertical="top"/>
    </xf>
    <xf numFmtId="0" fontId="0" fillId="0" borderId="16" xfId="0" applyNumberFormat="1" applyFont="1" applyBorder="1" applyAlignment="1">
      <alignment horizontal="center" vertical="top"/>
    </xf>
    <xf numFmtId="0" fontId="6" fillId="0" borderId="10" xfId="0" applyNumberFormat="1" applyFont="1" applyBorder="1" applyAlignment="1">
      <alignment horizontal="left" vertical="top" wrapText="1"/>
    </xf>
    <xf numFmtId="0" fontId="6" fillId="0" borderId="29" xfId="0" applyNumberFormat="1" applyFont="1" applyBorder="1" applyAlignment="1">
      <alignment horizontal="left" vertical="top" wrapText="1"/>
    </xf>
    <xf numFmtId="0" fontId="6" fillId="0" borderId="16"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0" fillId="0" borderId="29" xfId="0" applyNumberFormat="1" applyFont="1" applyBorder="1">
      <alignment vertical="top"/>
    </xf>
    <xf numFmtId="49" fontId="0" fillId="0" borderId="29" xfId="0" applyNumberFormat="1" applyFont="1" applyBorder="1" applyAlignment="1">
      <alignment horizontal="left" vertical="top"/>
    </xf>
    <xf numFmtId="0" fontId="6" fillId="16" borderId="5" xfId="0" applyNumberFormat="1" applyFont="1" applyFill="1" applyBorder="1" applyAlignment="1">
      <alignment horizontal="left" vertical="top" wrapText="1"/>
    </xf>
    <xf numFmtId="49" fontId="0" fillId="16" borderId="29" xfId="0" applyNumberFormat="1" applyFont="1" applyFill="1" applyBorder="1" applyAlignment="1">
      <alignment horizontal="left" vertical="top"/>
    </xf>
    <xf numFmtId="49" fontId="0" fillId="16" borderId="5" xfId="0" applyNumberFormat="1" applyFont="1" applyFill="1" applyBorder="1" applyAlignment="1">
      <alignment horizontal="left" vertical="top"/>
    </xf>
    <xf numFmtId="49" fontId="6" fillId="12" borderId="5" xfId="0" applyNumberFormat="1" applyFont="1" applyFill="1" applyBorder="1" applyAlignment="1" applyProtection="1">
      <alignment horizontal="left" vertical="center" wrapText="1"/>
      <protection locked="0"/>
    </xf>
    <xf numFmtId="49" fontId="6" fillId="16" borderId="10" xfId="0" applyNumberFormat="1" applyFont="1" applyFill="1" applyBorder="1" applyAlignment="1">
      <alignment horizontal="center" vertical="center" wrapText="1"/>
    </xf>
    <xf numFmtId="49" fontId="6" fillId="16" borderId="29" xfId="0" applyNumberFormat="1" applyFont="1" applyFill="1" applyBorder="1" applyAlignment="1">
      <alignment horizontal="center" vertical="center" wrapText="1"/>
    </xf>
    <xf numFmtId="49" fontId="0" fillId="10" borderId="5" xfId="0" applyNumberFormat="1" applyFont="1" applyFill="1" applyBorder="1" applyAlignment="1">
      <alignment horizontal="left" vertical="center" wrapText="1"/>
    </xf>
    <xf numFmtId="0" fontId="0" fillId="0" borderId="5" xfId="0" applyNumberFormat="1" applyFont="1" applyBorder="1" applyAlignment="1">
      <alignment horizontal="center" vertical="center"/>
    </xf>
    <xf numFmtId="49" fontId="0" fillId="12" borderId="5" xfId="0" applyNumberFormat="1" applyFont="1" applyFill="1" applyBorder="1" applyAlignment="1" applyProtection="1">
      <alignment horizontal="left" vertical="top"/>
      <protection locked="0"/>
    </xf>
    <xf numFmtId="49" fontId="0" fillId="12" borderId="29" xfId="0" applyNumberFormat="1" applyFont="1" applyFill="1" applyBorder="1" applyProtection="1">
      <alignment vertical="top"/>
      <protection locked="0"/>
    </xf>
    <xf numFmtId="49" fontId="37" fillId="0" borderId="5" xfId="0" applyNumberFormat="1" applyFont="1" applyBorder="1" applyAlignment="1">
      <alignment horizontal="center" vertical="center" wrapText="1"/>
    </xf>
    <xf numFmtId="0" fontId="0" fillId="16" borderId="5" xfId="0" applyNumberFormat="1" applyFont="1" applyFill="1" applyBorder="1" applyAlignment="1" applyProtection="1">
      <alignment horizontal="left" vertical="center" wrapText="1"/>
      <protection locked="0"/>
    </xf>
    <xf numFmtId="49" fontId="0" fillId="16" borderId="5" xfId="0" applyNumberFormat="1" applyFont="1" applyFill="1" applyBorder="1" applyAlignment="1" applyProtection="1">
      <alignment horizontal="left" vertical="center" wrapText="1"/>
      <protection locked="0"/>
    </xf>
    <xf numFmtId="49" fontId="0" fillId="16" borderId="29" xfId="0" applyNumberFormat="1" applyFont="1" applyFill="1" applyBorder="1" applyAlignment="1" applyProtection="1">
      <alignment horizontal="left" vertical="center" wrapText="1"/>
      <protection locked="0"/>
    </xf>
    <xf numFmtId="49" fontId="0" fillId="15" borderId="5" xfId="0" applyNumberFormat="1" applyFont="1" applyFill="1" applyBorder="1" applyAlignment="1" applyProtection="1">
      <alignment horizontal="left" vertical="center" wrapText="1"/>
      <protection locked="0"/>
    </xf>
    <xf numFmtId="0" fontId="6" fillId="0" borderId="10" xfId="0" applyNumberFormat="1" applyFont="1" applyBorder="1" applyAlignment="1">
      <alignment horizontal="center" vertical="center" wrapText="1"/>
    </xf>
    <xf numFmtId="0" fontId="6" fillId="0" borderId="20" xfId="0" applyNumberFormat="1" applyFont="1" applyBorder="1" applyAlignment="1">
      <alignment horizontal="left" vertical="center" wrapText="1" inden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0" borderId="5" xfId="0" applyNumberFormat="1" applyFont="1" applyBorder="1" applyAlignment="1">
      <alignment horizontal="left" vertical="center" wrapText="1"/>
    </xf>
    <xf numFmtId="0" fontId="6" fillId="0" borderId="30" xfId="0" applyNumberFormat="1" applyFont="1" applyBorder="1" applyAlignment="1">
      <alignment horizontal="left" vertical="center" wrapText="1"/>
    </xf>
    <xf numFmtId="0" fontId="6" fillId="0" borderId="12" xfId="0" applyNumberFormat="1" applyFont="1" applyBorder="1" applyAlignment="1">
      <alignment horizontal="center" vertical="center"/>
    </xf>
    <xf numFmtId="0" fontId="6" fillId="0" borderId="0" xfId="0" applyNumberFormat="1" applyFont="1" applyAlignment="1">
      <alignment horizontal="center" vertical="center"/>
    </xf>
    <xf numFmtId="49" fontId="6" fillId="0" borderId="5" xfId="0" applyNumberFormat="1" applyFont="1" applyBorder="1" applyAlignment="1">
      <alignment horizontal="center" vertical="center"/>
    </xf>
    <xf numFmtId="0" fontId="6" fillId="0" borderId="7"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left" vertical="center" wrapText="1"/>
    </xf>
    <xf numFmtId="0" fontId="6" fillId="0" borderId="12" xfId="0" applyNumberFormat="1" applyFont="1" applyBorder="1" applyAlignment="1">
      <alignment horizontal="left" vertical="center" wrapText="1" indent="1"/>
    </xf>
    <xf numFmtId="0" fontId="6" fillId="0" borderId="30"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7" xfId="0" applyNumberFormat="1" applyFont="1" applyBorder="1" applyAlignment="1">
      <alignment horizontal="center" vertical="center" wrapText="1"/>
    </xf>
    <xf numFmtId="0" fontId="6" fillId="0" borderId="29" xfId="0" applyNumberFormat="1" applyFont="1" applyBorder="1" applyAlignment="1">
      <alignment horizontal="center" vertical="center" wrapText="1"/>
    </xf>
    <xf numFmtId="0" fontId="6" fillId="0" borderId="23" xfId="0" applyNumberFormat="1" applyFont="1" applyBorder="1" applyAlignment="1">
      <alignment horizontal="center" vertical="center" wrapText="1"/>
    </xf>
    <xf numFmtId="0" fontId="6" fillId="0" borderId="22" xfId="0" applyNumberFormat="1" applyFont="1" applyBorder="1" applyAlignment="1">
      <alignment horizontal="center" vertical="center" wrapText="1"/>
    </xf>
    <xf numFmtId="49" fontId="6" fillId="10" borderId="0" xfId="0" applyNumberFormat="1" applyFont="1" applyFill="1" applyAlignment="1">
      <alignment horizontal="center" vertical="center" wrapText="1"/>
    </xf>
    <xf numFmtId="0" fontId="35" fillId="0" borderId="0" xfId="0" applyNumberFormat="1" applyFont="1" applyAlignment="1">
      <alignment horizontal="right" vertical="top" wrapText="1"/>
    </xf>
    <xf numFmtId="49" fontId="0" fillId="10" borderId="5" xfId="0" applyNumberFormat="1" applyFont="1" applyFill="1" applyBorder="1" applyAlignment="1">
      <alignment horizontal="center" vertical="center" wrapText="1"/>
    </xf>
    <xf numFmtId="49" fontId="6" fillId="10" borderId="5" xfId="0" applyNumberFormat="1" applyFont="1" applyFill="1" applyBorder="1" applyAlignment="1">
      <alignment horizontal="center" vertical="center" wrapText="1"/>
    </xf>
    <xf numFmtId="0" fontId="35" fillId="0" borderId="0" xfId="0" applyNumberFormat="1" applyFont="1" applyAlignment="1">
      <alignment horizontal="left" vertical="top" wrapText="1" indent="1"/>
    </xf>
    <xf numFmtId="0" fontId="80" fillId="10" borderId="0" xfId="0" applyNumberFormat="1" applyFont="1" applyFill="1" applyAlignment="1">
      <alignment horizontal="left" vertical="center" wrapText="1"/>
    </xf>
    <xf numFmtId="0" fontId="0"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10" xfId="0" applyNumberFormat="1" applyFont="1" applyFill="1" applyBorder="1" applyAlignment="1">
      <alignment horizontal="left" vertical="top" wrapText="1"/>
    </xf>
    <xf numFmtId="0" fontId="6" fillId="10" borderId="29" xfId="0" applyNumberFormat="1" applyFont="1" applyFill="1" applyBorder="1" applyAlignment="1">
      <alignment horizontal="left" vertical="top" wrapText="1"/>
    </xf>
    <xf numFmtId="0" fontId="6" fillId="10" borderId="16" xfId="0" applyNumberFormat="1" applyFont="1" applyFill="1" applyBorder="1" applyAlignment="1">
      <alignment horizontal="left" vertical="top" wrapText="1"/>
    </xf>
    <xf numFmtId="0" fontId="6" fillId="10" borderId="17" xfId="0" applyNumberFormat="1" applyFont="1" applyFill="1" applyBorder="1" applyAlignment="1">
      <alignment horizontal="center" vertical="center" wrapText="1"/>
    </xf>
    <xf numFmtId="0" fontId="6" fillId="0" borderId="22" xfId="0" applyNumberFormat="1" applyFont="1" applyBorder="1" applyAlignment="1">
      <alignment horizontal="left" vertical="center" wrapText="1" indent="1"/>
    </xf>
    <xf numFmtId="0" fontId="6" fillId="0" borderId="16" xfId="0" applyNumberFormat="1" applyFont="1" applyBorder="1" applyAlignment="1">
      <alignment horizontal="left" vertical="center" wrapText="1" indent="1"/>
    </xf>
    <xf numFmtId="0" fontId="6" fillId="0" borderId="23" xfId="0" applyNumberFormat="1" applyFont="1" applyBorder="1" applyAlignment="1">
      <alignment horizontal="left" vertical="center" wrapText="1" indent="1"/>
    </xf>
    <xf numFmtId="0" fontId="0" fillId="0" borderId="7"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10" xfId="0" applyNumberFormat="1" applyFont="1" applyBorder="1" applyAlignment="1">
      <alignment horizontal="left" vertical="top" wrapText="1"/>
    </xf>
    <xf numFmtId="0" fontId="0" fillId="0" borderId="16" xfId="0" applyNumberFormat="1" applyFont="1" applyBorder="1" applyAlignment="1">
      <alignment horizontal="left" vertical="top"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30" xfId="0" applyNumberFormat="1" applyFont="1" applyBorder="1" applyAlignment="1">
      <alignment horizontal="center" vertical="center" wrapText="1"/>
    </xf>
    <xf numFmtId="0" fontId="0" fillId="0" borderId="23" xfId="0" applyNumberFormat="1" applyFont="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49" fontId="0" fillId="0" borderId="30"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0" fontId="6" fillId="16" borderId="12" xfId="0" applyNumberFormat="1" applyFont="1" applyFill="1" applyBorder="1" applyAlignment="1">
      <alignment horizontal="left" vertical="center" wrapText="1"/>
    </xf>
    <xf numFmtId="0" fontId="6" fillId="16" borderId="20" xfId="0" applyNumberFormat="1" applyFont="1" applyFill="1" applyBorder="1" applyAlignment="1">
      <alignment horizontal="left" vertical="center" wrapText="1"/>
    </xf>
    <xf numFmtId="0" fontId="6" fillId="0" borderId="12" xfId="0" applyNumberFormat="1" applyFont="1" applyBorder="1" applyAlignment="1">
      <alignment horizontal="left" vertical="top" wrapText="1" indent="1"/>
    </xf>
    <xf numFmtId="0" fontId="0" fillId="0" borderId="29" xfId="0" applyNumberFormat="1" applyFont="1" applyBorder="1" applyAlignment="1">
      <alignment horizontal="left" vertical="top" wrapText="1"/>
    </xf>
    <xf numFmtId="0" fontId="6" fillId="11" borderId="7" xfId="0" applyNumberFormat="1" applyFont="1" applyFill="1" applyBorder="1" applyAlignment="1">
      <alignment horizontal="left" vertical="center" wrapText="1"/>
    </xf>
    <xf numFmtId="0" fontId="6" fillId="11" borderId="8" xfId="0" applyNumberFormat="1" applyFont="1" applyFill="1" applyBorder="1" applyAlignment="1">
      <alignment horizontal="left" vertical="center" wrapText="1"/>
    </xf>
    <xf numFmtId="0" fontId="6" fillId="11" borderId="6" xfId="0" applyNumberFormat="1" applyFont="1" applyFill="1" applyBorder="1" applyAlignment="1">
      <alignment horizontal="left" vertical="center" wrapText="1"/>
    </xf>
    <xf numFmtId="0" fontId="6" fillId="16" borderId="7" xfId="0" applyNumberFormat="1" applyFont="1" applyFill="1" applyBorder="1" applyAlignment="1">
      <alignment horizontal="left" vertical="center" wrapText="1"/>
    </xf>
    <xf numFmtId="0" fontId="6" fillId="16" borderId="8" xfId="0" applyNumberFormat="1" applyFont="1" applyFill="1" applyBorder="1" applyAlignment="1">
      <alignment horizontal="left" vertical="center" wrapText="1"/>
    </xf>
    <xf numFmtId="0" fontId="6" fillId="16" borderId="6" xfId="0" applyNumberFormat="1" applyFont="1" applyFill="1" applyBorder="1" applyAlignment="1">
      <alignment horizontal="left" vertical="center" wrapText="1"/>
    </xf>
    <xf numFmtId="0" fontId="0" fillId="10" borderId="5" xfId="0" applyNumberFormat="1" applyFont="1" applyFill="1" applyBorder="1" applyAlignment="1">
      <alignment horizontal="right" vertical="center" wrapText="1" indent="1"/>
    </xf>
    <xf numFmtId="0" fontId="6" fillId="11" borderId="5" xfId="0" applyNumberFormat="1" applyFont="1" applyFill="1" applyBorder="1" applyAlignment="1">
      <alignment horizontal="left" vertical="center" wrapText="1" indent="1"/>
    </xf>
    <xf numFmtId="0" fontId="27" fillId="0" borderId="20" xfId="0" applyNumberFormat="1" applyFont="1" applyBorder="1" applyAlignment="1">
      <alignment horizontal="center" vertical="center" wrapText="1"/>
    </xf>
    <xf numFmtId="0" fontId="35" fillId="0" borderId="10" xfId="0" applyNumberFormat="1" applyFont="1" applyBorder="1" applyAlignment="1">
      <alignment horizontal="left" vertical="top" wrapText="1"/>
    </xf>
    <xf numFmtId="0" fontId="35" fillId="0" borderId="29" xfId="0" applyNumberFormat="1" applyFont="1" applyBorder="1" applyAlignment="1">
      <alignment horizontal="left" vertical="top" wrapText="1"/>
    </xf>
    <xf numFmtId="0" fontId="35" fillId="0" borderId="16" xfId="0" applyNumberFormat="1" applyFont="1" applyBorder="1" applyAlignment="1">
      <alignment horizontal="left" vertical="top" wrapText="1"/>
    </xf>
    <xf numFmtId="0" fontId="3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6" fillId="0" borderId="5" xfId="0" applyNumberFormat="1" applyFont="1" applyBorder="1" applyAlignment="1">
      <alignment horizontal="center" vertical="center"/>
    </xf>
    <xf numFmtId="0" fontId="36" fillId="0" borderId="7" xfId="0" applyNumberFormat="1" applyFont="1" applyBorder="1" applyAlignment="1">
      <alignment horizontal="center" vertical="center"/>
    </xf>
    <xf numFmtId="170" fontId="6" fillId="11" borderId="5" xfId="0" applyNumberFormat="1" applyFont="1" applyFill="1" applyBorder="1" applyAlignment="1">
      <alignment horizontal="left" vertical="center" wrapText="1" indent="1"/>
    </xf>
    <xf numFmtId="170"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170" fontId="36" fillId="0" borderId="5" xfId="0" applyNumberFormat="1" applyFont="1" applyBorder="1" applyAlignment="1">
      <alignment horizontal="center" vertical="center" wrapText="1"/>
    </xf>
    <xf numFmtId="49" fontId="36" fillId="0" borderId="5"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0" fontId="0" fillId="10" borderId="7" xfId="0" applyNumberFormat="1" applyFont="1" applyFill="1" applyBorder="1" applyAlignment="1">
      <alignment horizontal="center" vertical="center" wrapText="1"/>
    </xf>
    <xf numFmtId="0" fontId="0" fillId="10" borderId="8" xfId="0" applyNumberFormat="1" applyFont="1" applyFill="1" applyBorder="1" applyAlignment="1">
      <alignment horizontal="center" vertical="center" wrapText="1"/>
    </xf>
    <xf numFmtId="0" fontId="0" fillId="10" borderId="6"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0" fontId="6" fillId="10" borderId="29" xfId="0" applyNumberFormat="1" applyFont="1" applyFill="1" applyBorder="1" applyAlignment="1">
      <alignment horizontal="center" vertical="center" wrapText="1"/>
    </xf>
    <xf numFmtId="0" fontId="6" fillId="10" borderId="16" xfId="0" applyNumberFormat="1" applyFont="1" applyFill="1" applyBorder="1" applyAlignment="1">
      <alignment horizontal="center" vertical="center" wrapText="1"/>
    </xf>
    <xf numFmtId="49" fontId="30" fillId="13" borderId="10" xfId="0" applyNumberFormat="1" applyFont="1" applyFill="1" applyBorder="1" applyAlignment="1">
      <alignment horizontal="center" vertical="center" textRotation="90" wrapText="1"/>
    </xf>
    <xf numFmtId="49" fontId="30" fillId="13" borderId="29" xfId="0" applyNumberFormat="1" applyFont="1" applyFill="1" applyBorder="1" applyAlignment="1">
      <alignment horizontal="center" vertical="center" textRotation="90" wrapText="1"/>
    </xf>
    <xf numFmtId="49" fontId="30" fillId="13" borderId="16" xfId="0" applyNumberFormat="1" applyFont="1" applyFill="1" applyBorder="1" applyAlignment="1">
      <alignment horizontal="center" vertical="center" textRotation="90" wrapText="1"/>
    </xf>
    <xf numFmtId="0" fontId="36" fillId="0" borderId="10"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36" fillId="0" borderId="7" xfId="0" applyNumberFormat="1" applyFont="1" applyBorder="1" applyAlignment="1">
      <alignment horizontal="center" vertical="center" wrapText="1"/>
    </xf>
    <xf numFmtId="170" fontId="0" fillId="15" borderId="10" xfId="0" applyNumberFormat="1" applyFont="1" applyFill="1" applyBorder="1" applyAlignment="1" applyProtection="1">
      <alignment horizontal="center" vertical="center" wrapText="1"/>
      <protection locked="0"/>
    </xf>
    <xf numFmtId="49" fontId="0" fillId="15" borderId="16"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xf>
    <xf numFmtId="0" fontId="6" fillId="0" borderId="7" xfId="0" applyNumberFormat="1" applyFont="1" applyBorder="1" applyAlignment="1">
      <alignment horizontal="center" vertical="center"/>
    </xf>
    <xf numFmtId="0" fontId="0" fillId="10" borderId="12" xfId="0" applyNumberFormat="1" applyFont="1" applyFill="1" applyBorder="1" applyAlignment="1">
      <alignment horizontal="center" vertical="center" wrapText="1"/>
    </xf>
    <xf numFmtId="0" fontId="37" fillId="0" borderId="10" xfId="0" applyNumberFormat="1" applyFont="1" applyBorder="1" applyAlignment="1">
      <alignment horizontal="center" vertical="center" wrapText="1"/>
    </xf>
    <xf numFmtId="0" fontId="37" fillId="0" borderId="16" xfId="0" applyNumberFormat="1" applyFont="1" applyBorder="1" applyAlignment="1">
      <alignment horizontal="center" vertical="center" wrapText="1"/>
    </xf>
    <xf numFmtId="0" fontId="37" fillId="0" borderId="7" xfId="0" applyNumberFormat="1" applyFont="1" applyBorder="1" applyAlignment="1">
      <alignment horizontal="left" vertical="center" wrapText="1"/>
    </xf>
    <xf numFmtId="0" fontId="37" fillId="0" borderId="8" xfId="0" applyNumberFormat="1" applyFont="1" applyBorder="1" applyAlignment="1">
      <alignment horizontal="left" vertical="center" wrapText="1"/>
    </xf>
    <xf numFmtId="0" fontId="37" fillId="0" borderId="6" xfId="0" applyNumberFormat="1" applyFont="1" applyBorder="1" applyAlignment="1">
      <alignment horizontal="left" vertical="center" wrapText="1"/>
    </xf>
    <xf numFmtId="0" fontId="6" fillId="16" borderId="13" xfId="0" applyNumberFormat="1" applyFont="1" applyFill="1" applyBorder="1" applyAlignment="1">
      <alignment horizontal="left" vertical="center" wrapText="1"/>
    </xf>
    <xf numFmtId="0" fontId="6" fillId="0" borderId="12"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0" fillId="0" borderId="29"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10" borderId="30" xfId="0" applyNumberFormat="1" applyFont="1" applyFill="1" applyBorder="1" applyAlignment="1">
      <alignment horizontal="center" vertical="center" wrapText="1"/>
    </xf>
    <xf numFmtId="0" fontId="0" fillId="10" borderId="13" xfId="0" applyNumberFormat="1" applyFont="1" applyFill="1" applyBorder="1" applyAlignment="1">
      <alignment horizontal="center" vertical="center" wrapText="1"/>
    </xf>
    <xf numFmtId="0" fontId="0" fillId="10" borderId="15" xfId="0" applyNumberFormat="1" applyFont="1" applyFill="1" applyBorder="1" applyAlignment="1">
      <alignment horizontal="center" vertical="center" wrapText="1"/>
    </xf>
    <xf numFmtId="0" fontId="0" fillId="10" borderId="0" xfId="0" applyNumberFormat="1" applyFont="1" applyFill="1" applyAlignment="1">
      <alignment horizontal="center" vertical="center" wrapText="1"/>
    </xf>
    <xf numFmtId="0" fontId="0" fillId="10" borderId="17" xfId="0" applyNumberFormat="1" applyFont="1" applyFill="1" applyBorder="1" applyAlignment="1">
      <alignment horizontal="center" vertical="center" wrapText="1"/>
    </xf>
    <xf numFmtId="0" fontId="0" fillId="10" borderId="23" xfId="0" applyNumberFormat="1" applyFont="1" applyFill="1" applyBorder="1" applyAlignment="1">
      <alignment horizontal="center" vertical="center" wrapText="1"/>
    </xf>
    <xf numFmtId="0" fontId="0" fillId="10" borderId="20" xfId="0" applyNumberFormat="1" applyFont="1" applyFill="1" applyBorder="1" applyAlignment="1">
      <alignment horizontal="center" vertical="center" wrapText="1"/>
    </xf>
    <xf numFmtId="0" fontId="0" fillId="10" borderId="22" xfId="0" applyNumberFormat="1" applyFont="1" applyFill="1" applyBorder="1" applyAlignment="1">
      <alignment horizontal="center" vertical="center" wrapText="1"/>
    </xf>
    <xf numFmtId="0" fontId="6" fillId="10" borderId="30" xfId="0" applyNumberFormat="1" applyFont="1" applyFill="1" applyBorder="1" applyAlignment="1">
      <alignment horizontal="center" vertical="center" wrapText="1"/>
    </xf>
    <xf numFmtId="0" fontId="6" fillId="10" borderId="15" xfId="0" applyNumberFormat="1" applyFont="1" applyFill="1" applyBorder="1" applyAlignment="1">
      <alignment horizontal="center" vertical="center" wrapText="1"/>
    </xf>
    <xf numFmtId="0" fontId="6" fillId="10" borderId="23" xfId="0" applyNumberFormat="1" applyFont="1" applyFill="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6" fillId="10" borderId="10" xfId="0" applyNumberFormat="1" applyFont="1" applyFill="1" applyBorder="1" applyAlignment="1">
      <alignment horizontal="left" vertical="center" wrapText="1"/>
    </xf>
    <xf numFmtId="0" fontId="6" fillId="10" borderId="29" xfId="0" applyNumberFormat="1" applyFont="1" applyFill="1" applyBorder="1" applyAlignment="1">
      <alignment horizontal="left" vertical="center" wrapText="1"/>
    </xf>
    <xf numFmtId="0" fontId="6" fillId="10" borderId="16" xfId="0" applyNumberFormat="1" applyFont="1" applyFill="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49" fontId="6" fillId="15" borderId="29" xfId="0" applyNumberFormat="1" applyFont="1" applyFill="1" applyBorder="1" applyAlignment="1" applyProtection="1">
      <alignment horizontal="left" vertical="center" wrapText="1" indent="6"/>
      <protection locked="0"/>
    </xf>
    <xf numFmtId="49" fontId="6" fillId="15" borderId="16" xfId="0" applyNumberFormat="1" applyFont="1" applyFill="1" applyBorder="1" applyAlignment="1" applyProtection="1">
      <alignment horizontal="left" vertical="center" wrapText="1" indent="6"/>
      <protection locked="0"/>
    </xf>
    <xf numFmtId="0" fontId="37" fillId="0" borderId="17" xfId="0" applyNumberFormat="1" applyFont="1" applyBorder="1" applyAlignment="1">
      <alignment horizontal="center" vertical="top" wrapText="1"/>
    </xf>
    <xf numFmtId="49" fontId="6" fillId="0" borderId="5" xfId="0" applyNumberFormat="1" applyFont="1" applyBorder="1" applyAlignment="1">
      <alignment horizontal="left" vertical="center" wrapText="1" indent="1"/>
    </xf>
    <xf numFmtId="0" fontId="35" fillId="0" borderId="5" xfId="0" applyNumberFormat="1" applyFont="1" applyBorder="1" applyAlignment="1">
      <alignment horizontal="left" vertical="top" wrapText="1"/>
    </xf>
    <xf numFmtId="0" fontId="6" fillId="12" borderId="7" xfId="0" applyNumberFormat="1" applyFont="1" applyFill="1" applyBorder="1" applyAlignment="1" applyProtection="1">
      <alignment horizontal="left" vertical="center" wrapText="1"/>
      <protection locked="0"/>
    </xf>
    <xf numFmtId="0" fontId="6" fillId="12" borderId="8" xfId="0" applyNumberFormat="1" applyFont="1" applyFill="1" applyBorder="1" applyAlignment="1" applyProtection="1">
      <alignment horizontal="left" vertical="center" wrapText="1"/>
      <protection locked="0"/>
    </xf>
    <xf numFmtId="0" fontId="6" fillId="12" borderId="6" xfId="0" applyNumberFormat="1" applyFont="1" applyFill="1" applyBorder="1" applyAlignment="1" applyProtection="1">
      <alignment horizontal="left" vertical="center" wrapText="1"/>
      <protection locked="0"/>
    </xf>
    <xf numFmtId="49" fontId="6" fillId="12" borderId="7" xfId="0" applyNumberFormat="1" applyFont="1" applyFill="1" applyBorder="1" applyAlignment="1" applyProtection="1">
      <alignment horizontal="left" vertical="center" wrapText="1"/>
      <protection locked="0"/>
    </xf>
    <xf numFmtId="49" fontId="6" fillId="12" borderId="8" xfId="0" applyNumberFormat="1" applyFont="1" applyFill="1" applyBorder="1" applyAlignment="1" applyProtection="1">
      <alignment horizontal="left" vertical="center" wrapText="1"/>
      <protection locked="0"/>
    </xf>
    <xf numFmtId="49" fontId="6" fillId="12" borderId="6" xfId="0" applyNumberFormat="1" applyFont="1" applyFill="1" applyBorder="1" applyAlignment="1" applyProtection="1">
      <alignment horizontal="left" vertical="center" wrapText="1"/>
      <protection locked="0"/>
    </xf>
    <xf numFmtId="0" fontId="6" fillId="15" borderId="6" xfId="0" applyNumberFormat="1" applyFont="1" applyFill="1" applyBorder="1" applyAlignment="1" applyProtection="1">
      <alignment horizontal="center" vertical="center" wrapText="1"/>
      <protection locked="0"/>
    </xf>
    <xf numFmtId="4" fontId="6" fillId="15" borderId="5" xfId="0" applyNumberFormat="1" applyFont="1" applyFill="1" applyBorder="1" applyAlignment="1" applyProtection="1">
      <alignment horizontal="center" vertical="center" wrapText="1"/>
      <protection locked="0"/>
    </xf>
    <xf numFmtId="49" fontId="6" fillId="16" borderId="13" xfId="0" applyNumberFormat="1" applyFont="1" applyFill="1" applyBorder="1" applyAlignment="1">
      <alignment horizontal="center" vertical="center" wrapText="1"/>
    </xf>
    <xf numFmtId="49" fontId="6" fillId="16" borderId="22" xfId="0" applyNumberFormat="1" applyFont="1" applyFill="1" applyBorder="1" applyAlignment="1">
      <alignment horizontal="center" vertical="center" wrapText="1"/>
    </xf>
    <xf numFmtId="49" fontId="6" fillId="12" borderId="10" xfId="0" applyNumberFormat="1" applyFont="1" applyFill="1" applyBorder="1" applyAlignment="1" applyProtection="1">
      <alignment horizontal="left" vertical="center" wrapText="1" indent="6"/>
      <protection locked="0"/>
    </xf>
    <xf numFmtId="49" fontId="6" fillId="12" borderId="29" xfId="0" applyNumberFormat="1" applyFont="1" applyFill="1" applyBorder="1" applyAlignment="1" applyProtection="1">
      <alignment horizontal="left" vertical="center" wrapText="1" indent="6"/>
      <protection locked="0"/>
    </xf>
    <xf numFmtId="49" fontId="6" fillId="12" borderId="16" xfId="0" applyNumberFormat="1" applyFont="1" applyFill="1" applyBorder="1" applyAlignment="1" applyProtection="1">
      <alignment horizontal="left" vertical="center" wrapText="1" indent="6"/>
      <protection locked="0"/>
    </xf>
    <xf numFmtId="49" fontId="6" fillId="16" borderId="5" xfId="0" applyNumberFormat="1" applyFont="1" applyFill="1" applyBorder="1" applyAlignment="1" applyProtection="1">
      <alignment horizontal="left" vertical="center" wrapText="1" indent="1"/>
      <protection locked="0"/>
    </xf>
    <xf numFmtId="4" fontId="6" fillId="15" borderId="5" xfId="0" applyNumberFormat="1" applyFont="1" applyFill="1" applyBorder="1" applyAlignment="1" applyProtection="1">
      <alignment horizontal="left" vertical="center" wrapText="1" indent="1"/>
      <protection locked="0"/>
    </xf>
    <xf numFmtId="0" fontId="37" fillId="0" borderId="12" xfId="0" applyNumberFormat="1" applyFont="1" applyBorder="1" applyAlignment="1">
      <alignment horizontal="left" vertical="center" wrapText="1"/>
    </xf>
    <xf numFmtId="49" fontId="6" fillId="16" borderId="5" xfId="26" applyNumberFormat="1" applyFont="1" applyFill="1" applyBorder="1" applyAlignment="1">
      <alignment horizontal="center" vertical="center" wrapText="1"/>
    </xf>
    <xf numFmtId="0" fontId="26" fillId="0" borderId="0" xfId="0" applyNumberFormat="1" applyFont="1" applyAlignment="1">
      <alignment horizontal="center" vertical="center" wrapText="1"/>
    </xf>
    <xf numFmtId="0" fontId="6" fillId="16" borderId="6" xfId="26" applyNumberFormat="1" applyFont="1" applyFill="1" applyBorder="1" applyAlignment="1">
      <alignment horizontal="left" vertical="center" wrapText="1"/>
    </xf>
    <xf numFmtId="0" fontId="6" fillId="11" borderId="6" xfId="26" applyNumberFormat="1" applyFont="1" applyFill="1" applyBorder="1" applyAlignment="1">
      <alignment horizontal="left" vertical="center" wrapText="1"/>
    </xf>
    <xf numFmtId="0" fontId="6" fillId="12" borderId="6" xfId="26" applyNumberFormat="1" applyFont="1" applyFill="1" applyBorder="1" applyAlignment="1" applyProtection="1">
      <alignment horizontal="left" vertical="center" wrapText="1"/>
      <protection locked="0"/>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6" fillId="0" borderId="7" xfId="0" applyNumberFormat="1" applyFont="1" applyBorder="1" applyAlignment="1">
      <alignment horizontal="right" vertical="center" wrapText="1"/>
    </xf>
    <xf numFmtId="0" fontId="6" fillId="0" borderId="8" xfId="0" applyNumberFormat="1" applyFont="1" applyBorder="1" applyAlignment="1">
      <alignment horizontal="right" vertical="center" wrapText="1"/>
    </xf>
    <xf numFmtId="49" fontId="78" fillId="21" borderId="0" xfId="0" applyNumberFormat="1" applyFont="1" applyFill="1" applyAlignment="1">
      <alignment horizontal="center" vertical="center" textRotation="90" wrapText="1"/>
    </xf>
    <xf numFmtId="0" fontId="59" fillId="0" borderId="0" xfId="0" applyNumberFormat="1" applyFont="1" applyAlignment="1">
      <alignment horizontal="center" vertical="center" wrapText="1"/>
    </xf>
    <xf numFmtId="0" fontId="36" fillId="0" borderId="0" xfId="0" applyNumberFormat="1" applyFont="1" applyAlignment="1">
      <alignment horizontal="center" vertical="top"/>
    </xf>
    <xf numFmtId="0" fontId="6" fillId="0" borderId="16" xfId="0" applyNumberFormat="1" applyFont="1" applyBorder="1" applyAlignment="1">
      <alignment horizontal="left" vertical="center" wrapText="1"/>
    </xf>
    <xf numFmtId="0" fontId="0" fillId="0" borderId="7" xfId="0" applyNumberFormat="1" applyFont="1" applyBorder="1" applyAlignment="1">
      <alignment horizontal="right" vertical="center" wrapText="1" indent="1"/>
    </xf>
    <xf numFmtId="0" fontId="0" fillId="0" borderId="8"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49" fontId="37" fillId="0" borderId="10" xfId="0" applyNumberFormat="1" applyFont="1" applyBorder="1" applyAlignment="1">
      <alignment horizontal="center" vertical="center" wrapText="1"/>
    </xf>
    <xf numFmtId="49" fontId="37" fillId="0" borderId="29" xfId="0" applyNumberFormat="1" applyFont="1" applyBorder="1" applyAlignment="1">
      <alignment horizontal="center" vertical="center" wrapText="1"/>
    </xf>
    <xf numFmtId="49" fontId="37" fillId="0" borderId="16" xfId="0" applyNumberFormat="1" applyFont="1" applyBorder="1" applyAlignment="1">
      <alignment horizontal="center" vertical="center" wrapText="1"/>
    </xf>
    <xf numFmtId="0" fontId="0" fillId="11" borderId="5" xfId="0" applyNumberFormat="1" applyFont="1" applyFill="1" applyBorder="1" applyAlignment="1">
      <alignment horizontal="left" vertical="center" wrapText="1" indent="1"/>
    </xf>
    <xf numFmtId="0" fontId="35" fillId="0" borderId="0" xfId="0" applyNumberFormat="1" applyFont="1" applyAlignment="1">
      <alignment horizontal="left" vertical="top" wrapText="1"/>
    </xf>
    <xf numFmtId="0" fontId="37" fillId="0" borderId="8" xfId="0" applyNumberFormat="1" applyFont="1" applyBorder="1" applyAlignment="1">
      <alignment horizontal="right" vertical="center" wrapText="1" indent="1"/>
    </xf>
    <xf numFmtId="0" fontId="37" fillId="0" borderId="6" xfId="0" applyNumberFormat="1" applyFont="1" applyBorder="1" applyAlignment="1">
      <alignment horizontal="right" vertical="center" wrapText="1" indent="1"/>
    </xf>
    <xf numFmtId="49" fontId="6" fillId="31" borderId="0" xfId="0" applyNumberFormat="1" applyFont="1" applyFill="1" applyAlignment="1">
      <alignment horizontal="center" vertical="center" textRotation="90" wrapText="1"/>
    </xf>
    <xf numFmtId="0" fontId="6" fillId="11" borderId="7" xfId="0" applyNumberFormat="1" applyFont="1" applyFill="1" applyBorder="1" applyAlignment="1">
      <alignment horizontal="left" vertical="top" wrapText="1"/>
    </xf>
    <xf numFmtId="0" fontId="6" fillId="11" borderId="6" xfId="0" applyNumberFormat="1" applyFont="1" applyFill="1" applyBorder="1" applyAlignment="1">
      <alignment horizontal="left" vertical="top" wrapText="1"/>
    </xf>
    <xf numFmtId="0" fontId="6" fillId="11" borderId="7" xfId="0" applyNumberFormat="1" applyFont="1" applyFill="1" applyBorder="1" applyAlignment="1">
      <alignment horizontal="left" vertical="top" wrapText="1" indent="1"/>
    </xf>
    <xf numFmtId="0" fontId="6" fillId="11" borderId="6" xfId="0" applyNumberFormat="1" applyFont="1" applyFill="1" applyBorder="1" applyAlignment="1">
      <alignment horizontal="left" vertical="top" wrapText="1" indent="1"/>
    </xf>
    <xf numFmtId="49" fontId="6" fillId="0" borderId="0" xfId="0" applyNumberFormat="1" applyFont="1" applyAlignment="1">
      <alignment vertical="center" wrapText="1"/>
    </xf>
    <xf numFmtId="0" fontId="26" fillId="0" borderId="17" xfId="0" applyNumberFormat="1" applyFont="1" applyBorder="1" applyAlignment="1">
      <alignment horizontal="center" vertical="center" wrapText="1"/>
    </xf>
    <xf numFmtId="49" fontId="0" fillId="0" borderId="5" xfId="0" applyNumberFormat="1" applyFont="1" applyBorder="1" applyAlignment="1">
      <alignment horizontal="center" vertical="center" wrapText="1"/>
    </xf>
    <xf numFmtId="0" fontId="0" fillId="0" borderId="5" xfId="0" applyNumberFormat="1" applyFont="1" applyBorder="1" applyAlignment="1">
      <alignment horizontal="left" vertical="center" wrapText="1" indent="1"/>
    </xf>
    <xf numFmtId="49" fontId="6" fillId="0" borderId="5" xfId="0" applyNumberFormat="1" applyFont="1" applyBorder="1" applyAlignment="1">
      <alignment horizontal="left" vertical="center" wrapText="1"/>
    </xf>
    <xf numFmtId="49" fontId="6" fillId="0" borderId="7" xfId="0" applyNumberFormat="1" applyFont="1" applyBorder="1" applyAlignment="1">
      <alignment horizontal="center" vertical="center" wrapText="1"/>
    </xf>
    <xf numFmtId="0" fontId="6" fillId="0" borderId="0" xfId="0" applyNumberFormat="1" applyFont="1" applyAlignment="1">
      <alignment horizontal="left" vertical="center" wrapText="1"/>
    </xf>
    <xf numFmtId="0" fontId="6" fillId="10" borderId="13" xfId="0" applyNumberFormat="1" applyFont="1" applyFill="1" applyBorder="1" applyAlignment="1">
      <alignment horizontal="center" vertical="center" wrapText="1"/>
    </xf>
    <xf numFmtId="0" fontId="6" fillId="10" borderId="22" xfId="0" applyNumberFormat="1" applyFont="1" applyFill="1" applyBorder="1" applyAlignment="1">
      <alignment horizontal="center" vertical="center" wrapText="1"/>
    </xf>
    <xf numFmtId="0" fontId="6" fillId="0" borderId="54" xfId="0" applyNumberFormat="1" applyFont="1" applyBorder="1" applyAlignment="1">
      <alignment horizontal="center" vertical="center"/>
    </xf>
    <xf numFmtId="0" fontId="6" fillId="0" borderId="55" xfId="0" applyNumberFormat="1" applyFont="1" applyBorder="1" applyAlignment="1">
      <alignment horizontal="center" vertical="center"/>
    </xf>
    <xf numFmtId="0" fontId="6" fillId="0" borderId="57" xfId="0" applyNumberFormat="1" applyFont="1" applyBorder="1" applyAlignment="1">
      <alignment horizontal="center" vertical="center"/>
    </xf>
    <xf numFmtId="0" fontId="6" fillId="0" borderId="67" xfId="0" applyNumberFormat="1" applyFont="1" applyBorder="1" applyAlignment="1">
      <alignment horizontal="center" vertical="center"/>
    </xf>
    <xf numFmtId="0" fontId="6" fillId="0" borderId="36" xfId="0" applyNumberFormat="1" applyFont="1" applyBorder="1" applyAlignment="1">
      <alignment horizontal="center" vertical="center"/>
    </xf>
    <xf numFmtId="49" fontId="0" fillId="0" borderId="5" xfId="0" applyNumberFormat="1" applyFont="1" applyBorder="1" applyAlignment="1">
      <alignment vertical="center" wrapText="1"/>
    </xf>
    <xf numFmtId="49" fontId="0" fillId="0" borderId="5" xfId="0" applyNumberFormat="1" applyFont="1" applyBorder="1" applyAlignment="1">
      <alignment horizontal="left" vertical="center" wrapText="1"/>
    </xf>
    <xf numFmtId="49" fontId="0" fillId="0" borderId="10" xfId="0" applyNumberFormat="1" applyFont="1" applyBorder="1" applyAlignment="1">
      <alignment horizontal="center" vertical="center" wrapText="1"/>
    </xf>
    <xf numFmtId="49" fontId="0" fillId="0" borderId="29"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0" fontId="0" fillId="11" borderId="5" xfId="0" applyNumberFormat="1" applyFont="1" applyFill="1" applyBorder="1" applyAlignment="1">
      <alignment horizontal="center" vertical="center" wrapText="1"/>
    </xf>
    <xf numFmtId="49" fontId="0" fillId="0" borderId="5" xfId="0" applyNumberFormat="1" applyFont="1" applyBorder="1" applyAlignment="1">
      <alignment horizontal="center" vertical="center"/>
    </xf>
    <xf numFmtId="49" fontId="6" fillId="0" borderId="8"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0" fontId="6" fillId="0" borderId="13" xfId="0" applyNumberFormat="1" applyFont="1" applyBorder="1" applyAlignment="1">
      <alignment horizontal="left" vertical="top" wrapText="1"/>
    </xf>
    <xf numFmtId="0" fontId="6" fillId="10" borderId="7" xfId="0" applyNumberFormat="1" applyFont="1" applyFill="1" applyBorder="1" applyAlignment="1">
      <alignment horizontal="center" vertical="center" wrapText="1"/>
    </xf>
    <xf numFmtId="0" fontId="6" fillId="10" borderId="8" xfId="0" applyNumberFormat="1" applyFont="1" applyFill="1" applyBorder="1" applyAlignment="1">
      <alignment horizontal="center" vertical="center" wrapText="1"/>
    </xf>
    <xf numFmtId="0" fontId="6" fillId="10" borderId="6" xfId="0" applyNumberFormat="1" applyFont="1" applyFill="1" applyBorder="1" applyAlignment="1">
      <alignment horizontal="center" vertical="center" wrapText="1"/>
    </xf>
    <xf numFmtId="0" fontId="6" fillId="7" borderId="5" xfId="0" applyNumberFormat="1" applyFont="1" applyFill="1" applyBorder="1" applyAlignment="1">
      <alignment horizontal="center" vertical="center" wrapText="1"/>
    </xf>
    <xf numFmtId="0" fontId="6" fillId="7" borderId="6" xfId="0" applyNumberFormat="1" applyFont="1" applyFill="1" applyBorder="1" applyAlignment="1">
      <alignment horizontal="center" vertical="center" wrapText="1"/>
    </xf>
    <xf numFmtId="49" fontId="6" fillId="7" borderId="5" xfId="0" applyNumberFormat="1" applyFont="1" applyFill="1" applyBorder="1" applyAlignment="1">
      <alignment horizontal="center" vertical="center" wrapText="1"/>
    </xf>
    <xf numFmtId="49" fontId="36" fillId="22" borderId="7" xfId="0" applyNumberFormat="1" applyFont="1" applyFill="1" applyBorder="1" applyAlignment="1">
      <alignment horizontal="center" vertical="center" wrapText="1"/>
    </xf>
    <xf numFmtId="49" fontId="36" fillId="22" borderId="8" xfId="0" applyNumberFormat="1" applyFont="1" applyFill="1" applyBorder="1" applyAlignment="1">
      <alignment horizontal="center" vertical="center" wrapText="1"/>
    </xf>
    <xf numFmtId="49" fontId="36" fillId="22" borderId="6" xfId="0" applyNumberFormat="1" applyFont="1" applyFill="1" applyBorder="1" applyAlignment="1">
      <alignment horizontal="center" vertical="center" wrapText="1"/>
    </xf>
    <xf numFmtId="49" fontId="36" fillId="25" borderId="7" xfId="0" applyNumberFormat="1" applyFont="1" applyFill="1" applyBorder="1" applyAlignment="1">
      <alignment horizontal="center" vertical="center" wrapText="1"/>
    </xf>
    <xf numFmtId="49" fontId="36" fillId="25" borderId="8" xfId="0" applyNumberFormat="1" applyFont="1" applyFill="1" applyBorder="1" applyAlignment="1">
      <alignment horizontal="center" vertical="center" wrapText="1"/>
    </xf>
    <xf numFmtId="49" fontId="36" fillId="25" borderId="6" xfId="0" applyNumberFormat="1" applyFont="1" applyFill="1" applyBorder="1" applyAlignment="1">
      <alignment horizontal="center" vertical="center" wrapText="1"/>
    </xf>
    <xf numFmtId="49" fontId="6" fillId="26" borderId="7" xfId="0" applyNumberFormat="1" applyFont="1" applyFill="1" applyBorder="1" applyAlignment="1">
      <alignment horizontal="center" vertical="center" wrapText="1"/>
    </xf>
    <xf numFmtId="49" fontId="6" fillId="26" borderId="8" xfId="0" applyNumberFormat="1" applyFont="1" applyFill="1" applyBorder="1" applyAlignment="1">
      <alignment horizontal="center" vertical="center" wrapText="1"/>
    </xf>
    <xf numFmtId="49" fontId="6" fillId="7" borderId="12" xfId="0" applyNumberFormat="1" applyFont="1" applyFill="1" applyBorder="1" applyAlignment="1">
      <alignment horizontal="center" vertical="center" wrapText="1"/>
    </xf>
    <xf numFmtId="49" fontId="6" fillId="7" borderId="0" xfId="0" applyNumberFormat="1" applyFont="1" applyFill="1" applyAlignment="1">
      <alignment horizontal="center" vertical="center" wrapText="1"/>
    </xf>
    <xf numFmtId="49" fontId="6" fillId="7" borderId="20" xfId="0" applyNumberFormat="1" applyFont="1" applyFill="1" applyBorder="1" applyAlignment="1">
      <alignment horizontal="center" vertical="center" wrapText="1"/>
    </xf>
    <xf numFmtId="0" fontId="6" fillId="24" borderId="7" xfId="0" applyNumberFormat="1" applyFont="1" applyFill="1" applyBorder="1" applyAlignment="1">
      <alignment horizontal="center" vertical="center" wrapText="1"/>
    </xf>
    <xf numFmtId="0" fontId="6" fillId="24" borderId="8" xfId="0" applyNumberFormat="1" applyFont="1" applyFill="1" applyBorder="1" applyAlignment="1">
      <alignment horizontal="center" vertical="center" wrapText="1"/>
    </xf>
    <xf numFmtId="0" fontId="6" fillId="24" borderId="6" xfId="0" applyNumberFormat="1" applyFont="1" applyFill="1" applyBorder="1" applyAlignment="1">
      <alignment horizontal="center" vertical="center" wrapText="1"/>
    </xf>
    <xf numFmtId="0" fontId="6" fillId="7" borderId="7"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xf>
    <xf numFmtId="0" fontId="0" fillId="0" borderId="5" xfId="0" applyNumberFormat="1" applyFont="1" applyBorder="1" applyAlignment="1">
      <alignment horizontal="left" vertical="center" wrapText="1"/>
    </xf>
    <xf numFmtId="0" fontId="29" fillId="10" borderId="17" xfId="0" applyNumberFormat="1" applyFont="1" applyFill="1" applyBorder="1" applyAlignment="1">
      <alignment horizontal="center" vertical="top" wrapText="1"/>
    </xf>
    <xf numFmtId="49" fontId="0" fillId="10"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left" vertical="center" wrapText="1" indent="1"/>
    </xf>
    <xf numFmtId="0" fontId="6" fillId="0" borderId="8" xfId="0" applyNumberFormat="1" applyFont="1" applyBorder="1" applyAlignment="1">
      <alignment horizontal="left" vertical="top" wrapText="1" indent="1"/>
    </xf>
    <xf numFmtId="0" fontId="29" fillId="10" borderId="0" xfId="0" applyNumberFormat="1" applyFont="1" applyFill="1" applyAlignment="1">
      <alignment horizontal="center" vertical="top" wrapText="1"/>
    </xf>
    <xf numFmtId="49" fontId="26" fillId="10" borderId="12" xfId="0" applyNumberFormat="1" applyFont="1" applyFill="1" applyBorder="1" applyAlignment="1">
      <alignment horizontal="center" vertical="center" wrapText="1"/>
    </xf>
    <xf numFmtId="0" fontId="0" fillId="0" borderId="10" xfId="0" applyNumberFormat="1" applyFont="1" applyBorder="1" applyAlignment="1">
      <alignment horizontal="left" vertical="center" wrapText="1"/>
    </xf>
    <xf numFmtId="0" fontId="0" fillId="11"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top" wrapText="1"/>
    </xf>
    <xf numFmtId="0" fontId="0" fillId="10" borderId="29" xfId="0" applyNumberFormat="1" applyFont="1" applyFill="1" applyBorder="1" applyAlignment="1">
      <alignment horizontal="left" vertical="top" wrapText="1"/>
    </xf>
    <xf numFmtId="0" fontId="0" fillId="10" borderId="16" xfId="0" applyNumberFormat="1" applyFont="1" applyFill="1" applyBorder="1" applyAlignment="1">
      <alignment horizontal="left" vertical="top" wrapText="1"/>
    </xf>
    <xf numFmtId="4" fontId="6" fillId="0" borderId="10" xfId="0" applyNumberFormat="1" applyFont="1" applyBorder="1" applyAlignment="1">
      <alignment horizontal="center" vertical="center" wrapText="1"/>
    </xf>
    <xf numFmtId="4" fontId="6" fillId="0" borderId="16" xfId="0" applyNumberFormat="1" applyFont="1" applyBorder="1" applyAlignment="1">
      <alignment horizontal="center" vertical="center" wrapText="1"/>
    </xf>
    <xf numFmtId="4" fontId="6" fillId="0" borderId="29" xfId="0" applyNumberFormat="1" applyFont="1" applyBorder="1" applyAlignment="1">
      <alignment horizontal="center" vertical="center" wrapText="1"/>
    </xf>
    <xf numFmtId="0" fontId="6" fillId="0" borderId="22" xfId="0" applyNumberFormat="1" applyFont="1" applyBorder="1" applyAlignment="1">
      <alignment horizontal="left" vertical="top" wrapText="1"/>
    </xf>
    <xf numFmtId="168" fontId="6" fillId="0" borderId="10" xfId="0" applyNumberFormat="1" applyFont="1" applyBorder="1" applyAlignment="1">
      <alignment horizontal="center" vertical="center" wrapText="1"/>
    </xf>
    <xf numFmtId="168" fontId="6" fillId="0" borderId="16" xfId="0" applyNumberFormat="1" applyFont="1" applyBorder="1" applyAlignment="1">
      <alignment horizontal="center" vertical="center" wrapText="1"/>
    </xf>
    <xf numFmtId="168" fontId="6" fillId="0" borderId="7" xfId="0" applyNumberFormat="1" applyFont="1" applyBorder="1" applyAlignment="1">
      <alignment horizontal="center" vertical="center" wrapText="1"/>
    </xf>
    <xf numFmtId="168" fontId="6" fillId="0" borderId="8" xfId="0" applyNumberFormat="1" applyFont="1" applyBorder="1" applyAlignment="1">
      <alignment horizontal="center" vertical="center" wrapText="1"/>
    </xf>
    <xf numFmtId="168" fontId="6" fillId="0" borderId="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xf>
    <xf numFmtId="14"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49" fontId="6" fillId="16" borderId="5" xfId="0" applyNumberFormat="1" applyFont="1" applyFill="1" applyBorder="1" applyAlignment="1">
      <alignment horizontal="left" vertical="center" wrapText="1"/>
    </xf>
    <xf numFmtId="0" fontId="6" fillId="11" borderId="22" xfId="0" applyNumberFormat="1" applyFont="1" applyFill="1" applyBorder="1" applyAlignment="1">
      <alignment horizontal="left" vertical="center" wrapText="1"/>
    </xf>
    <xf numFmtId="14" fontId="6" fillId="16" borderId="16" xfId="0" applyNumberFormat="1" applyFont="1" applyFill="1" applyBorder="1" applyAlignment="1">
      <alignment horizontal="left" vertical="center" wrapText="1"/>
    </xf>
    <xf numFmtId="49" fontId="6" fillId="0" borderId="5" xfId="0" applyNumberFormat="1" applyFont="1" applyBorder="1" applyAlignment="1">
      <alignment horizontal="left" vertical="top" wrapText="1"/>
    </xf>
    <xf numFmtId="49" fontId="111" fillId="0" borderId="5" xfId="0" applyNumberFormat="1" applyFont="1" applyBorder="1" applyAlignment="1">
      <alignment horizontal="left" vertical="top" wrapText="1"/>
    </xf>
    <xf numFmtId="0" fontId="6" fillId="0" borderId="8" xfId="0" applyNumberFormat="1" applyFont="1" applyBorder="1" applyAlignment="1">
      <alignment horizontal="left" vertical="center" wrapText="1"/>
    </xf>
    <xf numFmtId="168" fontId="6" fillId="0" borderId="29" xfId="0" applyNumberFormat="1" applyFont="1" applyBorder="1" applyAlignment="1">
      <alignment horizontal="center" vertical="center" wrapText="1"/>
    </xf>
    <xf numFmtId="168" fontId="6" fillId="0" borderId="5" xfId="0" applyNumberFormat="1" applyFont="1" applyBorder="1" applyAlignment="1">
      <alignment horizontal="center" vertical="center" wrapText="1"/>
    </xf>
    <xf numFmtId="168" fontId="35" fillId="0" borderId="12" xfId="0" applyNumberFormat="1" applyFont="1" applyBorder="1" applyAlignment="1">
      <alignment horizontal="center" vertical="center" wrapText="1"/>
    </xf>
    <xf numFmtId="49" fontId="6" fillId="16" borderId="23" xfId="0" applyNumberFormat="1" applyFont="1" applyFill="1" applyBorder="1" applyAlignment="1">
      <alignment horizontal="left" vertical="center" wrapText="1"/>
    </xf>
    <xf numFmtId="49" fontId="6" fillId="16" borderId="16" xfId="0" applyNumberFormat="1" applyFont="1" applyFill="1" applyBorder="1" applyAlignment="1">
      <alignment horizontal="left" vertical="center" wrapText="1"/>
    </xf>
    <xf numFmtId="49" fontId="6" fillId="0" borderId="0" xfId="0" applyNumberFormat="1" applyFont="1" applyAlignment="1">
      <alignment horizontal="left" vertical="top" wrapText="1"/>
    </xf>
    <xf numFmtId="0" fontId="6" fillId="0" borderId="6" xfId="0" applyNumberFormat="1" applyFont="1" applyBorder="1" applyAlignment="1">
      <alignment horizontal="left" vertical="center" wrapText="1" indent="1"/>
    </xf>
    <xf numFmtId="0" fontId="6" fillId="0" borderId="7" xfId="0" applyNumberFormat="1" applyFont="1" applyBorder="1" applyAlignment="1">
      <alignment horizontal="left" vertical="center" wrapText="1" indent="1"/>
    </xf>
    <xf numFmtId="49" fontId="0" fillId="0" borderId="8" xfId="0" applyNumberFormat="1" applyFont="1" applyBorder="1" applyAlignment="1">
      <alignment horizontal="left" vertical="center" indent="1"/>
    </xf>
    <xf numFmtId="3" fontId="6" fillId="15" borderId="5" xfId="0" applyNumberFormat="1" applyFont="1" applyFill="1" applyBorder="1" applyAlignment="1" applyProtection="1">
      <alignment horizontal="center" vertical="center" wrapText="1"/>
      <protection locked="0"/>
    </xf>
    <xf numFmtId="49" fontId="6" fillId="16" borderId="7" xfId="0" applyNumberFormat="1" applyFont="1" applyFill="1" applyBorder="1" applyAlignment="1">
      <alignment horizontal="center" vertical="center" wrapText="1"/>
    </xf>
    <xf numFmtId="49" fontId="110" fillId="0" borderId="6" xfId="0" applyNumberFormat="1" applyFont="1" applyBorder="1" applyAlignment="1">
      <alignment horizontal="center" vertical="center" wrapText="1"/>
    </xf>
    <xf numFmtId="0" fontId="35" fillId="0" borderId="5" xfId="0" applyNumberFormat="1" applyFont="1" applyBorder="1" applyAlignment="1">
      <alignment horizontal="center" vertical="center"/>
    </xf>
    <xf numFmtId="49" fontId="6" fillId="16" borderId="10" xfId="0" applyNumberFormat="1" applyFont="1" applyFill="1" applyBorder="1" applyAlignment="1">
      <alignment horizontal="left" vertical="center" wrapText="1" indent="1"/>
    </xf>
    <xf numFmtId="49" fontId="6" fillId="16" borderId="29" xfId="0" applyNumberFormat="1" applyFont="1" applyFill="1" applyBorder="1" applyAlignment="1">
      <alignment horizontal="left" vertical="center" wrapText="1" indent="1"/>
    </xf>
    <xf numFmtId="49" fontId="6" fillId="16" borderId="16" xfId="0" applyNumberFormat="1" applyFont="1" applyFill="1" applyBorder="1" applyAlignment="1">
      <alignment horizontal="left" vertical="center" wrapText="1" indent="1"/>
    </xf>
    <xf numFmtId="49" fontId="6" fillId="11" borderId="5" xfId="0" applyNumberFormat="1" applyFont="1" applyFill="1" applyBorder="1" applyAlignment="1">
      <alignment horizontal="left" vertical="center" wrapText="1"/>
    </xf>
    <xf numFmtId="49" fontId="6" fillId="16" borderId="6"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protection locked="0"/>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30" fillId="13" borderId="12" xfId="0" applyNumberFormat="1" applyFont="1" applyFill="1" applyBorder="1" applyAlignment="1">
      <alignment horizontal="left" vertical="center"/>
    </xf>
    <xf numFmtId="0" fontId="30" fillId="13" borderId="13" xfId="0" applyNumberFormat="1" applyFont="1" applyFill="1" applyBorder="1" applyAlignment="1">
      <alignment horizontal="left" vertical="center"/>
    </xf>
    <xf numFmtId="49" fontId="6" fillId="15" borderId="10" xfId="0" applyNumberFormat="1" applyFont="1" applyFill="1" applyBorder="1" applyAlignment="1" applyProtection="1">
      <alignment horizontal="left" vertical="center" wrapText="1"/>
      <protection locked="0"/>
    </xf>
    <xf numFmtId="49" fontId="6" fillId="0" borderId="29" xfId="0" applyNumberFormat="1" applyFont="1" applyBorder="1" applyAlignment="1">
      <alignment horizontal="center" vertical="center"/>
    </xf>
    <xf numFmtId="0" fontId="6" fillId="16" borderId="10" xfId="0" applyNumberFormat="1" applyFont="1" applyFill="1" applyBorder="1" applyAlignment="1">
      <alignment horizontal="left" vertical="center" wrapText="1"/>
    </xf>
    <xf numFmtId="0" fontId="6" fillId="16" borderId="29" xfId="0" applyNumberFormat="1" applyFont="1" applyFill="1" applyBorder="1" applyAlignment="1">
      <alignment horizontal="left" vertical="center" wrapText="1"/>
    </xf>
    <xf numFmtId="49" fontId="6" fillId="16" borderId="10" xfId="0" applyNumberFormat="1" applyFont="1" applyFill="1" applyBorder="1" applyAlignment="1">
      <alignment horizontal="left" vertical="center" wrapText="1"/>
    </xf>
    <xf numFmtId="0" fontId="6" fillId="0" borderId="17" xfId="0" applyNumberFormat="1" applyFont="1" applyBorder="1" applyAlignment="1">
      <alignment horizontal="center" vertical="center"/>
    </xf>
    <xf numFmtId="49" fontId="6" fillId="12" borderId="10" xfId="0" applyNumberFormat="1" applyFont="1" applyFill="1" applyBorder="1" applyAlignment="1" applyProtection="1">
      <alignment horizontal="left" vertical="center" wrapText="1"/>
      <protection locked="0"/>
    </xf>
    <xf numFmtId="49" fontId="30" fillId="13" borderId="44" xfId="0" applyNumberFormat="1" applyFont="1" applyFill="1" applyBorder="1" applyAlignment="1">
      <alignment horizontal="left" vertical="center" indent="1"/>
    </xf>
    <xf numFmtId="49" fontId="6" fillId="11" borderId="5" xfId="0" applyNumberFormat="1" applyFont="1" applyFill="1" applyBorder="1" applyAlignment="1">
      <alignment horizontal="center" vertical="center" wrapText="1"/>
    </xf>
    <xf numFmtId="49" fontId="6" fillId="11" borderId="68" xfId="0" applyNumberFormat="1" applyFont="1" applyFill="1" applyBorder="1" applyAlignment="1">
      <alignment horizontal="center" vertical="center" wrapText="1"/>
    </xf>
    <xf numFmtId="49" fontId="6" fillId="16" borderId="5" xfId="0" applyNumberFormat="1" applyFont="1" applyFill="1" applyBorder="1" applyAlignment="1">
      <alignment horizontal="center" vertical="top" wrapText="1"/>
    </xf>
    <xf numFmtId="49" fontId="6" fillId="16" borderId="7" xfId="0" applyNumberFormat="1" applyFont="1" applyFill="1" applyBorder="1" applyAlignment="1">
      <alignment horizontal="center" vertical="top" wrapText="1"/>
    </xf>
    <xf numFmtId="0" fontId="6" fillId="12" borderId="5" xfId="0" applyNumberFormat="1" applyFont="1" applyFill="1" applyBorder="1" applyAlignment="1" applyProtection="1">
      <alignment horizontal="left" vertical="top" wrapText="1"/>
      <protection locked="0"/>
    </xf>
    <xf numFmtId="170" fontId="0" fillId="12" borderId="5" xfId="0" applyNumberFormat="1" applyFont="1" applyFill="1" applyBorder="1" applyAlignment="1" applyProtection="1">
      <alignment horizontal="center" vertical="top" wrapText="1"/>
      <protection locked="0"/>
    </xf>
    <xf numFmtId="49" fontId="0" fillId="12" borderId="5" xfId="0" applyNumberFormat="1" applyFont="1" applyFill="1" applyBorder="1" applyAlignment="1" applyProtection="1">
      <alignment horizontal="center" vertical="top" wrapText="1"/>
      <protection locked="0"/>
    </xf>
    <xf numFmtId="49" fontId="6" fillId="15" borderId="5" xfId="0" applyNumberFormat="1" applyFont="1" applyFill="1" applyBorder="1" applyAlignment="1" applyProtection="1">
      <alignment horizontal="left" vertical="top" wrapText="1"/>
      <protection locked="0"/>
    </xf>
    <xf numFmtId="49" fontId="0" fillId="11" borderId="5" xfId="0" applyNumberFormat="1" applyFont="1" applyFill="1" applyBorder="1" applyAlignment="1">
      <alignment horizontal="center" vertical="top" wrapText="1"/>
    </xf>
    <xf numFmtId="0" fontId="6" fillId="11" borderId="5" xfId="0" applyNumberFormat="1" applyFont="1" applyFill="1" applyBorder="1" applyAlignment="1">
      <alignment horizontal="center" vertical="top" wrapText="1"/>
    </xf>
    <xf numFmtId="14" fontId="68" fillId="0" borderId="10" xfId="0" applyNumberFormat="1" applyFont="1" applyBorder="1" applyAlignment="1">
      <alignment horizontal="center" vertical="center" wrapText="1"/>
    </xf>
    <xf numFmtId="14" fontId="68" fillId="0" borderId="29" xfId="0" applyNumberFormat="1" applyFont="1" applyBorder="1" applyAlignment="1">
      <alignment horizontal="center" vertical="center" wrapText="1"/>
    </xf>
    <xf numFmtId="0" fontId="62" fillId="0" borderId="5" xfId="0" applyNumberFormat="1" applyFont="1" applyBorder="1" applyAlignment="1">
      <alignment horizontal="left" vertical="center" wrapText="1" indent="1"/>
    </xf>
    <xf numFmtId="0" fontId="62" fillId="0" borderId="5" xfId="0" applyNumberFormat="1" applyFont="1" applyBorder="1" applyAlignment="1">
      <alignment horizontal="left" vertical="top" indent="1"/>
    </xf>
    <xf numFmtId="0" fontId="26" fillId="0" borderId="5"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indent="1"/>
    </xf>
    <xf numFmtId="0" fontId="0" fillId="15" borderId="5" xfId="0" applyNumberFormat="1" applyFont="1" applyFill="1" applyBorder="1" applyAlignment="1" applyProtection="1">
      <alignment horizontal="left" vertical="center" wrapText="1"/>
      <protection locked="0"/>
    </xf>
    <xf numFmtId="49" fontId="0" fillId="15" borderId="7" xfId="0" applyNumberFormat="1" applyFont="1" applyFill="1" applyBorder="1" applyAlignment="1" applyProtection="1">
      <alignment horizontal="left" vertical="center" wrapText="1"/>
      <protection locked="0"/>
    </xf>
    <xf numFmtId="49" fontId="27" fillId="0" borderId="10" xfId="0" applyNumberFormat="1" applyFont="1" applyBorder="1" applyAlignment="1">
      <alignment horizontal="center" vertical="top" wrapText="1"/>
    </xf>
    <xf numFmtId="49" fontId="6" fillId="0" borderId="29" xfId="0" applyNumberFormat="1" applyFont="1" applyBorder="1" applyAlignment="1">
      <alignment horizontal="center" vertical="top" wrapText="1"/>
    </xf>
    <xf numFmtId="49" fontId="6" fillId="0" borderId="16" xfId="0" applyNumberFormat="1" applyFont="1" applyBorder="1" applyAlignment="1">
      <alignment horizontal="center" vertical="top" wrapText="1"/>
    </xf>
    <xf numFmtId="49" fontId="6" fillId="15" borderId="7" xfId="0" applyNumberFormat="1" applyFont="1" applyFill="1" applyBorder="1" applyAlignment="1" applyProtection="1">
      <alignment horizontal="left" vertical="center" wrapText="1" indent="1"/>
      <protection locked="0"/>
    </xf>
    <xf numFmtId="49" fontId="6" fillId="15" borderId="5" xfId="0" applyNumberFormat="1" applyFont="1" applyFill="1" applyBorder="1" applyAlignment="1" applyProtection="1">
      <alignment horizontal="left" vertical="center" wrapText="1" indent="1"/>
      <protection locked="0"/>
    </xf>
    <xf numFmtId="49" fontId="6" fillId="0" borderId="10" xfId="0" applyNumberFormat="1" applyFont="1" applyBorder="1" applyAlignment="1">
      <alignment horizontal="center" vertical="center" wrapText="1"/>
    </xf>
    <xf numFmtId="49" fontId="6" fillId="0" borderId="29"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49" fontId="6" fillId="0" borderId="5" xfId="0" applyNumberFormat="1" applyFont="1" applyBorder="1" applyAlignment="1">
      <alignment horizontal="center" vertical="top" wrapText="1"/>
    </xf>
    <xf numFmtId="0" fontId="0" fillId="11" borderId="5" xfId="0" applyNumberFormat="1" applyFont="1" applyFill="1" applyBorder="1" applyAlignment="1">
      <alignment horizontal="left" vertical="top" wrapText="1" indent="1"/>
    </xf>
    <xf numFmtId="49" fontId="6" fillId="16" borderId="10" xfId="0" applyNumberFormat="1" applyFont="1" applyFill="1" applyBorder="1" applyAlignment="1">
      <alignment horizontal="center" vertical="top" wrapText="1"/>
    </xf>
    <xf numFmtId="49" fontId="6" fillId="16" borderId="16" xfId="0" applyNumberFormat="1" applyFont="1" applyFill="1" applyBorder="1" applyAlignment="1">
      <alignment horizontal="center" vertical="top" wrapText="1"/>
    </xf>
    <xf numFmtId="170" fontId="0" fillId="15" borderId="5" xfId="0" applyNumberFormat="1" applyFont="1" applyFill="1" applyBorder="1" applyAlignment="1" applyProtection="1">
      <alignment horizontal="center" vertical="top" wrapText="1"/>
      <protection locked="0"/>
    </xf>
    <xf numFmtId="49" fontId="0" fillId="15" borderId="5" xfId="0" applyNumberFormat="1" applyFont="1" applyFill="1" applyBorder="1" applyAlignment="1" applyProtection="1">
      <alignment horizontal="center" vertical="top" wrapText="1"/>
      <protection locked="0"/>
    </xf>
    <xf numFmtId="49" fontId="6" fillId="16" borderId="5" xfId="0" applyNumberFormat="1" applyFont="1" applyFill="1" applyBorder="1" applyAlignment="1">
      <alignment horizontal="left" vertical="top" wrapText="1"/>
    </xf>
    <xf numFmtId="49" fontId="110" fillId="0" borderId="5" xfId="0" applyNumberFormat="1" applyFont="1" applyBorder="1" applyAlignment="1">
      <alignment horizontal="center"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23" xfId="0" applyNumberFormat="1" applyFont="1" applyBorder="1" applyAlignment="1">
      <alignment horizontal="center" vertical="top" wrapText="1"/>
    </xf>
    <xf numFmtId="49" fontId="82" fillId="0" borderId="7" xfId="0" applyNumberFormat="1" applyFont="1" applyBorder="1" applyAlignment="1">
      <alignment horizontal="center" vertical="top" wrapText="1"/>
    </xf>
    <xf numFmtId="49" fontId="82" fillId="0" borderId="8" xfId="0" applyNumberFormat="1" applyFont="1" applyBorder="1" applyAlignment="1">
      <alignment horizontal="center" vertical="top" wrapText="1"/>
    </xf>
    <xf numFmtId="49" fontId="82" fillId="0" borderId="6"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82" fillId="0" borderId="29" xfId="0" applyNumberFormat="1" applyFont="1" applyBorder="1" applyAlignment="1">
      <alignment horizontal="center" vertical="top" wrapText="1"/>
    </xf>
    <xf numFmtId="49" fontId="82" fillId="0" borderId="16" xfId="0" applyNumberFormat="1" applyFont="1" applyBorder="1" applyAlignment="1">
      <alignment horizontal="center" vertical="top" wrapText="1"/>
    </xf>
    <xf numFmtId="0" fontId="5" fillId="0" borderId="12" xfId="0" applyNumberFormat="1" applyFont="1" applyBorder="1" applyAlignment="1">
      <alignment horizontal="left" vertical="center" wrapText="1" indent="1"/>
    </xf>
    <xf numFmtId="0" fontId="5" fillId="0" borderId="20" xfId="0" applyNumberFormat="1" applyFont="1" applyBorder="1" applyAlignment="1">
      <alignment horizontal="left" vertical="center" wrapText="1" indent="1"/>
    </xf>
    <xf numFmtId="0" fontId="6" fillId="0" borderId="0" xfId="0" applyNumberFormat="1" applyFont="1" applyAlignment="1">
      <alignment horizontal="right" vertical="center" wrapText="1"/>
    </xf>
    <xf numFmtId="4" fontId="6" fillId="11" borderId="5" xfId="0" applyNumberFormat="1" applyFont="1" applyFill="1" applyBorder="1" applyAlignment="1">
      <alignment horizontal="left" vertical="center" wrapText="1"/>
    </xf>
    <xf numFmtId="0" fontId="6" fillId="16" borderId="5" xfId="0" applyNumberFormat="1" applyFont="1" applyFill="1" applyBorder="1" applyAlignment="1" applyProtection="1">
      <alignment horizontal="left" vertical="center" wrapText="1"/>
      <protection locked="0"/>
    </xf>
    <xf numFmtId="0" fontId="6" fillId="16" borderId="7" xfId="0" applyNumberFormat="1" applyFont="1" applyFill="1" applyBorder="1" applyAlignment="1" applyProtection="1">
      <alignment horizontal="left" vertical="center" wrapText="1"/>
      <protection locked="0"/>
    </xf>
    <xf numFmtId="0" fontId="6" fillId="16" borderId="8" xfId="0" applyNumberFormat="1" applyFont="1" applyFill="1" applyBorder="1" applyAlignment="1" applyProtection="1">
      <alignment horizontal="left" vertical="center" wrapText="1"/>
      <protection locked="0"/>
    </xf>
    <xf numFmtId="0" fontId="6" fillId="16" borderId="6" xfId="0" applyNumberFormat="1" applyFont="1" applyFill="1" applyBorder="1" applyAlignment="1" applyProtection="1">
      <alignment horizontal="left" vertical="center" wrapText="1"/>
      <protection locked="0"/>
    </xf>
    <xf numFmtId="49" fontId="0" fillId="0" borderId="5" xfId="0" applyNumberFormat="1" applyFont="1" applyBorder="1" applyAlignment="1">
      <alignment horizontal="center" vertical="top"/>
    </xf>
    <xf numFmtId="49" fontId="0" fillId="0" borderId="7" xfId="0" applyNumberFormat="1" applyFont="1" applyBorder="1" applyAlignment="1">
      <alignment horizontal="center" vertical="top"/>
    </xf>
  </cellXfs>
  <cellStyles count="63">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ells 2" xfId="5"/>
    <cellStyle name="currency1" xfId="6"/>
    <cellStyle name="Currency2" xfId="7"/>
    <cellStyle name="currency3" xfId="8"/>
    <cellStyle name="currency4" xfId="9"/>
    <cellStyle name="Followed Hyperlink" xfId="10"/>
    <cellStyle name="Header 3" xfId="11"/>
    <cellStyle name="normal" xfId="1"/>
    <cellStyle name="Normal1" xfId="12"/>
    <cellStyle name="Normal2" xfId="7"/>
    <cellStyle name="Percent1" xfId="7"/>
    <cellStyle name="Title 4" xfId="13"/>
    <cellStyle name="Ввод  2" xfId="14"/>
    <cellStyle name="Гиперссылка 2" xfId="15"/>
    <cellStyle name="Гиперссылка 2 2" xfId="16"/>
    <cellStyle name="Гиперссылка 3" xfId="17"/>
    <cellStyle name="Гиперссылка 4" xfId="18"/>
    <cellStyle name="Гиперссылка 5" xfId="19"/>
    <cellStyle name="Заголовок" xfId="20"/>
    <cellStyle name="ЗаголовокСтолбца" xfId="21"/>
    <cellStyle name="Значение" xfId="22"/>
    <cellStyle name="Обычный" xfId="0" builtinId="0"/>
    <cellStyle name="Обычный 10" xfId="23"/>
    <cellStyle name="Обычный 12" xfId="24"/>
    <cellStyle name="Обычный 12 2" xfId="25"/>
    <cellStyle name="Обычный 14" xfId="24"/>
    <cellStyle name="Обычный 14 2" xfId="24"/>
    <cellStyle name="Обычный 14 3" xfId="24"/>
    <cellStyle name="Обычный 14 4" xfId="24"/>
    <cellStyle name="Обычный 15" xfId="24"/>
    <cellStyle name="Обычный 2" xfId="26"/>
    <cellStyle name="Обычный 2 10 2" xfId="27"/>
    <cellStyle name="Обычный 2 2" xfId="28"/>
    <cellStyle name="Обычный 2 3" xfId="25"/>
    <cellStyle name="Обычный 2 4" xfId="29"/>
    <cellStyle name="Обычный 2 5" xfId="27"/>
    <cellStyle name="Обычный 20" xfId="30"/>
    <cellStyle name="Обычный 21" xfId="30"/>
    <cellStyle name="Обычный 22" xfId="30"/>
    <cellStyle name="Обычный 23" xfId="30"/>
    <cellStyle name="Обычный 3" xfId="23"/>
    <cellStyle name="Обычный 3 2" xfId="29"/>
    <cellStyle name="Обычный 3 3" xfId="31"/>
    <cellStyle name="Обычный 3 4" xfId="27"/>
    <cellStyle name="Обычный 4" xfId="32"/>
    <cellStyle name="Обычный 5" xfId="29"/>
    <cellStyle name="Обычный 6" xfId="29"/>
    <cellStyle name="Обычный 7"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s://ktc.mosreg.ru/dokumenty/normotvorchestvo/rasporyazheniya/gosudarstvennoe-regulirovanie-tarifov-na-teplovuyu-energiyu-raspor/29-12-2023-16-47-50-rasporyazhenie-komiteta-po-tsenam-i-tarifam-moskov"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4776" customWidth="1"/>
    <col min="2" max="2" width="9.140625" style="4776" customWidth="1"/>
    <col min="3" max="3" width="16.42578125" style="4776" customWidth="1"/>
    <col min="4" max="25" width="6.28515625" style="4776" customWidth="1"/>
    <col min="26" max="28" width="11" style="4776"/>
  </cols>
  <sheetData>
    <row r="1" spans="1:28" ht="15.75" customHeight="1">
      <c r="A1" s="1564"/>
      <c r="B1" s="1565"/>
      <c r="C1" s="1565"/>
      <c r="D1" s="1565"/>
      <c r="E1" s="1565"/>
      <c r="F1" s="1565"/>
      <c r="G1" s="1565"/>
      <c r="H1" s="1565"/>
      <c r="I1" s="1565"/>
      <c r="J1" s="1565"/>
      <c r="K1" s="1565"/>
      <c r="L1" s="1565"/>
      <c r="M1" s="1565"/>
      <c r="N1" s="1565"/>
      <c r="O1" s="1565"/>
      <c r="P1" s="1565"/>
      <c r="Q1" s="1565"/>
      <c r="R1" s="1565"/>
      <c r="S1" s="1565"/>
      <c r="T1" s="1565"/>
      <c r="U1" s="1565"/>
      <c r="V1" s="1565"/>
      <c r="W1" s="1565"/>
      <c r="X1" s="1565"/>
      <c r="Y1" s="1566"/>
      <c r="Z1" s="1565"/>
      <c r="AA1" s="1567" t="s">
        <v>0</v>
      </c>
      <c r="AB1" s="1565"/>
    </row>
    <row r="2" spans="1:28" ht="17.25" customHeight="1">
      <c r="A2" s="1565"/>
      <c r="B2" s="5196" t="s">
        <v>1</v>
      </c>
      <c r="C2" s="5196"/>
      <c r="D2" s="5196"/>
      <c r="E2" s="5196"/>
      <c r="F2" s="5196"/>
      <c r="G2" s="5196"/>
      <c r="H2" s="5196"/>
      <c r="I2" s="5196"/>
      <c r="J2" s="5196"/>
      <c r="K2" s="5196"/>
      <c r="L2" s="5196"/>
      <c r="M2" s="5196"/>
      <c r="N2" s="5196"/>
      <c r="O2" s="5196"/>
      <c r="P2" s="5196"/>
      <c r="Q2" s="1568"/>
      <c r="R2" s="1568"/>
      <c r="S2" s="1568"/>
      <c r="T2" s="1568"/>
      <c r="U2" s="1568"/>
      <c r="V2" s="1569"/>
      <c r="W2" s="1568"/>
      <c r="X2" s="1568"/>
      <c r="Y2" s="1566"/>
      <c r="Z2" s="1565"/>
      <c r="AA2" s="1567"/>
      <c r="AB2" s="1565"/>
    </row>
    <row r="3" spans="1:28" ht="15.75" customHeight="1">
      <c r="A3" s="1565"/>
      <c r="B3" s="5197" t="s">
        <v>2</v>
      </c>
      <c r="C3" s="5197"/>
      <c r="D3" s="5197"/>
      <c r="E3" s="5197"/>
      <c r="F3" s="5197"/>
      <c r="G3" s="5197"/>
      <c r="H3" s="5197"/>
      <c r="I3" s="5197"/>
      <c r="J3" s="5197"/>
      <c r="K3" s="5197"/>
      <c r="L3" s="5197"/>
      <c r="M3" s="5197"/>
      <c r="N3" s="5197"/>
      <c r="O3" s="5197"/>
      <c r="P3" s="5197"/>
      <c r="Q3" s="1569"/>
      <c r="R3" s="1569"/>
      <c r="S3" s="1568"/>
      <c r="T3" s="1568"/>
      <c r="U3" s="1568"/>
      <c r="V3" s="1569"/>
      <c r="W3" s="1569"/>
      <c r="X3" s="1569"/>
      <c r="Y3" s="1569"/>
      <c r="Z3" s="1565"/>
      <c r="AA3" s="1567"/>
      <c r="AB3" s="1565"/>
    </row>
    <row r="4" spans="1:28" ht="17.25" customHeight="1">
      <c r="A4" s="1565"/>
      <c r="B4" s="1570"/>
      <c r="C4" s="1565"/>
      <c r="D4" s="1569"/>
      <c r="E4" s="1569"/>
      <c r="F4" s="1569"/>
      <c r="G4" s="1569"/>
      <c r="H4" s="1569"/>
      <c r="I4" s="1569"/>
      <c r="J4" s="1569"/>
      <c r="K4" s="1569"/>
      <c r="L4" s="1569"/>
      <c r="M4" s="1569"/>
      <c r="N4" s="1569"/>
      <c r="O4" s="1569"/>
      <c r="P4" s="1569"/>
      <c r="Q4" s="1569"/>
      <c r="R4" s="1569"/>
      <c r="S4" s="1569"/>
      <c r="T4" s="1569"/>
      <c r="U4" s="1569"/>
      <c r="V4" s="1569"/>
      <c r="W4" s="1569"/>
      <c r="X4" s="1569"/>
      <c r="Y4" s="1569"/>
      <c r="Z4" s="1565"/>
      <c r="AA4" s="1567"/>
      <c r="AB4" s="1565"/>
    </row>
    <row r="5" spans="1:28" ht="22.5" customHeight="1">
      <c r="A5" s="1571"/>
      <c r="B5" s="5198"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5199"/>
      <c r="D5" s="5199"/>
      <c r="E5" s="5199"/>
      <c r="F5" s="5199"/>
      <c r="G5" s="5199"/>
      <c r="H5" s="5199"/>
      <c r="I5" s="5199"/>
      <c r="J5" s="5199"/>
      <c r="K5" s="5199"/>
      <c r="L5" s="5199"/>
      <c r="M5" s="5199"/>
      <c r="N5" s="5199"/>
      <c r="O5" s="5199"/>
      <c r="P5" s="5199"/>
      <c r="Q5" s="5199"/>
      <c r="R5" s="5199"/>
      <c r="S5" s="5199"/>
      <c r="T5" s="5199"/>
      <c r="U5" s="5199"/>
      <c r="V5" s="5199"/>
      <c r="W5" s="5199"/>
      <c r="X5" s="5199"/>
      <c r="Y5" s="5200"/>
      <c r="Z5" s="1571"/>
      <c r="AA5" s="1567"/>
      <c r="AB5" s="1571"/>
    </row>
    <row r="6" spans="1:28" ht="15" customHeight="1">
      <c r="A6" s="1572"/>
      <c r="B6" s="5201" t="s">
        <v>3</v>
      </c>
      <c r="C6" s="5202"/>
      <c r="D6" s="1573"/>
      <c r="E6" s="1573"/>
      <c r="F6" s="1573"/>
      <c r="G6" s="1573"/>
      <c r="H6" s="1573"/>
      <c r="I6" s="1573"/>
      <c r="J6" s="1573"/>
      <c r="K6" s="1573"/>
      <c r="L6" s="1573"/>
      <c r="M6" s="1573"/>
      <c r="N6" s="1573"/>
      <c r="O6" s="1573"/>
      <c r="P6" s="1573"/>
      <c r="Q6" s="1573"/>
      <c r="R6" s="1573"/>
      <c r="S6" s="1573"/>
      <c r="T6" s="1573"/>
      <c r="U6" s="1573"/>
      <c r="V6" s="1573"/>
      <c r="W6" s="1573"/>
      <c r="X6" s="1573"/>
      <c r="Y6" s="1574"/>
      <c r="Z6" s="1575"/>
      <c r="AA6" s="1576"/>
      <c r="AB6" s="1576"/>
    </row>
    <row r="7" spans="1:28" ht="15" customHeight="1">
      <c r="A7" s="1572"/>
      <c r="B7" s="5201"/>
      <c r="C7" s="5202"/>
      <c r="D7" s="1573"/>
      <c r="E7" s="1573"/>
      <c r="F7" s="1577"/>
      <c r="G7" s="1577"/>
      <c r="H7" s="1577"/>
      <c r="I7" s="1577"/>
      <c r="J7" s="1577"/>
      <c r="K7" s="1577"/>
      <c r="L7" s="1577"/>
      <c r="M7" s="1577"/>
      <c r="N7" s="1577"/>
      <c r="O7" s="1573"/>
      <c r="P7" s="1577"/>
      <c r="Q7" s="1577"/>
      <c r="R7" s="1577"/>
      <c r="S7" s="1577"/>
      <c r="T7" s="1577"/>
      <c r="U7" s="1577"/>
      <c r="V7" s="1577"/>
      <c r="W7" s="1577"/>
      <c r="X7" s="1577"/>
      <c r="Y7" s="1574"/>
      <c r="Z7" s="1575"/>
      <c r="AA7" s="1576"/>
      <c r="AB7" s="1576"/>
    </row>
    <row r="8" spans="1:28" ht="15" customHeight="1">
      <c r="A8" s="1572"/>
      <c r="B8" s="5201"/>
      <c r="C8" s="5202"/>
      <c r="D8" s="1578"/>
      <c r="E8" s="1579" t="s">
        <v>4</v>
      </c>
      <c r="F8" s="5204" t="s">
        <v>5</v>
      </c>
      <c r="G8" s="5205"/>
      <c r="H8" s="5205"/>
      <c r="I8" s="5205"/>
      <c r="J8" s="5205"/>
      <c r="K8" s="5205"/>
      <c r="L8" s="5205"/>
      <c r="M8" s="5205"/>
      <c r="N8" s="1578"/>
      <c r="O8" s="1580" t="s">
        <v>4</v>
      </c>
      <c r="P8" s="5206" t="s">
        <v>6</v>
      </c>
      <c r="Q8" s="5207"/>
      <c r="R8" s="5207"/>
      <c r="S8" s="5207"/>
      <c r="T8" s="5207"/>
      <c r="U8" s="5207"/>
      <c r="V8" s="5207"/>
      <c r="W8" s="5207"/>
      <c r="X8" s="5207"/>
      <c r="Y8" s="1574"/>
      <c r="Z8" s="1575"/>
      <c r="AA8" s="1576"/>
      <c r="AB8" s="1576"/>
    </row>
    <row r="9" spans="1:28" ht="15" customHeight="1">
      <c r="A9" s="1572"/>
      <c r="B9" s="5201"/>
      <c r="C9" s="5202"/>
      <c r="D9" s="1578"/>
      <c r="E9" s="1581" t="s">
        <v>4</v>
      </c>
      <c r="F9" s="5204" t="s">
        <v>7</v>
      </c>
      <c r="G9" s="5205"/>
      <c r="H9" s="5205"/>
      <c r="I9" s="5205"/>
      <c r="J9" s="5205"/>
      <c r="K9" s="5205"/>
      <c r="L9" s="5205"/>
      <c r="M9" s="5205"/>
      <c r="N9" s="1578"/>
      <c r="O9" s="1582" t="s">
        <v>4</v>
      </c>
      <c r="P9" s="5206" t="s">
        <v>8</v>
      </c>
      <c r="Q9" s="5207"/>
      <c r="R9" s="5207"/>
      <c r="S9" s="5207"/>
      <c r="T9" s="5207"/>
      <c r="U9" s="5207"/>
      <c r="V9" s="5207"/>
      <c r="W9" s="5207"/>
      <c r="X9" s="5207"/>
      <c r="Y9" s="1574"/>
      <c r="Z9" s="1575"/>
      <c r="AA9" s="1576"/>
      <c r="AB9" s="1576"/>
    </row>
    <row r="10" spans="1:28" ht="30" customHeight="1">
      <c r="A10" s="1572"/>
      <c r="B10" s="5201"/>
      <c r="C10" s="5203"/>
      <c r="D10" s="1583"/>
      <c r="E10" s="1584"/>
      <c r="F10" s="1577"/>
      <c r="G10" s="1577"/>
      <c r="H10" s="1577"/>
      <c r="I10" s="1577"/>
      <c r="J10" s="1577"/>
      <c r="K10" s="1577"/>
      <c r="L10" s="1577"/>
      <c r="M10" s="1577"/>
      <c r="N10" s="1577"/>
      <c r="O10" s="1584"/>
      <c r="P10" s="1577"/>
      <c r="Q10" s="1577"/>
      <c r="R10" s="1577"/>
      <c r="S10" s="1577"/>
      <c r="T10" s="1577"/>
      <c r="U10" s="1577"/>
      <c r="V10" s="1577"/>
      <c r="W10" s="1577"/>
      <c r="X10" s="1577"/>
      <c r="Y10" s="1574"/>
      <c r="Z10" s="1575"/>
      <c r="AA10" s="1576"/>
      <c r="AB10" s="1576"/>
    </row>
    <row r="11" spans="1:28" ht="19.5" customHeight="1">
      <c r="A11" s="1572"/>
      <c r="B11" s="5208" t="s">
        <v>9</v>
      </c>
      <c r="C11" s="5209"/>
      <c r="D11" s="1578"/>
      <c r="E11" s="1585"/>
      <c r="F11" s="1585"/>
      <c r="G11" s="1585"/>
      <c r="H11" s="1585"/>
      <c r="I11" s="1585"/>
      <c r="J11" s="1585"/>
      <c r="K11" s="1585"/>
      <c r="L11" s="1585"/>
      <c r="M11" s="1585"/>
      <c r="N11" s="1585"/>
      <c r="O11" s="1585"/>
      <c r="P11" s="1585"/>
      <c r="Q11" s="1585"/>
      <c r="R11" s="1585"/>
      <c r="S11" s="1585"/>
      <c r="T11" s="1585"/>
      <c r="U11" s="1585"/>
      <c r="V11" s="1585"/>
      <c r="W11" s="1585"/>
      <c r="X11" s="1585"/>
      <c r="Y11" s="1574"/>
      <c r="Z11" s="1575"/>
      <c r="AA11" s="1576"/>
      <c r="AB11" s="1576"/>
    </row>
    <row r="12" spans="1:28" ht="69" customHeight="1">
      <c r="A12" s="1572"/>
      <c r="B12" s="5201"/>
      <c r="C12" s="5203"/>
      <c r="D12" s="1586"/>
      <c r="E12" s="5205" t="s">
        <v>10</v>
      </c>
      <c r="F12" s="5205"/>
      <c r="G12" s="5205"/>
      <c r="H12" s="5205"/>
      <c r="I12" s="5205"/>
      <c r="J12" s="5205"/>
      <c r="K12" s="5205"/>
      <c r="L12" s="5205"/>
      <c r="M12" s="5205"/>
      <c r="N12" s="5205"/>
      <c r="O12" s="5205"/>
      <c r="P12" s="5205"/>
      <c r="Q12" s="5205"/>
      <c r="R12" s="5205"/>
      <c r="S12" s="5205"/>
      <c r="T12" s="5205"/>
      <c r="U12" s="5205"/>
      <c r="V12" s="5205"/>
      <c r="W12" s="5205"/>
      <c r="X12" s="5205"/>
      <c r="Y12" s="1574"/>
      <c r="Z12" s="1575"/>
      <c r="AA12" s="1576"/>
      <c r="AB12" s="1576"/>
    </row>
    <row r="13" spans="1:28" ht="15" customHeight="1">
      <c r="A13" s="1572"/>
      <c r="B13" s="5208" t="s">
        <v>11</v>
      </c>
      <c r="C13" s="5209"/>
      <c r="D13" s="1573"/>
      <c r="E13" s="1585"/>
      <c r="F13" s="1585"/>
      <c r="G13" s="1585"/>
      <c r="H13" s="1585"/>
      <c r="I13" s="1585"/>
      <c r="J13" s="1585"/>
      <c r="K13" s="1585"/>
      <c r="L13" s="1585"/>
      <c r="M13" s="1585"/>
      <c r="N13" s="1585"/>
      <c r="O13" s="1585"/>
      <c r="P13" s="1585"/>
      <c r="Q13" s="1585"/>
      <c r="R13" s="1585"/>
      <c r="S13" s="1585"/>
      <c r="T13" s="1585"/>
      <c r="U13" s="1585"/>
      <c r="V13" s="1585"/>
      <c r="W13" s="1585"/>
      <c r="X13" s="1585"/>
      <c r="Y13" s="1574"/>
      <c r="Z13" s="1575"/>
      <c r="AA13" s="1576"/>
      <c r="AB13" s="1576"/>
    </row>
    <row r="14" spans="1:28" ht="57" customHeight="1">
      <c r="A14" s="1572"/>
      <c r="B14" s="5201"/>
      <c r="C14" s="5202"/>
      <c r="D14" s="1578"/>
      <c r="E14" s="5212" t="s">
        <v>12</v>
      </c>
      <c r="F14" s="5212"/>
      <c r="G14" s="5212"/>
      <c r="H14" s="5212"/>
      <c r="I14" s="5212"/>
      <c r="J14" s="5212"/>
      <c r="K14" s="5212"/>
      <c r="L14" s="5212"/>
      <c r="M14" s="5212"/>
      <c r="N14" s="5212"/>
      <c r="O14" s="5212"/>
      <c r="P14" s="5212"/>
      <c r="Q14" s="5212"/>
      <c r="R14" s="5212"/>
      <c r="S14" s="5212"/>
      <c r="T14" s="5212"/>
      <c r="U14" s="5212"/>
      <c r="V14" s="5212"/>
      <c r="W14" s="5212"/>
      <c r="X14" s="5212"/>
      <c r="Y14" s="1574"/>
      <c r="Z14" s="1575"/>
      <c r="AA14" s="1576"/>
      <c r="AB14" s="1576"/>
    </row>
    <row r="15" spans="1:28" ht="16.5" customHeight="1">
      <c r="A15" s="1572"/>
      <c r="B15" s="5210"/>
      <c r="C15" s="5211"/>
      <c r="D15" s="1587"/>
      <c r="E15" s="1588"/>
      <c r="F15" s="1588"/>
      <c r="G15" s="1588"/>
      <c r="H15" s="1588"/>
      <c r="I15" s="1588"/>
      <c r="J15" s="1588"/>
      <c r="K15" s="1588"/>
      <c r="L15" s="1588"/>
      <c r="M15" s="1588"/>
      <c r="N15" s="1588"/>
      <c r="O15" s="1588"/>
      <c r="P15" s="1588"/>
      <c r="Q15" s="1588"/>
      <c r="R15" s="1588"/>
      <c r="S15" s="1588"/>
      <c r="T15" s="1588"/>
      <c r="U15" s="1588"/>
      <c r="V15" s="1588"/>
      <c r="W15" s="1588"/>
      <c r="X15" s="1588"/>
      <c r="Y15" s="1589"/>
      <c r="Z15" s="1575"/>
      <c r="AA15" s="1590"/>
      <c r="AB15" s="1576"/>
    </row>
    <row r="16" spans="1:28" ht="95.25" customHeight="1">
      <c r="A16" s="1565"/>
      <c r="B16" s="5212"/>
      <c r="C16" s="5213"/>
      <c r="D16" s="5213"/>
      <c r="E16" s="5213"/>
      <c r="F16" s="5213"/>
      <c r="G16" s="5213"/>
      <c r="H16" s="5213"/>
      <c r="I16" s="5213"/>
      <c r="J16" s="5213"/>
      <c r="K16" s="5213"/>
      <c r="L16" s="5213"/>
      <c r="M16" s="5213"/>
      <c r="N16" s="5213"/>
      <c r="O16" s="5213"/>
      <c r="P16" s="5213"/>
      <c r="Q16" s="5213"/>
      <c r="R16" s="5213"/>
      <c r="S16" s="5213"/>
      <c r="T16" s="5213"/>
      <c r="U16" s="5213"/>
      <c r="V16" s="5213"/>
      <c r="W16" s="5213"/>
      <c r="X16" s="5213"/>
      <c r="Y16" s="5213"/>
      <c r="Z16" s="1565"/>
      <c r="AA16" s="1567"/>
      <c r="AB16" s="1565"/>
    </row>
    <row r="17" spans="1:28" ht="14.25" customHeight="1">
      <c r="A17" s="1565"/>
      <c r="B17" s="1565"/>
      <c r="C17" s="1565"/>
      <c r="D17" s="1565"/>
      <c r="E17" s="1565"/>
      <c r="F17" s="1565"/>
      <c r="G17" s="1565"/>
      <c r="H17" s="1565"/>
      <c r="I17" s="1565"/>
      <c r="J17" s="1565"/>
      <c r="K17" s="1565"/>
      <c r="L17" s="1565"/>
      <c r="M17" s="1565"/>
      <c r="N17" s="1565"/>
      <c r="O17" s="1565"/>
      <c r="P17" s="1565"/>
      <c r="Q17" s="1565"/>
      <c r="R17" s="1565"/>
      <c r="S17" s="1565"/>
      <c r="T17" s="1565"/>
      <c r="U17" s="1565"/>
      <c r="V17" s="1565"/>
      <c r="W17" s="1565"/>
      <c r="X17" s="1565"/>
      <c r="Y17" s="1566"/>
      <c r="Z17" s="1565"/>
      <c r="AA17" s="1567"/>
      <c r="AB17" s="1565"/>
    </row>
    <row r="18" spans="1:28" ht="14.25" customHeight="1">
      <c r="A18" s="1565"/>
      <c r="B18" s="1565"/>
      <c r="C18" s="1565"/>
      <c r="D18" s="1565"/>
      <c r="E18" s="1565"/>
      <c r="F18" s="1565"/>
      <c r="G18" s="1565"/>
      <c r="H18" s="1565"/>
      <c r="I18" s="1565"/>
      <c r="J18" s="1565"/>
      <c r="K18" s="1565"/>
      <c r="L18" s="1565"/>
      <c r="M18" s="1565"/>
      <c r="N18" s="1565"/>
      <c r="O18" s="1565"/>
      <c r="P18" s="1565"/>
      <c r="Q18" s="1565"/>
      <c r="R18" s="1565"/>
      <c r="S18" s="1565"/>
      <c r="T18" s="1565"/>
      <c r="U18" s="1565"/>
      <c r="V18" s="1565"/>
      <c r="W18" s="1565"/>
      <c r="X18" s="1565"/>
      <c r="Y18" s="1566"/>
      <c r="Z18" s="1565"/>
      <c r="AA18" s="1567"/>
      <c r="AB18" s="1565"/>
    </row>
    <row r="19" spans="1:28" ht="14.25" customHeight="1">
      <c r="A19" s="1565"/>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6"/>
      <c r="Z19" s="1565"/>
      <c r="AA19" s="1567"/>
      <c r="AB19" s="1565"/>
    </row>
    <row r="20" spans="1:28" ht="14.25" customHeight="1">
      <c r="A20" s="1565"/>
      <c r="B20" s="1565"/>
      <c r="C20" s="1565"/>
      <c r="D20" s="1565"/>
      <c r="E20" s="1565"/>
      <c r="F20" s="1565"/>
      <c r="G20" s="1565"/>
      <c r="H20" s="1565"/>
      <c r="I20" s="1565"/>
      <c r="J20" s="1565"/>
      <c r="K20" s="1565"/>
      <c r="L20" s="1565"/>
      <c r="M20" s="1565"/>
      <c r="N20" s="1565"/>
      <c r="O20" s="1565"/>
      <c r="P20" s="1565"/>
      <c r="Q20" s="1565"/>
      <c r="R20" s="1565"/>
      <c r="S20" s="1565"/>
      <c r="T20" s="1565"/>
      <c r="U20" s="1565"/>
      <c r="V20" s="1565"/>
      <c r="W20" s="1565"/>
      <c r="X20" s="1565"/>
      <c r="Y20" s="1566"/>
      <c r="Z20" s="1565"/>
      <c r="AA20" s="1567"/>
      <c r="AB20" s="1565"/>
    </row>
    <row r="21" spans="1:28" ht="14.25" customHeight="1">
      <c r="A21" s="1565"/>
      <c r="B21" s="1565"/>
      <c r="C21" s="1565"/>
      <c r="D21" s="1565"/>
      <c r="E21" s="1565"/>
      <c r="F21" s="1565"/>
      <c r="G21" s="1565"/>
      <c r="H21" s="1565"/>
      <c r="I21" s="1565"/>
      <c r="J21" s="1565"/>
      <c r="K21" s="1565"/>
      <c r="L21" s="1565"/>
      <c r="M21" s="1565"/>
      <c r="N21" s="1565"/>
      <c r="O21" s="1565"/>
      <c r="P21" s="1565"/>
      <c r="Q21" s="1565"/>
      <c r="R21" s="1565"/>
      <c r="S21" s="1565"/>
      <c r="T21" s="1565"/>
      <c r="U21" s="1565"/>
      <c r="V21" s="1565"/>
      <c r="W21" s="1565"/>
      <c r="X21" s="1565"/>
      <c r="Y21" s="1566"/>
      <c r="Z21" s="1565"/>
      <c r="AA21" s="1567"/>
      <c r="AB21" s="1565"/>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4841" hidden="1" customWidth="1"/>
    <col min="2" max="2" width="9.140625" style="4842" hidden="1" customWidth="1"/>
    <col min="3" max="3" width="9.140625" style="4796" hidden="1" customWidth="1"/>
    <col min="4" max="4" width="3.7109375" style="4843" customWidth="1"/>
    <col min="5" max="5" width="6.28515625" style="4842" customWidth="1"/>
    <col min="6" max="6" width="1.7109375" style="4796" hidden="1" customWidth="1"/>
    <col min="7" max="8" width="30.7109375" style="4842" customWidth="1"/>
    <col min="9" max="9" width="9" style="4842" customWidth="1"/>
    <col min="10" max="10" width="12.140625" style="4842" customWidth="1"/>
    <col min="11" max="11" width="46.7109375" style="4842" customWidth="1"/>
    <col min="12" max="12" width="100.28515625" style="4842" customWidth="1"/>
    <col min="13" max="13" width="7.5703125" style="4845" customWidth="1"/>
    <col min="14" max="22" width="10.5703125" style="4842"/>
  </cols>
  <sheetData>
    <row r="1" spans="1:22" s="4846" customFormat="1" ht="5.25" hidden="1" customHeight="1">
      <c r="C1" s="419"/>
      <c r="D1" s="402"/>
      <c r="F1" s="419"/>
      <c r="G1" s="397" t="s">
        <v>80</v>
      </c>
      <c r="H1" s="397" t="s">
        <v>81</v>
      </c>
      <c r="I1" s="397" t="s">
        <v>82</v>
      </c>
      <c r="P1" s="397" t="s">
        <v>80</v>
      </c>
      <c r="Q1" s="397" t="s">
        <v>81</v>
      </c>
      <c r="R1" s="397" t="s">
        <v>82</v>
      </c>
    </row>
    <row r="2" spans="1:22" s="4846" customFormat="1" ht="5.25" hidden="1" customHeight="1">
      <c r="C2" s="419"/>
      <c r="D2" s="402"/>
      <c r="F2" s="419"/>
    </row>
    <row r="3" spans="1:22" s="4839" customFormat="1" ht="6" customHeight="1">
      <c r="A3" s="387"/>
      <c r="D3" s="394"/>
      <c r="E3" s="389"/>
      <c r="F3" s="389"/>
      <c r="G3" s="389"/>
      <c r="H3" s="389"/>
      <c r="I3" s="390"/>
      <c r="J3" s="391"/>
      <c r="K3" s="391"/>
      <c r="L3" s="391"/>
    </row>
    <row r="4" spans="1:22" ht="22.5" customHeight="1">
      <c r="D4" s="363"/>
      <c r="E4" s="5237" t="s">
        <v>466</v>
      </c>
      <c r="F4" s="5237"/>
      <c r="G4" s="5238"/>
      <c r="H4" s="5238"/>
      <c r="I4" s="5239"/>
      <c r="J4" s="399"/>
      <c r="K4" s="365"/>
      <c r="L4" s="365"/>
    </row>
    <row r="5" spans="1:22" s="4796" customFormat="1" ht="17.25" customHeight="1">
      <c r="A5" s="658"/>
      <c r="D5" s="721"/>
      <c r="E5" s="5341" t="str">
        <f>IF(org=0,"Не определено",org)</f>
        <v>ООО «Газпром теплоэнерго МО»</v>
      </c>
      <c r="F5" s="5341"/>
      <c r="G5" s="5342"/>
      <c r="H5" s="5342"/>
      <c r="I5" s="5343"/>
      <c r="J5" s="399"/>
      <c r="K5" s="365"/>
      <c r="L5" s="365"/>
      <c r="M5" s="415"/>
    </row>
    <row r="6" spans="1:22" s="4839" customFormat="1" ht="11.25" customHeight="1">
      <c r="A6" s="387"/>
      <c r="D6" s="394"/>
      <c r="E6" s="389"/>
      <c r="F6" s="389"/>
      <c r="G6" s="392"/>
      <c r="H6" s="392"/>
      <c r="I6" s="393"/>
      <c r="J6" s="393"/>
      <c r="K6" s="651"/>
      <c r="L6" s="393"/>
    </row>
    <row r="7" spans="1:22" ht="14.25" customHeight="1">
      <c r="D7" s="363"/>
      <c r="E7" s="5335" t="s">
        <v>378</v>
      </c>
      <c r="F7" s="5335"/>
      <c r="G7" s="5336"/>
      <c r="H7" s="5336"/>
      <c r="I7" s="5336"/>
      <c r="J7" s="5336"/>
      <c r="K7" s="5336"/>
      <c r="L7" s="5272" t="s">
        <v>379</v>
      </c>
    </row>
    <row r="8" spans="1:22" ht="45" customHeight="1">
      <c r="D8" s="363"/>
      <c r="E8" s="382" t="s">
        <v>85</v>
      </c>
      <c r="F8" s="722"/>
      <c r="G8" s="374" t="s">
        <v>83</v>
      </c>
      <c r="H8" s="374" t="s">
        <v>84</v>
      </c>
      <c r="I8" s="330" t="s">
        <v>82</v>
      </c>
      <c r="J8" s="330" t="s">
        <v>467</v>
      </c>
      <c r="K8" s="330" t="s">
        <v>468</v>
      </c>
      <c r="L8" s="5272"/>
    </row>
    <row r="9" spans="1:22" ht="12" hidden="1" customHeight="1">
      <c r="D9" s="395"/>
      <c r="E9" s="401"/>
      <c r="F9" s="729"/>
      <c r="G9" s="401"/>
      <c r="H9" s="401"/>
      <c r="I9" s="401"/>
      <c r="J9" s="401"/>
      <c r="K9" s="401"/>
      <c r="L9" s="401"/>
      <c r="M9" s="361"/>
    </row>
    <row r="10" spans="1:22" ht="14.25" hidden="1" customHeight="1">
      <c r="A10" s="413"/>
      <c r="B10" s="413"/>
      <c r="D10" s="414"/>
      <c r="E10" s="420">
        <v>0</v>
      </c>
      <c r="F10" s="720"/>
      <c r="G10" s="416"/>
      <c r="H10" s="416"/>
      <c r="I10" s="416"/>
      <c r="J10" s="416"/>
      <c r="K10" s="416"/>
      <c r="L10" s="5347" t="s">
        <v>469</v>
      </c>
      <c r="M10" s="415"/>
      <c r="N10" s="413"/>
      <c r="O10" s="413"/>
      <c r="P10" s="413"/>
      <c r="Q10" s="413"/>
      <c r="R10" s="413"/>
      <c r="S10" s="413"/>
      <c r="T10" s="413"/>
      <c r="U10" s="413"/>
      <c r="V10" s="413"/>
    </row>
    <row r="11" spans="1:22" ht="15" hidden="1" customHeight="1">
      <c r="A11" s="5218"/>
      <c r="B11" s="412"/>
      <c r="C11" s="412"/>
      <c r="D11" s="760"/>
      <c r="E11" s="421"/>
      <c r="F11" s="421"/>
      <c r="G11" s="421"/>
      <c r="H11" s="421"/>
      <c r="I11" s="422"/>
      <c r="J11" s="423"/>
      <c r="K11" s="614"/>
      <c r="L11" s="5361"/>
      <c r="M11" s="419"/>
      <c r="N11" s="419"/>
      <c r="O11" s="419"/>
      <c r="P11" s="424"/>
      <c r="Q11" s="424"/>
      <c r="R11" s="425"/>
      <c r="S11" s="419"/>
      <c r="T11" s="419"/>
      <c r="U11" s="419"/>
      <c r="V11" s="419"/>
    </row>
    <row r="12" spans="1:22" s="4839" customFormat="1" ht="14.25" customHeight="1">
      <c r="A12" s="5218"/>
      <c r="B12" s="412"/>
      <c r="C12" s="412"/>
      <c r="D12" s="761"/>
      <c r="E12" s="722">
        <v>1</v>
      </c>
      <c r="F12" s="759">
        <v>23</v>
      </c>
      <c r="G12" s="758"/>
      <c r="H12" s="692"/>
      <c r="I12" s="690"/>
      <c r="J12" s="428" t="s">
        <v>64</v>
      </c>
      <c r="K12" s="1046" t="s">
        <v>24</v>
      </c>
      <c r="L12" s="5361"/>
      <c r="M12" s="419"/>
      <c r="N12" s="419"/>
      <c r="O12" s="419"/>
      <c r="P12" s="424" t="s">
        <v>470</v>
      </c>
      <c r="Q12" s="424" t="s">
        <v>471</v>
      </c>
      <c r="R12" s="425" t="s">
        <v>472</v>
      </c>
      <c r="S12" s="419" t="s">
        <v>473</v>
      </c>
      <c r="T12" s="419"/>
      <c r="U12" s="419"/>
      <c r="V12" s="419"/>
    </row>
    <row r="13" spans="1:22" ht="15" customHeight="1">
      <c r="A13" s="5218"/>
      <c r="B13" s="413"/>
      <c r="D13" s="414"/>
      <c r="E13" s="321"/>
      <c r="F13" s="437"/>
      <c r="G13" s="332" t="s">
        <v>99</v>
      </c>
      <c r="H13" s="320"/>
      <c r="I13" s="320"/>
      <c r="J13" s="320"/>
      <c r="K13" s="319"/>
      <c r="L13" s="5348"/>
      <c r="M13" s="417"/>
      <c r="N13" s="413"/>
      <c r="O13" s="413"/>
      <c r="P13" s="413"/>
      <c r="Q13" s="413"/>
      <c r="R13" s="413"/>
      <c r="S13" s="413"/>
      <c r="T13" s="413"/>
      <c r="U13" s="413"/>
      <c r="V13" s="413"/>
    </row>
    <row r="14" spans="1:22" ht="11.25" customHeight="1">
      <c r="A14" s="387"/>
      <c r="B14" s="388"/>
      <c r="C14" s="388"/>
      <c r="D14" s="403"/>
      <c r="E14" s="388"/>
      <c r="F14" s="388"/>
      <c r="G14" s="388"/>
      <c r="H14" s="388"/>
      <c r="I14" s="388"/>
      <c r="J14" s="388"/>
      <c r="K14" s="388"/>
      <c r="L14" s="388"/>
      <c r="M14" s="388"/>
      <c r="N14" s="388"/>
      <c r="O14" s="388"/>
      <c r="P14" s="388"/>
      <c r="Q14" s="388"/>
      <c r="R14" s="388"/>
      <c r="S14" s="388"/>
      <c r="T14" s="388"/>
      <c r="U14" s="388"/>
      <c r="V14" s="388"/>
    </row>
    <row r="15" spans="1:22" ht="14.25" customHeight="1">
      <c r="D15" s="375"/>
      <c r="E15" s="254"/>
      <c r="F15" s="254"/>
      <c r="G15" s="5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375"/>
      <c r="I15" s="375"/>
      <c r="J15" s="375"/>
      <c r="K15" s="375"/>
      <c r="L15" s="375"/>
    </row>
    <row r="18" spans="7:7" ht="14.25" customHeight="1">
      <c r="G18" s="413"/>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2" style="4854" hidden="1" customWidth="1"/>
    <col min="10" max="10" width="9.85546875" style="4854" hidden="1" customWidth="1"/>
    <col min="11" max="11" width="11.42578125" style="4854" hidden="1" customWidth="1"/>
    <col min="12" max="12" width="19.140625" style="4857" hidden="1" customWidth="1"/>
    <col min="13" max="14" width="12.28515625" style="4858" hidden="1" customWidth="1"/>
    <col min="15" max="15" width="23.42578125" style="4858" hidden="1" customWidth="1"/>
    <col min="16" max="16" width="3.7109375" style="4859" customWidth="1"/>
    <col min="17" max="18" width="3.7109375" style="4860" customWidth="1"/>
    <col min="19" max="19" width="12.7109375" style="4861" customWidth="1"/>
    <col min="20" max="20" width="35.7109375" style="4862" customWidth="1"/>
    <col min="21" max="21" width="0.140625" style="4862" customWidth="1"/>
    <col min="22" max="22" width="24.7109375" style="4862" hidden="1" customWidth="1"/>
    <col min="23" max="23" width="0.140625" style="4862" hidden="1" customWidth="1"/>
    <col min="24" max="25" width="24.7109375" style="4862" hidden="1" customWidth="1"/>
    <col min="26" max="26" width="11.7109375" style="4862" hidden="1" customWidth="1"/>
    <col min="27" max="27" width="3.7109375" style="4862" hidden="1" customWidth="1"/>
    <col min="28" max="28" width="11.7109375" style="4862" hidden="1" customWidth="1"/>
    <col min="29" max="29" width="8.5703125" style="4862" hidden="1" customWidth="1"/>
    <col min="30" max="30" width="24.7109375" style="4862" customWidth="1"/>
    <col min="31" max="31" width="0.140625" style="4862" customWidth="1"/>
    <col min="32" max="33" width="24.7109375" style="4862" customWidth="1"/>
    <col min="34" max="34" width="11.7109375" style="4862" customWidth="1"/>
    <col min="35" max="35" width="3.7109375" style="4862" customWidth="1"/>
    <col min="36" max="36" width="11.7109375" style="4862" customWidth="1"/>
    <col min="37" max="37" width="8.5703125" style="4862" hidden="1" customWidth="1"/>
    <col min="38" max="38" width="4.7109375" style="4862" customWidth="1"/>
    <col min="39" max="39" width="115.7109375" style="4862" customWidth="1"/>
    <col min="40" max="41" width="10.5703125" style="4856"/>
    <col min="42" max="42" width="11.140625" style="4856" customWidth="1"/>
    <col min="43" max="44" width="10.5703125" style="4856"/>
  </cols>
  <sheetData>
    <row r="1" spans="1:44" ht="14.25" hidden="1" customHeight="1">
      <c r="Y1" s="245"/>
      <c r="Z1" s="245"/>
      <c r="AG1" s="245"/>
      <c r="AH1" s="245"/>
    </row>
    <row r="2" spans="1:44" ht="21" hidden="1" customHeight="1">
      <c r="A2" s="1241"/>
      <c r="B2" s="1241"/>
      <c r="C2" s="1241"/>
      <c r="D2" s="1241"/>
      <c r="E2" s="5376">
        <v>1</v>
      </c>
      <c r="F2" s="1241"/>
      <c r="G2" s="1241"/>
      <c r="H2" s="1241"/>
      <c r="I2" s="1241"/>
      <c r="J2" s="1241"/>
      <c r="K2" s="1241"/>
      <c r="L2" s="1242"/>
      <c r="M2" s="1243"/>
      <c r="N2" s="1243"/>
      <c r="O2" s="1243"/>
      <c r="P2" s="278"/>
      <c r="Q2" s="277"/>
      <c r="R2" s="272"/>
      <c r="S2" s="1189" t="e">
        <f>INDEX(PT_DIFFERENTIATION_NUM_NTAR,MATCH(A2,PT_DIFFERENTIATION_NTAR_ID,0))</f>
        <v>#N/A</v>
      </c>
      <c r="T2" s="216" t="s">
        <v>141</v>
      </c>
      <c r="U2" s="218"/>
      <c r="V2" s="5362"/>
      <c r="W2" s="5363"/>
      <c r="X2" s="5363"/>
      <c r="Y2" s="5363"/>
      <c r="Z2" s="5363"/>
      <c r="AA2" s="5363"/>
      <c r="AB2" s="5363"/>
      <c r="AC2" s="5364"/>
      <c r="AD2" s="5362" t="e">
        <f>INDEX(PT_DIFFERENTIATION_NTAR,MATCH(A2,PT_DIFFERENTIATION_NTAR_ID,0))</f>
        <v>#N/A</v>
      </c>
      <c r="AE2" s="5363"/>
      <c r="AF2" s="5363"/>
      <c r="AG2" s="5363"/>
      <c r="AH2" s="5363"/>
      <c r="AI2" s="5363"/>
      <c r="AJ2" s="5363"/>
      <c r="AK2" s="5363"/>
      <c r="AL2" s="5364"/>
      <c r="AM2" s="1141" t="s">
        <v>474</v>
      </c>
      <c r="AO2" s="408"/>
      <c r="AP2" s="408" t="str">
        <f t="shared" ref="AP2:AP15" si="0">IF(T2="","",T2)</f>
        <v>Наименование тарифа</v>
      </c>
      <c r="AQ2" s="408"/>
      <c r="AR2" s="408"/>
    </row>
    <row r="3" spans="1:44" ht="21" hidden="1" customHeight="1">
      <c r="A3" s="1241"/>
      <c r="B3" s="1241"/>
      <c r="C3" s="1241"/>
      <c r="D3" s="1241"/>
      <c r="E3" s="5377"/>
      <c r="F3" s="5376">
        <v>1</v>
      </c>
      <c r="G3" s="1241"/>
      <c r="H3" s="1241"/>
      <c r="I3" s="1241"/>
      <c r="J3" s="1241"/>
      <c r="K3" s="1241"/>
      <c r="L3" s="1242"/>
      <c r="M3" s="1243"/>
      <c r="N3" s="1243"/>
      <c r="O3" s="1243"/>
      <c r="P3" s="1185"/>
      <c r="Q3" s="269"/>
      <c r="R3" s="270"/>
      <c r="S3" s="1189" t="e">
        <f>INDEX(PT_DIFFERENTIATION_NUM_TER,MATCH(B3,PT_DIFFERENTIATION_TER_ID,0))</f>
        <v>#N/A</v>
      </c>
      <c r="T3" s="226" t="s">
        <v>475</v>
      </c>
      <c r="U3" s="218"/>
      <c r="V3" s="5362"/>
      <c r="W3" s="5363"/>
      <c r="X3" s="5363"/>
      <c r="Y3" s="5363"/>
      <c r="Z3" s="5363"/>
      <c r="AA3" s="5363"/>
      <c r="AB3" s="5363"/>
      <c r="AC3" s="5364"/>
      <c r="AD3" s="5362" t="e">
        <f>INDEX(PT_DIFFERENTIATION_TER,MATCH(B3,PT_DIFFERENTIATION_TER_ID,0))</f>
        <v>#N/A</v>
      </c>
      <c r="AE3" s="5363"/>
      <c r="AF3" s="5363"/>
      <c r="AG3" s="5363"/>
      <c r="AH3" s="5363"/>
      <c r="AI3" s="5363"/>
      <c r="AJ3" s="5363"/>
      <c r="AK3" s="5363"/>
      <c r="AL3" s="5364"/>
      <c r="AM3" s="1141" t="s">
        <v>476</v>
      </c>
      <c r="AO3" s="408"/>
      <c r="AP3" s="408" t="str">
        <f t="shared" si="0"/>
        <v>Территория действия тарифа</v>
      </c>
      <c r="AQ3" s="408"/>
      <c r="AR3" s="408"/>
    </row>
    <row r="4" spans="1:44" ht="23.25" hidden="1" customHeight="1">
      <c r="A4" s="1241"/>
      <c r="B4" s="1241"/>
      <c r="C4" s="1241"/>
      <c r="D4" s="1241"/>
      <c r="E4" s="5377"/>
      <c r="F4" s="5377"/>
      <c r="G4" s="5376">
        <v>1</v>
      </c>
      <c r="H4" s="1241"/>
      <c r="I4" s="1241"/>
      <c r="J4" s="1241"/>
      <c r="K4" s="1241"/>
      <c r="L4" s="1242"/>
      <c r="M4" s="1243"/>
      <c r="N4" s="1243"/>
      <c r="O4" s="1243"/>
      <c r="P4" s="271"/>
      <c r="Q4" s="269"/>
      <c r="R4" s="270"/>
      <c r="S4" s="1189" t="e">
        <f>INDEX(PT_DIFFERENTIATION_NUM_CS,MATCH(C4,PT_DIFFERENTIATION_CS_ID,0))</f>
        <v>#N/A</v>
      </c>
      <c r="T4" s="227" t="s">
        <v>477</v>
      </c>
      <c r="U4" s="218"/>
      <c r="V4" s="5362"/>
      <c r="W4" s="5363"/>
      <c r="X4" s="5363"/>
      <c r="Y4" s="5363"/>
      <c r="Z4" s="5363"/>
      <c r="AA4" s="5363"/>
      <c r="AB4" s="5363"/>
      <c r="AC4" s="5364"/>
      <c r="AD4" s="5362" t="e">
        <f>INDEX(PT_DIFFERENTIATION_CS,MATCH(C4,PT_DIFFERENTIATION_CS_ID,0))</f>
        <v>#N/A</v>
      </c>
      <c r="AE4" s="5363"/>
      <c r="AF4" s="5363"/>
      <c r="AG4" s="5363"/>
      <c r="AH4" s="5363"/>
      <c r="AI4" s="5363"/>
      <c r="AJ4" s="5363"/>
      <c r="AK4" s="5363"/>
      <c r="AL4" s="5364"/>
      <c r="AM4" s="1141" t="s">
        <v>478</v>
      </c>
      <c r="AO4" s="408"/>
      <c r="AP4" s="408" t="str">
        <f t="shared" si="0"/>
        <v xml:space="preserve">Наименование системы теплоснабжения </v>
      </c>
      <c r="AQ4" s="408"/>
      <c r="AR4" s="408"/>
    </row>
    <row r="5" spans="1:44" ht="21" hidden="1" customHeight="1">
      <c r="A5" s="1241"/>
      <c r="B5" s="1241"/>
      <c r="C5" s="1241"/>
      <c r="D5" s="1241"/>
      <c r="E5" s="5377"/>
      <c r="F5" s="5377"/>
      <c r="G5" s="5377"/>
      <c r="H5" s="5376">
        <v>1</v>
      </c>
      <c r="I5" s="1241"/>
      <c r="J5" s="1241"/>
      <c r="K5" s="1241"/>
      <c r="L5" s="1242"/>
      <c r="M5" s="1243"/>
      <c r="N5" s="1243"/>
      <c r="O5" s="1243"/>
      <c r="P5" s="271"/>
      <c r="Q5" s="269"/>
      <c r="R5" s="270"/>
      <c r="S5" s="1189" t="e">
        <f>INDEX(PT_DIFFERENTIATION_NUM_IST_TE,MATCH(D5,PT_DIFFERENTIATION_IST_TE_ID,0))</f>
        <v>#N/A</v>
      </c>
      <c r="T5" s="228" t="s">
        <v>479</v>
      </c>
      <c r="U5" s="218"/>
      <c r="V5" s="5362"/>
      <c r="W5" s="5363"/>
      <c r="X5" s="5363"/>
      <c r="Y5" s="5363"/>
      <c r="Z5" s="5363"/>
      <c r="AA5" s="5363"/>
      <c r="AB5" s="5363"/>
      <c r="AC5" s="5364"/>
      <c r="AD5" s="5362" t="e">
        <f>INDEX(PT_DIFFERENTIATION_IST_TE,MATCH(D5,PT_DIFFERENTIATION_IST_TE_ID,0))</f>
        <v>#N/A</v>
      </c>
      <c r="AE5" s="5363"/>
      <c r="AF5" s="5363"/>
      <c r="AG5" s="5363"/>
      <c r="AH5" s="5363"/>
      <c r="AI5" s="5363"/>
      <c r="AJ5" s="5363"/>
      <c r="AK5" s="5363"/>
      <c r="AL5" s="5364"/>
      <c r="AM5" s="1141" t="s">
        <v>480</v>
      </c>
      <c r="AO5" s="408"/>
      <c r="AP5" s="408" t="str">
        <f t="shared" si="0"/>
        <v xml:space="preserve">Источник тепловой энергии  </v>
      </c>
      <c r="AQ5" s="408"/>
      <c r="AR5" s="408"/>
    </row>
    <row r="6" spans="1:44" ht="47.25" hidden="1" customHeight="1">
      <c r="A6" s="1241"/>
      <c r="B6" s="1241"/>
      <c r="C6" s="1241"/>
      <c r="D6" s="1241"/>
      <c r="E6" s="5377"/>
      <c r="F6" s="5377"/>
      <c r="G6" s="5377"/>
      <c r="H6" s="5377"/>
      <c r="I6" s="5374" t="e">
        <f>S5&amp;".1"</f>
        <v>#N/A</v>
      </c>
      <c r="J6" s="1241"/>
      <c r="K6" s="1241"/>
      <c r="L6" s="1242" t="s">
        <v>481</v>
      </c>
      <c r="M6" s="444"/>
      <c r="P6" s="5375">
        <v>1</v>
      </c>
      <c r="Q6" s="1186"/>
      <c r="R6" s="273"/>
      <c r="S6" s="1189" t="e">
        <f>$I6</f>
        <v>#N/A</v>
      </c>
      <c r="T6" s="203" t="s">
        <v>482</v>
      </c>
      <c r="U6" s="218"/>
      <c r="V6" s="5365"/>
      <c r="W6" s="5366"/>
      <c r="X6" s="5366"/>
      <c r="Y6" s="5366"/>
      <c r="Z6" s="5366"/>
      <c r="AA6" s="5366"/>
      <c r="AB6" s="5366"/>
      <c r="AC6" s="5367"/>
      <c r="AD6" s="5365"/>
      <c r="AE6" s="5366"/>
      <c r="AF6" s="5366"/>
      <c r="AG6" s="5366"/>
      <c r="AH6" s="5366"/>
      <c r="AI6" s="5366"/>
      <c r="AJ6" s="5366"/>
      <c r="AK6" s="5366"/>
      <c r="AL6" s="5367"/>
      <c r="AM6" s="1141" t="s">
        <v>483</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41"/>
      <c r="B7" s="1241"/>
      <c r="C7" s="1241"/>
      <c r="D7" s="1241"/>
      <c r="E7" s="5377"/>
      <c r="F7" s="5377"/>
      <c r="G7" s="5377"/>
      <c r="H7" s="5377"/>
      <c r="I7" s="5397"/>
      <c r="J7" s="5374" t="e">
        <f>I6&amp;".1"</f>
        <v>#N/A</v>
      </c>
      <c r="K7" s="1241"/>
      <c r="L7" s="1242" t="s">
        <v>484</v>
      </c>
      <c r="M7" s="444"/>
      <c r="N7" s="1244"/>
      <c r="P7" s="5375"/>
      <c r="Q7" s="5375">
        <v>1</v>
      </c>
      <c r="R7" s="274"/>
      <c r="S7" s="1189" t="e">
        <f>$J7</f>
        <v>#N/A</v>
      </c>
      <c r="T7" s="204" t="s">
        <v>485</v>
      </c>
      <c r="U7" s="218"/>
      <c r="V7" s="5365"/>
      <c r="W7" s="5366"/>
      <c r="X7" s="5366"/>
      <c r="Y7" s="5366"/>
      <c r="Z7" s="5366"/>
      <c r="AA7" s="5366"/>
      <c r="AB7" s="5366"/>
      <c r="AC7" s="5367"/>
      <c r="AD7" s="5365"/>
      <c r="AE7" s="5366"/>
      <c r="AF7" s="5366"/>
      <c r="AG7" s="5366"/>
      <c r="AH7" s="5366"/>
      <c r="AI7" s="5366"/>
      <c r="AJ7" s="5366"/>
      <c r="AK7" s="5366"/>
      <c r="AL7" s="5367"/>
      <c r="AM7" s="1141" t="s">
        <v>486</v>
      </c>
      <c r="AO7" s="408"/>
      <c r="AP7" s="408" t="str">
        <f t="shared" si="0"/>
        <v>Группа потребителей</v>
      </c>
      <c r="AQ7" s="408"/>
      <c r="AR7" s="408"/>
    </row>
    <row r="8" spans="1:44" ht="21" hidden="1" customHeight="1">
      <c r="A8" s="1241"/>
      <c r="B8" s="1241"/>
      <c r="C8" s="1241"/>
      <c r="D8" s="1241"/>
      <c r="E8" s="5377"/>
      <c r="F8" s="5377"/>
      <c r="G8" s="5377"/>
      <c r="H8" s="5377"/>
      <c r="I8" s="5397"/>
      <c r="J8" s="5397"/>
      <c r="K8" s="5374" t="e">
        <f>J7&amp;".1"</f>
        <v>#N/A</v>
      </c>
      <c r="L8" s="1242" t="s">
        <v>487</v>
      </c>
      <c r="M8" s="444"/>
      <c r="N8" s="1244"/>
      <c r="O8" s="1244"/>
      <c r="P8" s="5375"/>
      <c r="Q8" s="5375"/>
      <c r="R8" s="274">
        <v>1</v>
      </c>
      <c r="S8" s="1189" t="e">
        <f>$K8</f>
        <v>#N/A</v>
      </c>
      <c r="T8" s="1226"/>
      <c r="U8" s="218"/>
      <c r="V8" s="650"/>
      <c r="W8" s="243"/>
      <c r="X8" s="650"/>
      <c r="Y8" s="1140"/>
      <c r="Z8" s="5379"/>
      <c r="AA8" s="5225" t="s">
        <v>64</v>
      </c>
      <c r="AB8" s="5379"/>
      <c r="AC8" s="5225" t="s">
        <v>64</v>
      </c>
      <c r="AD8" s="650"/>
      <c r="AE8" s="243"/>
      <c r="AF8" s="650"/>
      <c r="AG8" s="1140"/>
      <c r="AH8" s="5379"/>
      <c r="AI8" s="5225" t="s">
        <v>64</v>
      </c>
      <c r="AJ8" s="5379"/>
      <c r="AK8" s="5225" t="s">
        <v>64</v>
      </c>
      <c r="AL8" s="243"/>
      <c r="AM8" s="5371" t="s">
        <v>488</v>
      </c>
      <c r="AN8" s="419" t="e">
        <f ca="1">STRCHECKDATE(V9:AL9)</f>
        <v>#NAME?</v>
      </c>
      <c r="AO8" s="408"/>
      <c r="AP8" s="408" t="str">
        <f t="shared" si="0"/>
        <v/>
      </c>
      <c r="AQ8" s="408"/>
      <c r="AR8" s="408"/>
    </row>
    <row r="9" spans="1:44" ht="0.75" hidden="1" customHeight="1">
      <c r="A9" s="1241"/>
      <c r="B9" s="1241"/>
      <c r="C9" s="1241"/>
      <c r="D9" s="1241"/>
      <c r="E9" s="5377"/>
      <c r="F9" s="5377"/>
      <c r="G9" s="5377"/>
      <c r="H9" s="5377"/>
      <c r="I9" s="5397"/>
      <c r="J9" s="5397"/>
      <c r="K9" s="5374"/>
      <c r="L9" s="1242"/>
      <c r="M9" s="444"/>
      <c r="N9" s="1244"/>
      <c r="O9" s="1244"/>
      <c r="P9" s="5375"/>
      <c r="Q9" s="5375"/>
      <c r="R9" s="274"/>
      <c r="S9" s="1187"/>
      <c r="T9" s="218"/>
      <c r="U9" s="218"/>
      <c r="V9" s="243"/>
      <c r="W9" s="243"/>
      <c r="X9" s="243"/>
      <c r="Y9" s="246" t="str">
        <f>Z8&amp;"-"&amp;AB8</f>
        <v>-</v>
      </c>
      <c r="Z9" s="5380"/>
      <c r="AA9" s="5225"/>
      <c r="AB9" s="5380"/>
      <c r="AC9" s="5225"/>
      <c r="AD9" s="243"/>
      <c r="AE9" s="243"/>
      <c r="AF9" s="243"/>
      <c r="AG9" s="246" t="str">
        <f>AH8&amp;"-"&amp;AJ8</f>
        <v>-</v>
      </c>
      <c r="AH9" s="5380"/>
      <c r="AI9" s="5225"/>
      <c r="AJ9" s="5380"/>
      <c r="AK9" s="5225"/>
      <c r="AL9" s="243"/>
      <c r="AM9" s="5372"/>
      <c r="AO9" s="408"/>
      <c r="AP9" s="408" t="str">
        <f t="shared" si="0"/>
        <v/>
      </c>
      <c r="AQ9" s="408"/>
      <c r="AR9" s="408"/>
    </row>
    <row r="10" spans="1:44" ht="15" hidden="1" customHeight="1">
      <c r="A10" s="1241"/>
      <c r="B10" s="1241"/>
      <c r="C10" s="1241"/>
      <c r="D10" s="1241"/>
      <c r="E10" s="5377"/>
      <c r="F10" s="5377"/>
      <c r="G10" s="5377"/>
      <c r="H10" s="5377"/>
      <c r="I10" s="5397"/>
      <c r="J10" s="5374"/>
      <c r="K10" s="1241"/>
      <c r="L10" s="1242"/>
      <c r="M10" s="444"/>
      <c r="N10" s="1244"/>
      <c r="P10" s="5375"/>
      <c r="Q10" s="5375"/>
      <c r="R10" s="273"/>
      <c r="S10" s="1161"/>
      <c r="T10" s="206" t="s">
        <v>489</v>
      </c>
      <c r="U10" s="283"/>
      <c r="V10" s="283"/>
      <c r="W10" s="283"/>
      <c r="X10" s="283"/>
      <c r="Y10" s="283"/>
      <c r="Z10" s="283"/>
      <c r="AA10" s="283"/>
      <c r="AB10" s="283"/>
      <c r="AC10" s="283"/>
      <c r="AD10" s="283"/>
      <c r="AE10" s="283"/>
      <c r="AF10" s="283"/>
      <c r="AG10" s="283"/>
      <c r="AH10" s="283"/>
      <c r="AI10" s="283"/>
      <c r="AJ10" s="283"/>
      <c r="AK10" s="283"/>
      <c r="AL10" s="242"/>
      <c r="AM10" s="5373"/>
      <c r="AO10" s="408"/>
      <c r="AP10" s="408" t="str">
        <f t="shared" si="0"/>
        <v>Добавить вид теплоносителя (параметры теплоносителя)</v>
      </c>
      <c r="AQ10" s="408"/>
      <c r="AR10" s="408"/>
    </row>
    <row r="11" spans="1:44" ht="15" hidden="1" customHeight="1">
      <c r="A11" s="1241"/>
      <c r="B11" s="1241"/>
      <c r="C11" s="1241"/>
      <c r="D11" s="1241"/>
      <c r="E11" s="5377"/>
      <c r="F11" s="5377"/>
      <c r="G11" s="5377"/>
      <c r="H11" s="5377"/>
      <c r="I11" s="5374"/>
      <c r="J11" s="1241"/>
      <c r="K11" s="1241"/>
      <c r="L11" s="1242"/>
      <c r="M11" s="444"/>
      <c r="P11" s="5375"/>
      <c r="Q11" s="1186"/>
      <c r="R11" s="273"/>
      <c r="S11" s="1161"/>
      <c r="T11" s="205" t="s">
        <v>490</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1"/>
      <c r="B12" s="1241"/>
      <c r="C12" s="1241"/>
      <c r="D12" s="1241"/>
      <c r="E12" s="5377"/>
      <c r="F12" s="5377"/>
      <c r="G12" s="5377"/>
      <c r="H12" s="5376"/>
      <c r="I12" s="1241"/>
      <c r="J12" s="1241"/>
      <c r="K12" s="1241"/>
      <c r="L12" s="1242"/>
      <c r="M12" s="1243"/>
      <c r="N12" s="1243"/>
      <c r="O12" s="444"/>
      <c r="P12" s="277"/>
      <c r="Q12" s="291"/>
      <c r="R12" s="272"/>
      <c r="S12" s="1161"/>
      <c r="T12" s="281" t="s">
        <v>491</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4853" customFormat="1" ht="0.75" hidden="1" customHeight="1">
      <c r="A13" s="1194"/>
      <c r="B13" s="1194"/>
      <c r="C13" s="1194"/>
      <c r="D13" s="1194"/>
      <c r="E13" s="5377"/>
      <c r="F13" s="5377"/>
      <c r="G13" s="5376"/>
      <c r="H13" s="1194"/>
      <c r="I13" s="1194"/>
      <c r="J13" s="1194"/>
      <c r="K13" s="1194"/>
      <c r="L13" s="1218"/>
      <c r="M13" s="1195"/>
      <c r="N13" s="1195"/>
      <c r="P13" s="1196"/>
      <c r="Q13" s="1197"/>
      <c r="R13" s="1196"/>
      <c r="S13" s="1198"/>
      <c r="T13" s="1199" t="s">
        <v>492</v>
      </c>
      <c r="U13" s="1200"/>
      <c r="V13" s="1200"/>
      <c r="W13" s="1200"/>
      <c r="X13" s="1200"/>
      <c r="Y13" s="1200"/>
      <c r="Z13" s="1200"/>
      <c r="AA13" s="1200"/>
      <c r="AB13" s="1200"/>
      <c r="AC13" s="1200"/>
      <c r="AD13" s="1200"/>
      <c r="AE13" s="1200"/>
      <c r="AF13" s="1200"/>
      <c r="AG13" s="1200"/>
      <c r="AH13" s="1200"/>
      <c r="AI13" s="1200"/>
      <c r="AJ13" s="1200"/>
      <c r="AK13" s="1200"/>
      <c r="AL13" s="1200"/>
      <c r="AM13" s="1200"/>
      <c r="AO13" s="688"/>
      <c r="AP13" s="688" t="str">
        <f t="shared" si="0"/>
        <v>Добавить источник для дифференциации</v>
      </c>
      <c r="AQ13" s="688"/>
      <c r="AR13" s="688"/>
    </row>
    <row r="14" spans="1:44" s="4853" customFormat="1" ht="0.75" hidden="1" customHeight="1">
      <c r="A14" s="1194"/>
      <c r="B14" s="1194"/>
      <c r="C14" s="1194"/>
      <c r="D14" s="1194"/>
      <c r="E14" s="5377"/>
      <c r="F14" s="5376"/>
      <c r="G14" s="1194"/>
      <c r="H14" s="1194"/>
      <c r="I14" s="1194"/>
      <c r="J14" s="1194"/>
      <c r="K14" s="1194"/>
      <c r="L14" s="1218"/>
      <c r="M14" s="1201"/>
      <c r="N14" s="1201"/>
      <c r="P14" s="1196"/>
      <c r="Q14" s="1197"/>
      <c r="R14" s="1196"/>
      <c r="S14" s="1202"/>
      <c r="T14" s="1203" t="s">
        <v>271</v>
      </c>
      <c r="U14" s="1204"/>
      <c r="V14" s="1204"/>
      <c r="W14" s="1204"/>
      <c r="X14" s="1204"/>
      <c r="Y14" s="1204"/>
      <c r="Z14" s="1204"/>
      <c r="AA14" s="1204"/>
      <c r="AB14" s="1204"/>
      <c r="AC14" s="1204"/>
      <c r="AD14" s="1204"/>
      <c r="AE14" s="1204"/>
      <c r="AF14" s="1204"/>
      <c r="AG14" s="1204"/>
      <c r="AH14" s="1204"/>
      <c r="AI14" s="1204"/>
      <c r="AJ14" s="1204"/>
      <c r="AK14" s="1204"/>
      <c r="AL14" s="1204"/>
      <c r="AM14" s="1204"/>
      <c r="AO14" s="688"/>
      <c r="AP14" s="688" t="str">
        <f t="shared" si="0"/>
        <v>Добавить централизованную систему для дифференциации</v>
      </c>
      <c r="AQ14" s="688"/>
      <c r="AR14" s="688"/>
    </row>
    <row r="15" spans="1:44" s="4853" customFormat="1" ht="0.75" hidden="1" customHeight="1">
      <c r="A15" s="1194"/>
      <c r="B15" s="1194"/>
      <c r="C15" s="1194"/>
      <c r="D15" s="1194"/>
      <c r="E15" s="5376"/>
      <c r="F15" s="1194"/>
      <c r="G15" s="1194"/>
      <c r="H15" s="1194"/>
      <c r="I15" s="1194"/>
      <c r="J15" s="1194"/>
      <c r="K15" s="1194"/>
      <c r="L15" s="1218"/>
      <c r="M15" s="1201"/>
      <c r="N15" s="1201"/>
      <c r="P15" s="1196"/>
      <c r="Q15" s="1197"/>
      <c r="R15" s="1196"/>
      <c r="S15" s="1202"/>
      <c r="T15" s="1205" t="s">
        <v>330</v>
      </c>
      <c r="U15" s="1204"/>
      <c r="V15" s="1204"/>
      <c r="W15" s="1204"/>
      <c r="X15" s="1204"/>
      <c r="Y15" s="1204"/>
      <c r="Z15" s="1204"/>
      <c r="AA15" s="1204"/>
      <c r="AB15" s="1204"/>
      <c r="AC15" s="1204"/>
      <c r="AD15" s="1204"/>
      <c r="AE15" s="1204"/>
      <c r="AF15" s="1204"/>
      <c r="AG15" s="1204"/>
      <c r="AH15" s="1204"/>
      <c r="AI15" s="1204"/>
      <c r="AJ15" s="1204"/>
      <c r="AK15" s="1204"/>
      <c r="AL15" s="1204"/>
      <c r="AM15" s="1204"/>
      <c r="AO15" s="688"/>
      <c r="AP15" s="688" t="str">
        <f t="shared" si="0"/>
        <v>Добавить территорию для дифференциации</v>
      </c>
      <c r="AQ15" s="688"/>
      <c r="AR15" s="688"/>
    </row>
    <row r="16" spans="1:44" ht="14.25" hidden="1" customHeight="1">
      <c r="AC16" s="245"/>
      <c r="AK16" s="245"/>
    </row>
    <row r="17" spans="1:44" ht="14.25" hidden="1" customHeight="1">
      <c r="P17" s="1191"/>
      <c r="AD17" s="1238"/>
      <c r="AE17" s="1238"/>
      <c r="AF17" s="1238"/>
      <c r="AG17" s="1239"/>
      <c r="AH17" s="5381"/>
      <c r="AI17" s="5382" t="s">
        <v>64</v>
      </c>
      <c r="AJ17" s="5381"/>
      <c r="AK17" s="5382" t="s">
        <v>64</v>
      </c>
    </row>
    <row r="18" spans="1:44" ht="14.25" hidden="1" customHeight="1">
      <c r="P18" s="1191"/>
      <c r="AD18" s="1238"/>
      <c r="AE18" s="1238"/>
      <c r="AF18" s="1238"/>
      <c r="AG18" s="246" t="str">
        <f>AH17&amp;"-"&amp;AJ17</f>
        <v>-</v>
      </c>
      <c r="AH18" s="5382"/>
      <c r="AI18" s="5382"/>
      <c r="AJ18" s="5382"/>
      <c r="AK18" s="5382"/>
    </row>
    <row r="19" spans="1:44" ht="14.25" hidden="1" customHeight="1">
      <c r="P19" s="1191"/>
      <c r="AK19" s="245"/>
    </row>
    <row r="20" spans="1:44" s="4854" customFormat="1" ht="22.5" hidden="1" customHeight="1">
      <c r="L20" s="1208"/>
      <c r="M20" s="1240"/>
      <c r="N20" s="1240"/>
      <c r="O20" s="1245" t="s">
        <v>493</v>
      </c>
      <c r="P20" s="1240"/>
      <c r="Q20" s="1249"/>
      <c r="R20" s="1249"/>
      <c r="S20" s="630"/>
      <c r="Z20" s="1245"/>
      <c r="AB20" s="1245"/>
      <c r="AC20" s="1244"/>
      <c r="AH20" s="1245"/>
      <c r="AJ20" s="1245"/>
      <c r="AK20" s="1244"/>
      <c r="AN20" s="419"/>
      <c r="AO20" s="419"/>
      <c r="AP20" s="419"/>
      <c r="AQ20" s="419"/>
      <c r="AR20" s="419"/>
    </row>
    <row r="21" spans="1:44" s="4854" customFormat="1" ht="14.25" hidden="1" customHeight="1">
      <c r="L21" s="1208"/>
      <c r="M21" s="1240"/>
      <c r="N21" s="1240"/>
      <c r="O21" s="1240"/>
      <c r="P21" s="1240"/>
      <c r="Q21" s="1249"/>
      <c r="R21" s="1249"/>
      <c r="S21" s="630"/>
      <c r="AC21" s="1244"/>
      <c r="AK21" s="1244"/>
      <c r="AN21" s="419"/>
      <c r="AO21" s="419"/>
      <c r="AP21" s="419"/>
      <c r="AQ21" s="419"/>
      <c r="AR21" s="419"/>
    </row>
    <row r="22" spans="1:44" s="4854" customFormat="1" ht="14.25" hidden="1" customHeight="1">
      <c r="L22" s="1208"/>
      <c r="M22" s="1240"/>
      <c r="N22" s="1240"/>
      <c r="O22" s="1242" t="s">
        <v>494</v>
      </c>
      <c r="P22" s="1240"/>
      <c r="Q22" s="1249"/>
      <c r="R22" s="1249"/>
      <c r="S22" s="630"/>
      <c r="T22" s="1042" t="s">
        <v>495</v>
      </c>
      <c r="AA22" s="108" t="s">
        <v>496</v>
      </c>
      <c r="AC22" s="108" t="s">
        <v>497</v>
      </c>
      <c r="AD22" s="1042" t="s">
        <v>495</v>
      </c>
      <c r="AI22" s="108" t="s">
        <v>498</v>
      </c>
      <c r="AK22" s="108" t="s">
        <v>497</v>
      </c>
      <c r="AN22" s="419"/>
      <c r="AO22" s="419"/>
      <c r="AP22" s="419"/>
      <c r="AQ22" s="419"/>
      <c r="AR22" s="419"/>
    </row>
    <row r="23" spans="1:44" ht="14.25" hidden="1" customHeight="1">
      <c r="O23" s="1242"/>
      <c r="P23" s="1191"/>
    </row>
    <row r="24" spans="1:44" ht="14.25" hidden="1" customHeight="1">
      <c r="O24" s="1242"/>
      <c r="P24" s="1191"/>
    </row>
    <row r="25" spans="1:44" ht="14.25" customHeight="1">
      <c r="Q25" s="292"/>
      <c r="R25" s="292"/>
      <c r="S25" s="1158"/>
      <c r="T25" s="280"/>
      <c r="U25" s="280"/>
      <c r="V25" s="417"/>
      <c r="W25" s="417"/>
      <c r="X25" s="417"/>
      <c r="Y25" s="417"/>
      <c r="Z25" s="417"/>
      <c r="AA25" s="417"/>
      <c r="AB25" s="417"/>
      <c r="AC25" s="417"/>
      <c r="AD25" s="417"/>
      <c r="AE25" s="417"/>
      <c r="AF25" s="417"/>
      <c r="AG25" s="417"/>
      <c r="AH25" s="417"/>
      <c r="AI25" s="417"/>
      <c r="AJ25" s="417"/>
      <c r="AK25" s="417"/>
    </row>
    <row r="26" spans="1:44" ht="14.25" customHeight="1">
      <c r="Q26" s="292"/>
      <c r="R26" s="292"/>
      <c r="S26" s="53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60"/>
      <c r="U26" s="5360"/>
      <c r="V26" s="5360"/>
      <c r="W26" s="5360"/>
      <c r="X26" s="5360"/>
      <c r="Y26" s="5360"/>
      <c r="Z26" s="5360"/>
      <c r="AA26" s="5360"/>
      <c r="AB26" s="5360"/>
      <c r="AC26" s="5360"/>
      <c r="AD26" s="5360"/>
      <c r="AE26" s="5360"/>
      <c r="AF26" s="5360"/>
      <c r="AG26" s="5360"/>
      <c r="AH26" s="5360"/>
      <c r="AI26" s="5360"/>
      <c r="AJ26" s="5360"/>
      <c r="AK26" s="1126"/>
    </row>
    <row r="27" spans="1:44" ht="14.25" customHeight="1">
      <c r="Q27" s="292"/>
      <c r="R27" s="292"/>
      <c r="S27" s="5308" t="str">
        <f>IF(org=0,"Не определено",org)</f>
        <v>ООО «Газпром теплоэнерго МО»</v>
      </c>
      <c r="T27" s="5308"/>
      <c r="U27" s="5308"/>
      <c r="V27" s="5308"/>
      <c r="W27" s="5308"/>
      <c r="X27" s="5308"/>
      <c r="Y27" s="5308"/>
      <c r="Z27" s="5308"/>
      <c r="AA27" s="5308"/>
      <c r="AB27" s="5308"/>
      <c r="AC27" s="5308"/>
      <c r="AD27" s="5308"/>
      <c r="AE27" s="5308"/>
      <c r="AF27" s="5308"/>
      <c r="AG27" s="5308"/>
      <c r="AH27" s="5308"/>
      <c r="AI27" s="5308"/>
      <c r="AJ27" s="5308"/>
      <c r="AK27" s="1126"/>
    </row>
    <row r="28" spans="1:44" ht="14.25" customHeight="1">
      <c r="Q28" s="292"/>
      <c r="R28" s="292"/>
      <c r="S28" s="1158"/>
      <c r="T28" s="280"/>
      <c r="U28" s="280"/>
      <c r="V28" s="240"/>
      <c r="W28" s="240"/>
      <c r="X28" s="240"/>
      <c r="Y28" s="240"/>
      <c r="Z28" s="240"/>
      <c r="AA28" s="240"/>
      <c r="AB28" s="240"/>
      <c r="AC28" s="240"/>
      <c r="AD28" s="240"/>
      <c r="AE28" s="240"/>
      <c r="AF28" s="240"/>
      <c r="AG28" s="240"/>
      <c r="AH28" s="240"/>
      <c r="AI28" s="240"/>
      <c r="AJ28" s="240"/>
      <c r="AK28" s="240"/>
      <c r="AL28" s="417"/>
    </row>
    <row r="29" spans="1:44" s="4855" customFormat="1" ht="25.5" customHeight="1">
      <c r="A29" s="1246"/>
      <c r="B29" s="1246"/>
      <c r="C29" s="1246"/>
      <c r="D29" s="1246"/>
      <c r="E29" s="1246"/>
      <c r="F29" s="1246"/>
      <c r="G29" s="1246"/>
      <c r="H29" s="1246"/>
      <c r="I29" s="1246"/>
      <c r="J29" s="1246"/>
      <c r="K29" s="1246"/>
      <c r="L29" s="1247"/>
      <c r="M29" s="1246"/>
      <c r="N29" s="1246"/>
      <c r="O29" s="1246"/>
      <c r="S29" s="5368" t="s">
        <v>38</v>
      </c>
      <c r="T29" s="5368"/>
      <c r="U29" s="1250"/>
      <c r="V29" s="5369" t="str">
        <f>IF(TITLE_NAME_OR_PR_CHANGE="",IF(TITLE_NAME_OR_PR="","",TITLE_NAME_OR_PR),TITLE_NAME_OR_PR_CHANGE)</f>
        <v>Комитет по ценам и тарифам Московской области</v>
      </c>
      <c r="W29" s="5369"/>
      <c r="X29" s="5369"/>
      <c r="Y29" s="5369"/>
      <c r="Z29" s="5369"/>
      <c r="AA29" s="5369"/>
      <c r="AB29" s="5369"/>
      <c r="AC29" s="244"/>
      <c r="AD29" s="5369" t="str">
        <f>IF(TITLE_NAME_OR_PR_CHANGE="",IF(TITLE_NAME_OR_PR="","",TITLE_NAME_OR_PR),TITLE_NAME_OR_PR_CHANGE)</f>
        <v>Комитет по ценам и тарифам Московской области</v>
      </c>
      <c r="AE29" s="5369"/>
      <c r="AF29" s="5369"/>
      <c r="AG29" s="5369"/>
      <c r="AH29" s="5369"/>
      <c r="AI29" s="5369"/>
      <c r="AJ29" s="5369"/>
      <c r="AK29" s="244"/>
      <c r="AL29" s="244"/>
      <c r="AM29" s="199"/>
      <c r="AN29" s="284"/>
      <c r="AO29" s="284"/>
      <c r="AP29" s="284"/>
      <c r="AQ29" s="284"/>
      <c r="AR29" s="284"/>
    </row>
    <row r="30" spans="1:44" s="4855" customFormat="1" ht="18.75" customHeight="1">
      <c r="A30" s="1246"/>
      <c r="B30" s="1246"/>
      <c r="C30" s="1246"/>
      <c r="D30" s="1246"/>
      <c r="E30" s="1246"/>
      <c r="F30" s="1246"/>
      <c r="G30" s="1246"/>
      <c r="H30" s="1246"/>
      <c r="I30" s="1246"/>
      <c r="J30" s="1246"/>
      <c r="K30" s="1246"/>
      <c r="L30" s="1247"/>
      <c r="M30" s="1246"/>
      <c r="N30" s="1246"/>
      <c r="O30" s="1246"/>
      <c r="S30" s="5368" t="s">
        <v>499</v>
      </c>
      <c r="T30" s="5368"/>
      <c r="U30" s="1250"/>
      <c r="V30" s="5378">
        <f>IF(TITLE_DATE_PR_CHANGE="",IF(TITLE_DATE_PR="","",TITLE_DATE_PR),TITLE_DATE_PR_CHANGE)</f>
        <v>45280</v>
      </c>
      <c r="W30" s="5378"/>
      <c r="X30" s="5378"/>
      <c r="Y30" s="5378"/>
      <c r="Z30" s="5378"/>
      <c r="AA30" s="5378"/>
      <c r="AB30" s="5378"/>
      <c r="AC30" s="244"/>
      <c r="AD30" s="5378">
        <f>IF(TITLE_DATE_PR_CHANGE="",IF(TITLE_DATE_PR="","",TITLE_DATE_PR),TITLE_DATE_PR_CHANGE)</f>
        <v>45280</v>
      </c>
      <c r="AE30" s="5378"/>
      <c r="AF30" s="5378"/>
      <c r="AG30" s="5378"/>
      <c r="AH30" s="5378"/>
      <c r="AI30" s="5378"/>
      <c r="AJ30" s="5378"/>
      <c r="AK30" s="244"/>
      <c r="AL30" s="244"/>
      <c r="AM30" s="199"/>
      <c r="AN30" s="284"/>
      <c r="AO30" s="284"/>
      <c r="AP30" s="284"/>
      <c r="AQ30" s="284"/>
      <c r="AR30" s="284"/>
    </row>
    <row r="31" spans="1:44" s="4855" customFormat="1" ht="18.75" customHeight="1">
      <c r="A31" s="1246"/>
      <c r="B31" s="1246"/>
      <c r="C31" s="1246"/>
      <c r="D31" s="1246"/>
      <c r="E31" s="1246"/>
      <c r="F31" s="1246"/>
      <c r="G31" s="1246"/>
      <c r="H31" s="1246"/>
      <c r="I31" s="1246"/>
      <c r="J31" s="1246"/>
      <c r="K31" s="1246"/>
      <c r="L31" s="1247"/>
      <c r="M31" s="1246"/>
      <c r="N31" s="1246"/>
      <c r="O31" s="1246"/>
      <c r="S31" s="5368" t="s">
        <v>500</v>
      </c>
      <c r="T31" s="5368"/>
      <c r="U31" s="1250"/>
      <c r="V31" s="5369" t="str">
        <f>IF(TITLE_NUMBER_PR_CHANGE="",IF(TITLE_NUMBER_PR="","",TITLE_NUMBER_PR),TITLE_NUMBER_PR_CHANGE)</f>
        <v>317-Р</v>
      </c>
      <c r="W31" s="5369"/>
      <c r="X31" s="5369"/>
      <c r="Y31" s="5369"/>
      <c r="Z31" s="5369"/>
      <c r="AA31" s="5369"/>
      <c r="AB31" s="5369"/>
      <c r="AC31" s="244"/>
      <c r="AD31" s="5369" t="str">
        <f>IF(TITLE_NUMBER_PR_CHANGE="",IF(TITLE_NUMBER_PR="","",TITLE_NUMBER_PR),TITLE_NUMBER_PR_CHANGE)</f>
        <v>317-Р</v>
      </c>
      <c r="AE31" s="5369"/>
      <c r="AF31" s="5369"/>
      <c r="AG31" s="5369"/>
      <c r="AH31" s="5369"/>
      <c r="AI31" s="5369"/>
      <c r="AJ31" s="5369"/>
      <c r="AK31" s="244"/>
      <c r="AL31" s="244"/>
      <c r="AM31" s="199"/>
      <c r="AN31" s="284"/>
      <c r="AO31" s="284"/>
      <c r="AP31" s="284"/>
      <c r="AQ31" s="284"/>
      <c r="AR31" s="284"/>
    </row>
    <row r="32" spans="1:44" s="4855" customFormat="1" ht="18.75" customHeight="1">
      <c r="A32" s="1246"/>
      <c r="B32" s="1246"/>
      <c r="C32" s="1246"/>
      <c r="D32" s="1246"/>
      <c r="E32" s="1246"/>
      <c r="F32" s="1246"/>
      <c r="G32" s="1246"/>
      <c r="H32" s="1246"/>
      <c r="I32" s="1246"/>
      <c r="J32" s="1246"/>
      <c r="K32" s="1246"/>
      <c r="L32" s="1247"/>
      <c r="M32" s="1246"/>
      <c r="N32" s="1246"/>
      <c r="O32" s="1246"/>
      <c r="S32" s="5368" t="s">
        <v>40</v>
      </c>
      <c r="T32" s="5368"/>
      <c r="U32" s="1250"/>
      <c r="V32" s="5369" t="str">
        <f>IF(TITLE_IST_PUB_CHANGE="",IF(TITLE_IST_PUB="","",TITLE_IST_PUB),TITLE_IST_PUB_CHANGE)</f>
        <v>https://ktc.mosreg.ru/dokumenty/normotvorchestvo/rasporyazheniya/gosudarstvennoe-regulirovanie-tarifov-na-teplovuyu-energiyu-raspor/29-12-2023-16-47-50-rasporyazhenie-komiteta-po-tsenam-i-tarifam-moskov</v>
      </c>
      <c r="W32" s="5369"/>
      <c r="X32" s="5369"/>
      <c r="Y32" s="5369"/>
      <c r="Z32" s="5369"/>
      <c r="AA32" s="5369"/>
      <c r="AB32" s="5369"/>
      <c r="AC32" s="244"/>
      <c r="AD32" s="5369" t="str">
        <f>IF(TITLE_IST_PUB_CHANGE="",IF(TITLE_IST_PUB="","",TITLE_IST_PUB),TITLE_IST_PUB_CHANGE)</f>
        <v>https://ktc.mosreg.ru/dokumenty/normotvorchestvo/rasporyazheniya/gosudarstvennoe-regulirovanie-tarifov-na-teplovuyu-energiyu-raspor/29-12-2023-16-47-50-rasporyazhenie-komiteta-po-tsenam-i-tarifam-moskov</v>
      </c>
      <c r="AE32" s="5369"/>
      <c r="AF32" s="5369"/>
      <c r="AG32" s="5369"/>
      <c r="AH32" s="5369"/>
      <c r="AI32" s="5369"/>
      <c r="AJ32" s="5369"/>
      <c r="AK32" s="244"/>
      <c r="AL32" s="244"/>
      <c r="AM32" s="199"/>
      <c r="AN32" s="284"/>
      <c r="AO32" s="284"/>
      <c r="AP32" s="284"/>
      <c r="AQ32" s="284"/>
      <c r="AR32" s="284"/>
    </row>
    <row r="33" spans="1:44" ht="14.25" hidden="1" customHeight="1">
      <c r="P33" s="1207"/>
      <c r="Q33" s="292"/>
      <c r="R33" s="292"/>
      <c r="S33" s="1158"/>
      <c r="T33" s="280"/>
      <c r="U33" s="280"/>
      <c r="V33" s="240"/>
      <c r="W33" s="240"/>
      <c r="X33" s="240"/>
      <c r="Y33" s="240"/>
      <c r="Z33" s="240"/>
      <c r="AA33" s="240"/>
      <c r="AB33" s="240"/>
      <c r="AC33" s="240"/>
      <c r="AD33" s="240"/>
      <c r="AE33" s="240"/>
      <c r="AF33" s="240"/>
      <c r="AG33" s="240"/>
      <c r="AH33" s="240"/>
      <c r="AI33" s="240"/>
      <c r="AJ33" s="240"/>
      <c r="AK33" s="240"/>
      <c r="AL33" s="417"/>
    </row>
    <row r="34" spans="1:44" s="4855" customFormat="1" ht="18.75" hidden="1" customHeight="1">
      <c r="A34" s="1246"/>
      <c r="B34" s="1246"/>
      <c r="C34" s="1246"/>
      <c r="D34" s="1246"/>
      <c r="E34" s="1246"/>
      <c r="F34" s="1246"/>
      <c r="G34" s="1246"/>
      <c r="H34" s="1246"/>
      <c r="I34" s="1246"/>
      <c r="J34" s="1246"/>
      <c r="K34" s="1246"/>
      <c r="L34" s="1247"/>
      <c r="M34" s="1246"/>
      <c r="N34" s="1246"/>
      <c r="O34" s="1246"/>
      <c r="S34" s="5368" t="s">
        <v>501</v>
      </c>
      <c r="T34" s="5368"/>
      <c r="U34" s="1250"/>
      <c r="V34" s="5378">
        <f>IF(TITLE_DATE_PR_CHANGE="",IF(TITLE_DATE_PR="","",TITLE_DATE_PR),TITLE_DATE_PR_CHANGE)</f>
        <v>45280</v>
      </c>
      <c r="W34" s="5378"/>
      <c r="X34" s="5378"/>
      <c r="Y34" s="5378"/>
      <c r="Z34" s="5378"/>
      <c r="AA34" s="5378"/>
      <c r="AB34" s="5378"/>
      <c r="AC34" s="244"/>
      <c r="AD34" s="5378">
        <f>IF(TITLE_DATE_PR_CHANGE="",IF(TITLE_DATE_PR="","",TITLE_DATE_PR),TITLE_DATE_PR_CHANGE)</f>
        <v>45280</v>
      </c>
      <c r="AE34" s="5378"/>
      <c r="AF34" s="5378"/>
      <c r="AG34" s="5378"/>
      <c r="AH34" s="5378"/>
      <c r="AI34" s="5378"/>
      <c r="AJ34" s="5378"/>
      <c r="AK34" s="244"/>
      <c r="AL34" s="244"/>
      <c r="AM34" s="199"/>
      <c r="AN34" s="284"/>
      <c r="AO34" s="284"/>
      <c r="AP34" s="284"/>
      <c r="AQ34" s="284"/>
      <c r="AR34" s="284"/>
    </row>
    <row r="35" spans="1:44" s="4855" customFormat="1" ht="18.75" hidden="1" customHeight="1">
      <c r="A35" s="1246"/>
      <c r="B35" s="1246"/>
      <c r="C35" s="1246"/>
      <c r="D35" s="1246"/>
      <c r="E35" s="1246"/>
      <c r="F35" s="1246"/>
      <c r="G35" s="1246"/>
      <c r="H35" s="1246"/>
      <c r="I35" s="1246"/>
      <c r="J35" s="1246"/>
      <c r="K35" s="1246"/>
      <c r="L35" s="1247"/>
      <c r="M35" s="1246"/>
      <c r="N35" s="1246"/>
      <c r="O35" s="1246"/>
      <c r="S35" s="5368" t="s">
        <v>502</v>
      </c>
      <c r="T35" s="5368"/>
      <c r="U35" s="1250"/>
      <c r="V35" s="5369" t="str">
        <f>IF(TITLE_NUMBER_PR_CHANGE="",IF(TITLE_NUMBER_PR="","",TITLE_NUMBER_PR),TITLE_NUMBER_PR_CHANGE)</f>
        <v>317-Р</v>
      </c>
      <c r="W35" s="5369"/>
      <c r="X35" s="5369"/>
      <c r="Y35" s="5369"/>
      <c r="Z35" s="5369"/>
      <c r="AA35" s="5369"/>
      <c r="AB35" s="5369"/>
      <c r="AC35" s="244"/>
      <c r="AD35" s="5369" t="str">
        <f>IF(TITLE_NUMBER_PR_CHANGE="",IF(TITLE_NUMBER_PR="","",TITLE_NUMBER_PR),TITLE_NUMBER_PR_CHANGE)</f>
        <v>317-Р</v>
      </c>
      <c r="AE35" s="5369"/>
      <c r="AF35" s="5369"/>
      <c r="AG35" s="5369"/>
      <c r="AH35" s="5369"/>
      <c r="AI35" s="5369"/>
      <c r="AJ35" s="5369"/>
      <c r="AK35" s="244"/>
      <c r="AL35" s="244"/>
      <c r="AM35" s="199"/>
      <c r="AN35" s="284"/>
      <c r="AO35" s="284"/>
      <c r="AP35" s="284"/>
      <c r="AQ35" s="284"/>
      <c r="AR35" s="284"/>
    </row>
    <row r="36" spans="1:44" s="4855" customFormat="1" ht="0" hidden="1" customHeight="1">
      <c r="A36" s="1246"/>
      <c r="B36" s="1246"/>
      <c r="C36" s="1246"/>
      <c r="D36" s="1246"/>
      <c r="E36" s="1246"/>
      <c r="F36" s="1246"/>
      <c r="G36" s="1246"/>
      <c r="H36" s="1246"/>
      <c r="I36" s="1246"/>
      <c r="J36" s="1246"/>
      <c r="K36" s="1246"/>
      <c r="L36" s="1247"/>
      <c r="M36" s="1246"/>
      <c r="N36" s="1246"/>
      <c r="O36" s="1246"/>
      <c r="S36" s="241"/>
      <c r="T36" s="241"/>
      <c r="U36" s="1102"/>
      <c r="V36" s="244"/>
      <c r="W36" s="244"/>
      <c r="X36" s="244"/>
      <c r="Y36" s="244"/>
      <c r="Z36" s="244"/>
      <c r="AA36" s="244"/>
      <c r="AB36" s="244"/>
      <c r="AC36" s="197" t="s">
        <v>503</v>
      </c>
      <c r="AD36" s="244"/>
      <c r="AE36" s="244"/>
      <c r="AF36" s="244"/>
      <c r="AG36" s="244"/>
      <c r="AH36" s="244"/>
      <c r="AI36" s="244"/>
      <c r="AJ36" s="244"/>
      <c r="AK36" s="197" t="s">
        <v>503</v>
      </c>
      <c r="AN36" s="284"/>
      <c r="AO36" s="284"/>
      <c r="AP36" s="284"/>
      <c r="AQ36" s="284"/>
      <c r="AR36" s="284"/>
    </row>
    <row r="37" spans="1:44" ht="14.25" customHeight="1">
      <c r="Q37" s="292"/>
      <c r="R37" s="292"/>
      <c r="S37" s="1158"/>
      <c r="T37" s="280"/>
      <c r="U37" s="1127"/>
      <c r="V37" s="5370"/>
      <c r="W37" s="5370"/>
      <c r="X37" s="5370"/>
      <c r="Y37" s="5370"/>
      <c r="Z37" s="5370"/>
      <c r="AA37" s="5370"/>
      <c r="AB37" s="5370"/>
      <c r="AC37" s="5370"/>
      <c r="AD37" s="5370"/>
      <c r="AE37" s="5370"/>
      <c r="AF37" s="5370"/>
      <c r="AG37" s="5370"/>
      <c r="AH37" s="5370"/>
      <c r="AI37" s="5370"/>
      <c r="AJ37" s="5370"/>
      <c r="AK37" s="5370"/>
    </row>
    <row r="38" spans="1:44" ht="14.25" customHeight="1">
      <c r="Q38" s="292"/>
      <c r="R38" s="292"/>
      <c r="S38" s="5244" t="s">
        <v>378</v>
      </c>
      <c r="T38" s="5244"/>
      <c r="U38" s="5244"/>
      <c r="V38" s="5244"/>
      <c r="W38" s="5244"/>
      <c r="X38" s="5244"/>
      <c r="Y38" s="5244"/>
      <c r="Z38" s="5244"/>
      <c r="AA38" s="5244"/>
      <c r="AB38" s="5244"/>
      <c r="AC38" s="5244"/>
      <c r="AD38" s="5244"/>
      <c r="AE38" s="5244"/>
      <c r="AF38" s="5244"/>
      <c r="AG38" s="5244"/>
      <c r="AH38" s="5244"/>
      <c r="AI38" s="5244"/>
      <c r="AJ38" s="5244"/>
      <c r="AK38" s="5244"/>
      <c r="AL38" s="5244"/>
      <c r="AM38" s="5244" t="s">
        <v>379</v>
      </c>
    </row>
    <row r="39" spans="1:44" ht="14.25" customHeight="1">
      <c r="Q39" s="292"/>
      <c r="R39" s="292"/>
      <c r="S39" s="5384" t="s">
        <v>85</v>
      </c>
      <c r="T39" s="5336" t="s">
        <v>504</v>
      </c>
      <c r="U39" s="219"/>
      <c r="V39" s="5385" t="s">
        <v>505</v>
      </c>
      <c r="W39" s="5386"/>
      <c r="X39" s="5386"/>
      <c r="Y39" s="5386"/>
      <c r="Z39" s="5386"/>
      <c r="AA39" s="5386"/>
      <c r="AB39" s="5387"/>
      <c r="AC39" s="5388" t="s">
        <v>506</v>
      </c>
      <c r="AD39" s="5385" t="s">
        <v>505</v>
      </c>
      <c r="AE39" s="5386"/>
      <c r="AF39" s="5386"/>
      <c r="AG39" s="5386"/>
      <c r="AH39" s="5386"/>
      <c r="AI39" s="5386"/>
      <c r="AJ39" s="5387"/>
      <c r="AK39" s="5388" t="s">
        <v>507</v>
      </c>
      <c r="AL39" s="5391" t="s">
        <v>508</v>
      </c>
      <c r="AM39" s="5244"/>
    </row>
    <row r="40" spans="1:44" ht="33.75" customHeight="1">
      <c r="Q40" s="292"/>
      <c r="R40" s="292"/>
      <c r="S40" s="5384"/>
      <c r="T40" s="5336"/>
      <c r="U40" s="920"/>
      <c r="V40" s="5307" t="s">
        <v>509</v>
      </c>
      <c r="W40" s="5394" t="s">
        <v>510</v>
      </c>
      <c r="X40" s="5215" t="s">
        <v>511</v>
      </c>
      <c r="Y40" s="5214"/>
      <c r="Z40" s="5215" t="s">
        <v>512</v>
      </c>
      <c r="AA40" s="5220"/>
      <c r="AB40" s="5214"/>
      <c r="AC40" s="5389"/>
      <c r="AD40" s="5307" t="s">
        <v>509</v>
      </c>
      <c r="AE40" s="5394" t="s">
        <v>510</v>
      </c>
      <c r="AF40" s="5215" t="s">
        <v>511</v>
      </c>
      <c r="AG40" s="5214"/>
      <c r="AH40" s="5215" t="s">
        <v>512</v>
      </c>
      <c r="AI40" s="5220"/>
      <c r="AJ40" s="5214"/>
      <c r="AK40" s="5389"/>
      <c r="AL40" s="5392"/>
      <c r="AM40" s="5244"/>
    </row>
    <row r="41" spans="1:44" ht="33.75" customHeight="1">
      <c r="A41" s="1248"/>
      <c r="B41" s="1248" t="s">
        <v>153</v>
      </c>
      <c r="C41" s="1248" t="s">
        <v>154</v>
      </c>
      <c r="D41" s="1248" t="s">
        <v>155</v>
      </c>
      <c r="E41" s="1242" t="s">
        <v>513</v>
      </c>
      <c r="F41" s="1242" t="s">
        <v>514</v>
      </c>
      <c r="G41" s="1242" t="s">
        <v>515</v>
      </c>
      <c r="H41" s="1242" t="s">
        <v>516</v>
      </c>
      <c r="I41" s="1242" t="s">
        <v>517</v>
      </c>
      <c r="J41" s="1242" t="s">
        <v>518</v>
      </c>
      <c r="K41" s="1242" t="s">
        <v>519</v>
      </c>
      <c r="L41" s="1242" t="s">
        <v>494</v>
      </c>
      <c r="Q41" s="292"/>
      <c r="R41" s="292"/>
      <c r="S41" s="5384"/>
      <c r="T41" s="5336"/>
      <c r="U41" s="220"/>
      <c r="V41" s="5355"/>
      <c r="W41" s="5395"/>
      <c r="X41" s="1105" t="s">
        <v>520</v>
      </c>
      <c r="Y41" s="1105" t="s">
        <v>521</v>
      </c>
      <c r="Z41" s="1104" t="s">
        <v>522</v>
      </c>
      <c r="AA41" s="5344" t="s">
        <v>523</v>
      </c>
      <c r="AB41" s="5346"/>
      <c r="AC41" s="5390"/>
      <c r="AD41" s="5355"/>
      <c r="AE41" s="5395"/>
      <c r="AF41" s="1105" t="s">
        <v>520</v>
      </c>
      <c r="AG41" s="1105" t="s">
        <v>521</v>
      </c>
      <c r="AH41" s="1193" t="s">
        <v>522</v>
      </c>
      <c r="AI41" s="5344" t="s">
        <v>523</v>
      </c>
      <c r="AJ41" s="5346"/>
      <c r="AK41" s="5390"/>
      <c r="AL41" s="5393"/>
      <c r="AM41" s="5244"/>
    </row>
    <row r="42" spans="1:44" s="4840"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129</v>
      </c>
      <c r="T42" s="1138" t="s">
        <v>100</v>
      </c>
      <c r="U42" s="1128" t="str">
        <f ca="1">OFFSET(U42,0,-1)</f>
        <v>2</v>
      </c>
      <c r="V42" s="1139">
        <f ca="1">OFFSET(V42,0,-1)+1</f>
        <v>3</v>
      </c>
      <c r="W42" s="1139"/>
      <c r="X42" s="1139">
        <f ca="1">OFFSET(X42,0,-1)+1</f>
        <v>1</v>
      </c>
      <c r="Y42" s="1139">
        <f ca="1">OFFSET(Y42,0,-1)+1</f>
        <v>2</v>
      </c>
      <c r="Z42" s="1139">
        <f ca="1">OFFSET(Z42,0,-1)+1</f>
        <v>3</v>
      </c>
      <c r="AA42" s="5383">
        <f ca="1">OFFSET(AA42,0,-1)+1</f>
        <v>4</v>
      </c>
      <c r="AB42" s="5383"/>
      <c r="AC42" s="1139">
        <f ca="1">OFFSET(AC42,0,-2)+1</f>
        <v>5</v>
      </c>
      <c r="AD42" s="1192">
        <f ca="1">OFFSET(AD42,0,-1)+1</f>
        <v>6</v>
      </c>
      <c r="AE42" s="1192"/>
      <c r="AF42" s="1192">
        <f ca="1">OFFSET(AF42,0,-1)+1</f>
        <v>1</v>
      </c>
      <c r="AG42" s="1192">
        <f ca="1">OFFSET(AG42,0,-1)+1</f>
        <v>2</v>
      </c>
      <c r="AH42" s="1192">
        <f ca="1">OFFSET(AH42,0,-1)+1</f>
        <v>3</v>
      </c>
      <c r="AI42" s="5383">
        <f ca="1">OFFSET(AI42,0,-1)+1</f>
        <v>4</v>
      </c>
      <c r="AJ42" s="5383"/>
      <c r="AK42" s="1192">
        <f ca="1">OFFSET(AK42,0,-2)+1</f>
        <v>5</v>
      </c>
      <c r="AL42" s="1128">
        <f ca="1">OFFSET(AL42,0,-1)</f>
        <v>5</v>
      </c>
      <c r="AM42" s="1139">
        <f ca="1">OFFSET(AM42,0,-1)+1</f>
        <v>6</v>
      </c>
      <c r="AN42" s="419"/>
      <c r="AO42" s="419"/>
      <c r="AP42" s="419"/>
      <c r="AQ42" s="419"/>
      <c r="AR42" s="419"/>
    </row>
    <row r="43" spans="1:44" ht="23.25" customHeight="1">
      <c r="A43" s="1241" t="s">
        <v>173</v>
      </c>
      <c r="B43" s="1241"/>
      <c r="C43" s="1241"/>
      <c r="D43" s="1241"/>
      <c r="E43" s="5376">
        <v>1</v>
      </c>
      <c r="F43" s="1241"/>
      <c r="G43" s="1241"/>
      <c r="H43" s="1241"/>
      <c r="I43" s="1241"/>
      <c r="J43" s="1241"/>
      <c r="K43" s="1241"/>
      <c r="L43" s="1242"/>
      <c r="M43" s="1243"/>
      <c r="N43" s="1243"/>
      <c r="O43" s="1243"/>
      <c r="P43" s="278"/>
      <c r="Q43" s="277"/>
      <c r="R43" s="272"/>
      <c r="S43" s="1107">
        <f>INDEX(PT_DIFFERENTIATION_NUM_NTAR,MATCH(A43,PT_DIFFERENTIATION_NTAR_ID,0))</f>
        <v>0</v>
      </c>
      <c r="T43" s="216" t="s">
        <v>141</v>
      </c>
      <c r="U43" s="218"/>
      <c r="V43" s="5362"/>
      <c r="W43" s="5363"/>
      <c r="X43" s="5363"/>
      <c r="Y43" s="5363"/>
      <c r="Z43" s="5363"/>
      <c r="AA43" s="5363"/>
      <c r="AB43" s="5363"/>
      <c r="AC43" s="5364"/>
      <c r="AD43" s="5362" t="str">
        <f>INDEX(PT_DIFFERENTIATION_NTAR,MATCH(A43,PT_DIFFERENTIATION_NTAR_ID,0))</f>
        <v/>
      </c>
      <c r="AE43" s="5363"/>
      <c r="AF43" s="5363"/>
      <c r="AG43" s="5363"/>
      <c r="AH43" s="5363"/>
      <c r="AI43" s="5363"/>
      <c r="AJ43" s="5363"/>
      <c r="AK43" s="5363"/>
      <c r="AL43" s="5364"/>
      <c r="AM43" s="11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8"/>
      <c r="AP43" s="408" t="str">
        <f t="shared" ref="AP43:AP57" si="1">IF(T43="","",T43)</f>
        <v>Наименование тарифа</v>
      </c>
      <c r="AQ43" s="408"/>
      <c r="AR43" s="408"/>
    </row>
    <row r="44" spans="1:44" ht="23.25" customHeight="1">
      <c r="A44" s="1241" t="s">
        <v>173</v>
      </c>
      <c r="B44" s="1241" t="s">
        <v>174</v>
      </c>
      <c r="C44" s="1241"/>
      <c r="D44" s="1241"/>
      <c r="E44" s="5377"/>
      <c r="F44" s="5376">
        <v>1</v>
      </c>
      <c r="G44" s="1241"/>
      <c r="H44" s="1241"/>
      <c r="I44" s="1241"/>
      <c r="J44" s="1241"/>
      <c r="K44" s="1241"/>
      <c r="L44" s="1242"/>
      <c r="M44" s="1243"/>
      <c r="N44" s="1243"/>
      <c r="O44" s="1243"/>
      <c r="P44" s="430"/>
      <c r="Q44" s="269"/>
      <c r="R44" s="270"/>
      <c r="S44" s="1107" t="str">
        <f>INDEX(PT_DIFFERENTIATION_NUM_TER,MATCH(B44,PT_DIFFERENTIATION_TER_ID,0))</f>
        <v>.</v>
      </c>
      <c r="T44" s="226" t="s">
        <v>475</v>
      </c>
      <c r="U44" s="218"/>
      <c r="V44" s="5362"/>
      <c r="W44" s="5363"/>
      <c r="X44" s="5363"/>
      <c r="Y44" s="5363"/>
      <c r="Z44" s="5363"/>
      <c r="AA44" s="5363"/>
      <c r="AB44" s="5363"/>
      <c r="AC44" s="5364"/>
      <c r="AD44" s="5362" t="str">
        <f>INDEX(PT_DIFFERENTIATION_TER,MATCH(B44,PT_DIFFERENTIATION_TER_ID,0))</f>
        <v/>
      </c>
      <c r="AE44" s="5363"/>
      <c r="AF44" s="5363"/>
      <c r="AG44" s="5363"/>
      <c r="AH44" s="5363"/>
      <c r="AI44" s="5363"/>
      <c r="AJ44" s="5363"/>
      <c r="AK44" s="5363"/>
      <c r="AL44" s="5364"/>
      <c r="AM44" s="1141" t="s">
        <v>476</v>
      </c>
      <c r="AO44" s="408"/>
      <c r="AP44" s="408" t="str">
        <f t="shared" si="1"/>
        <v>Территория действия тарифа</v>
      </c>
      <c r="AQ44" s="408"/>
      <c r="AR44" s="408"/>
    </row>
    <row r="45" spans="1:44" ht="23.25" customHeight="1">
      <c r="A45" s="1241" t="s">
        <v>173</v>
      </c>
      <c r="B45" s="1241" t="s">
        <v>174</v>
      </c>
      <c r="C45" s="1241" t="s">
        <v>175</v>
      </c>
      <c r="D45" s="1241"/>
      <c r="E45" s="5377"/>
      <c r="F45" s="5377"/>
      <c r="G45" s="5376">
        <v>1</v>
      </c>
      <c r="H45" s="1241"/>
      <c r="I45" s="1241"/>
      <c r="J45" s="1241"/>
      <c r="K45" s="1241"/>
      <c r="L45" s="1242"/>
      <c r="M45" s="1243"/>
      <c r="N45" s="1243"/>
      <c r="O45" s="1243"/>
      <c r="P45" s="271"/>
      <c r="Q45" s="269"/>
      <c r="R45" s="270"/>
      <c r="S45" s="1107" t="str">
        <f>INDEX(PT_DIFFERENTIATION_NUM_CS,MATCH(C45,PT_DIFFERENTIATION_CS_ID,0))</f>
        <v>..</v>
      </c>
      <c r="T45" s="227" t="s">
        <v>477</v>
      </c>
      <c r="U45" s="218"/>
      <c r="V45" s="5362"/>
      <c r="W45" s="5363"/>
      <c r="X45" s="5363"/>
      <c r="Y45" s="5363"/>
      <c r="Z45" s="5363"/>
      <c r="AA45" s="5363"/>
      <c r="AB45" s="5363"/>
      <c r="AC45" s="5364"/>
      <c r="AD45" s="5362" t="str">
        <f>INDEX(PT_DIFFERENTIATION_CS,MATCH(C45,PT_DIFFERENTIATION_CS_ID,0))</f>
        <v/>
      </c>
      <c r="AE45" s="5363"/>
      <c r="AF45" s="5363"/>
      <c r="AG45" s="5363"/>
      <c r="AH45" s="5363"/>
      <c r="AI45" s="5363"/>
      <c r="AJ45" s="5363"/>
      <c r="AK45" s="5363"/>
      <c r="AL45" s="5364"/>
      <c r="AM45" s="1141" t="s">
        <v>478</v>
      </c>
      <c r="AO45" s="408"/>
      <c r="AP45" s="408" t="str">
        <f t="shared" si="1"/>
        <v xml:space="preserve">Наименование системы теплоснабжения </v>
      </c>
      <c r="AQ45" s="408"/>
      <c r="AR45" s="408"/>
    </row>
    <row r="46" spans="1:44" ht="23.25" customHeight="1">
      <c r="A46" s="1241" t="s">
        <v>173</v>
      </c>
      <c r="B46" s="1241" t="s">
        <v>174</v>
      </c>
      <c r="C46" s="1241" t="s">
        <v>175</v>
      </c>
      <c r="D46" s="1241" t="s">
        <v>176</v>
      </c>
      <c r="E46" s="5377"/>
      <c r="F46" s="5377"/>
      <c r="G46" s="5377"/>
      <c r="H46" s="5376">
        <v>1</v>
      </c>
      <c r="I46" s="1241"/>
      <c r="J46" s="1241"/>
      <c r="K46" s="1241"/>
      <c r="L46" s="1242"/>
      <c r="M46" s="1243"/>
      <c r="N46" s="1243"/>
      <c r="O46" s="1243"/>
      <c r="P46" s="271"/>
      <c r="Q46" s="269"/>
      <c r="R46" s="270"/>
      <c r="S46" s="1107" t="str">
        <f>INDEX(PT_DIFFERENTIATION_NUM_IST_TE,MATCH(D46,PT_DIFFERENTIATION_IST_TE_ID,0))</f>
        <v>...</v>
      </c>
      <c r="T46" s="228" t="s">
        <v>479</v>
      </c>
      <c r="U46" s="218"/>
      <c r="V46" s="5362"/>
      <c r="W46" s="5363"/>
      <c r="X46" s="5363"/>
      <c r="Y46" s="5363"/>
      <c r="Z46" s="5363"/>
      <c r="AA46" s="5363"/>
      <c r="AB46" s="5363"/>
      <c r="AC46" s="5364"/>
      <c r="AD46" s="5362" t="str">
        <f>INDEX(PT_DIFFERENTIATION_IST_TE,MATCH(D46,PT_DIFFERENTIATION_IST_TE_ID,0))</f>
        <v/>
      </c>
      <c r="AE46" s="5363"/>
      <c r="AF46" s="5363"/>
      <c r="AG46" s="5363"/>
      <c r="AH46" s="5363"/>
      <c r="AI46" s="5363"/>
      <c r="AJ46" s="5363"/>
      <c r="AK46" s="5363"/>
      <c r="AL46" s="5364"/>
      <c r="AM46" s="1141" t="s">
        <v>480</v>
      </c>
      <c r="AO46" s="408"/>
      <c r="AP46" s="408" t="str">
        <f t="shared" si="1"/>
        <v xml:space="preserve">Источник тепловой энергии  </v>
      </c>
      <c r="AQ46" s="408"/>
      <c r="AR46" s="408"/>
    </row>
    <row r="47" spans="1:44" ht="47.25" customHeight="1">
      <c r="A47" s="1241" t="s">
        <v>173</v>
      </c>
      <c r="B47" s="1241" t="s">
        <v>174</v>
      </c>
      <c r="C47" s="1241" t="s">
        <v>175</v>
      </c>
      <c r="D47" s="1241" t="s">
        <v>176</v>
      </c>
      <c r="E47" s="5377"/>
      <c r="F47" s="5377"/>
      <c r="G47" s="5377"/>
      <c r="H47" s="5377"/>
      <c r="I47" s="5374" t="str">
        <f>S46&amp;".1"</f>
        <v>....1</v>
      </c>
      <c r="J47" s="1241"/>
      <c r="K47" s="1241"/>
      <c r="L47" s="1242" t="s">
        <v>481</v>
      </c>
      <c r="P47" s="5375">
        <v>1</v>
      </c>
      <c r="Q47" s="1103"/>
      <c r="R47" s="273"/>
      <c r="S47" s="1107" t="str">
        <f>$I47</f>
        <v>....1</v>
      </c>
      <c r="T47" s="203" t="s">
        <v>482</v>
      </c>
      <c r="U47" s="218"/>
      <c r="V47" s="5365"/>
      <c r="W47" s="5366"/>
      <c r="X47" s="5366"/>
      <c r="Y47" s="5366"/>
      <c r="Z47" s="5366"/>
      <c r="AA47" s="5366"/>
      <c r="AB47" s="5366"/>
      <c r="AC47" s="5367"/>
      <c r="AD47" s="5365"/>
      <c r="AE47" s="5366"/>
      <c r="AF47" s="5366"/>
      <c r="AG47" s="5366"/>
      <c r="AH47" s="5366"/>
      <c r="AI47" s="5366"/>
      <c r="AJ47" s="5366"/>
      <c r="AK47" s="5366"/>
      <c r="AL47" s="5367"/>
      <c r="AM47" s="1141" t="s">
        <v>483</v>
      </c>
      <c r="AO47" s="408"/>
      <c r="AP47" s="408" t="str">
        <f t="shared" si="1"/>
        <v>Схема подключения теплопотребляющей установки к коллектору источника тепловой энергии</v>
      </c>
      <c r="AQ47" s="408"/>
      <c r="AR47" s="408"/>
    </row>
    <row r="48" spans="1:44" ht="23.25" customHeight="1">
      <c r="A48" s="1241" t="s">
        <v>173</v>
      </c>
      <c r="B48" s="1241" t="s">
        <v>174</v>
      </c>
      <c r="C48" s="1241" t="s">
        <v>175</v>
      </c>
      <c r="D48" s="1241" t="s">
        <v>176</v>
      </c>
      <c r="E48" s="5377"/>
      <c r="F48" s="5377"/>
      <c r="G48" s="5377"/>
      <c r="H48" s="5377"/>
      <c r="I48" s="5397"/>
      <c r="J48" s="5374" t="str">
        <f>I47&amp;".1"</f>
        <v>....1.1</v>
      </c>
      <c r="K48" s="1241"/>
      <c r="L48" s="1242" t="s">
        <v>484</v>
      </c>
      <c r="P48" s="5375"/>
      <c r="Q48" s="5375">
        <v>1</v>
      </c>
      <c r="R48" s="274"/>
      <c r="S48" s="1107" t="str">
        <f>$J48</f>
        <v>....1.1</v>
      </c>
      <c r="T48" s="204" t="s">
        <v>485</v>
      </c>
      <c r="U48" s="218"/>
      <c r="V48" s="5365"/>
      <c r="W48" s="5366"/>
      <c r="X48" s="5366"/>
      <c r="Y48" s="5366"/>
      <c r="Z48" s="5366"/>
      <c r="AA48" s="5366"/>
      <c r="AB48" s="5366"/>
      <c r="AC48" s="5367"/>
      <c r="AD48" s="5365"/>
      <c r="AE48" s="5366"/>
      <c r="AF48" s="5366"/>
      <c r="AG48" s="5366"/>
      <c r="AH48" s="5366"/>
      <c r="AI48" s="5366"/>
      <c r="AJ48" s="5366"/>
      <c r="AK48" s="5366"/>
      <c r="AL48" s="5367"/>
      <c r="AM48" s="1141" t="s">
        <v>486</v>
      </c>
      <c r="AO48" s="408"/>
      <c r="AP48" s="408" t="str">
        <f t="shared" si="1"/>
        <v>Группа потребителей</v>
      </c>
      <c r="AQ48" s="408"/>
      <c r="AR48" s="408"/>
    </row>
    <row r="49" spans="1:44" ht="23.25" customHeight="1">
      <c r="A49" s="1241" t="s">
        <v>173</v>
      </c>
      <c r="B49" s="1241" t="s">
        <v>174</v>
      </c>
      <c r="C49" s="1241" t="s">
        <v>175</v>
      </c>
      <c r="D49" s="1241" t="s">
        <v>176</v>
      </c>
      <c r="E49" s="5377"/>
      <c r="F49" s="5377"/>
      <c r="G49" s="5377"/>
      <c r="H49" s="5377"/>
      <c r="I49" s="5397"/>
      <c r="J49" s="5397"/>
      <c r="K49" s="5374" t="str">
        <f>J48&amp;".1"</f>
        <v>....1.1.1</v>
      </c>
      <c r="L49" s="1242" t="s">
        <v>487</v>
      </c>
      <c r="P49" s="5375"/>
      <c r="Q49" s="5375"/>
      <c r="R49" s="274">
        <v>1</v>
      </c>
      <c r="S49" s="1107" t="str">
        <f>$K49</f>
        <v>....1.1.1</v>
      </c>
      <c r="T49" s="1226"/>
      <c r="U49" s="218"/>
      <c r="V49" s="650"/>
      <c r="W49" s="243"/>
      <c r="X49" s="650"/>
      <c r="Y49" s="1140"/>
      <c r="Z49" s="5379"/>
      <c r="AA49" s="5225" t="s">
        <v>64</v>
      </c>
      <c r="AB49" s="5379"/>
      <c r="AC49" s="5225" t="s">
        <v>64</v>
      </c>
      <c r="AD49" s="650"/>
      <c r="AE49" s="243"/>
      <c r="AF49" s="650"/>
      <c r="AG49" s="1140"/>
      <c r="AH49" s="5379"/>
      <c r="AI49" s="5225" t="s">
        <v>64</v>
      </c>
      <c r="AJ49" s="5398"/>
      <c r="AK49" s="5225" t="s">
        <v>64</v>
      </c>
      <c r="AL49" s="1227"/>
      <c r="AM49" s="5371" t="s">
        <v>488</v>
      </c>
      <c r="AN49" s="419" t="e">
        <f ca="1">STRCHECKDATE(V50:AL50)</f>
        <v>#NAME?</v>
      </c>
      <c r="AO49" s="408"/>
      <c r="AP49" s="408" t="str">
        <f t="shared" si="1"/>
        <v/>
      </c>
      <c r="AQ49" s="408"/>
      <c r="AR49" s="408"/>
    </row>
    <row r="50" spans="1:44" ht="0.75" customHeight="1">
      <c r="A50" s="1241" t="s">
        <v>173</v>
      </c>
      <c r="B50" s="1241" t="s">
        <v>174</v>
      </c>
      <c r="C50" s="1241" t="s">
        <v>175</v>
      </c>
      <c r="D50" s="1241" t="s">
        <v>176</v>
      </c>
      <c r="E50" s="5377"/>
      <c r="F50" s="5377"/>
      <c r="G50" s="5377"/>
      <c r="H50" s="5377"/>
      <c r="I50" s="5397"/>
      <c r="J50" s="5397"/>
      <c r="K50" s="5374"/>
      <c r="L50" s="1242"/>
      <c r="P50" s="5375"/>
      <c r="Q50" s="5375"/>
      <c r="R50" s="274"/>
      <c r="S50" s="1106"/>
      <c r="T50" s="218"/>
      <c r="U50" s="218"/>
      <c r="V50" s="243"/>
      <c r="W50" s="243"/>
      <c r="X50" s="243"/>
      <c r="Y50" s="246" t="str">
        <f>Z49&amp;"-"&amp;AB49</f>
        <v>-</v>
      </c>
      <c r="Z50" s="5380"/>
      <c r="AA50" s="5225"/>
      <c r="AB50" s="5380"/>
      <c r="AC50" s="5225"/>
      <c r="AD50" s="243"/>
      <c r="AE50" s="243"/>
      <c r="AF50" s="243"/>
      <c r="AG50" s="246" t="str">
        <f>AH49&amp;"-"&amp;AJ49</f>
        <v>-</v>
      </c>
      <c r="AH50" s="5380"/>
      <c r="AI50" s="5225"/>
      <c r="AJ50" s="5399"/>
      <c r="AK50" s="5225"/>
      <c r="AL50" s="1228"/>
      <c r="AM50" s="5372"/>
      <c r="AO50" s="408"/>
      <c r="AP50" s="408" t="str">
        <f t="shared" si="1"/>
        <v/>
      </c>
      <c r="AQ50" s="408"/>
      <c r="AR50" s="408"/>
    </row>
    <row r="51" spans="1:44" ht="11.25" customHeight="1">
      <c r="A51" s="1241" t="s">
        <v>173</v>
      </c>
      <c r="B51" s="1241" t="s">
        <v>174</v>
      </c>
      <c r="C51" s="1241" t="s">
        <v>175</v>
      </c>
      <c r="D51" s="1241" t="s">
        <v>176</v>
      </c>
      <c r="E51" s="5377"/>
      <c r="F51" s="5377"/>
      <c r="G51" s="5377"/>
      <c r="H51" s="5377"/>
      <c r="I51" s="5397"/>
      <c r="J51" s="5374"/>
      <c r="K51" s="1241"/>
      <c r="L51" s="1242"/>
      <c r="P51" s="5375"/>
      <c r="Q51" s="5375"/>
      <c r="R51" s="273"/>
      <c r="S51" s="1161"/>
      <c r="T51" s="206" t="s">
        <v>489</v>
      </c>
      <c r="U51" s="283"/>
      <c r="V51" s="283"/>
      <c r="W51" s="283"/>
      <c r="X51" s="283"/>
      <c r="Y51" s="283"/>
      <c r="Z51" s="283"/>
      <c r="AA51" s="283"/>
      <c r="AB51" s="283"/>
      <c r="AC51" s="283"/>
      <c r="AD51" s="283"/>
      <c r="AE51" s="283"/>
      <c r="AF51" s="283"/>
      <c r="AG51" s="283"/>
      <c r="AH51" s="283"/>
      <c r="AI51" s="283"/>
      <c r="AJ51" s="283"/>
      <c r="AK51" s="283"/>
      <c r="AL51" s="242"/>
      <c r="AM51" s="5373"/>
      <c r="AO51" s="408"/>
      <c r="AP51" s="408" t="str">
        <f t="shared" si="1"/>
        <v>Добавить вид теплоносителя (параметры теплоносителя)</v>
      </c>
      <c r="AQ51" s="408"/>
      <c r="AR51" s="408"/>
    </row>
    <row r="52" spans="1:44" ht="11.25" customHeight="1">
      <c r="A52" s="1241" t="s">
        <v>173</v>
      </c>
      <c r="B52" s="1241" t="s">
        <v>174</v>
      </c>
      <c r="C52" s="1241" t="s">
        <v>175</v>
      </c>
      <c r="D52" s="1241" t="s">
        <v>176</v>
      </c>
      <c r="E52" s="5377"/>
      <c r="F52" s="5377"/>
      <c r="G52" s="5377"/>
      <c r="H52" s="5377"/>
      <c r="I52" s="5374"/>
      <c r="J52" s="1241"/>
      <c r="K52" s="1241"/>
      <c r="L52" s="1242"/>
      <c r="P52" s="5375"/>
      <c r="Q52" s="1103"/>
      <c r="R52" s="273"/>
      <c r="S52" s="1161"/>
      <c r="T52" s="205" t="s">
        <v>490</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41" t="s">
        <v>173</v>
      </c>
      <c r="B53" s="1241" t="s">
        <v>174</v>
      </c>
      <c r="C53" s="1241" t="s">
        <v>175</v>
      </c>
      <c r="D53" s="1241" t="s">
        <v>176</v>
      </c>
      <c r="E53" s="5377"/>
      <c r="F53" s="5377"/>
      <c r="G53" s="5377"/>
      <c r="H53" s="5376"/>
      <c r="I53" s="1241"/>
      <c r="J53" s="1241"/>
      <c r="K53" s="1241"/>
      <c r="L53" s="1242"/>
      <c r="M53" s="1243"/>
      <c r="N53" s="1243"/>
      <c r="O53" s="444"/>
      <c r="P53" s="277"/>
      <c r="Q53" s="291"/>
      <c r="R53" s="272"/>
      <c r="S53" s="1161"/>
      <c r="T53" s="281" t="s">
        <v>491</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4853" customFormat="1" ht="0.75" customHeight="1">
      <c r="A54" s="1222" t="s">
        <v>173</v>
      </c>
      <c r="B54" s="1222" t="s">
        <v>174</v>
      </c>
      <c r="C54" s="1222" t="s">
        <v>175</v>
      </c>
      <c r="D54" s="1194"/>
      <c r="E54" s="5377"/>
      <c r="F54" s="5377"/>
      <c r="G54" s="5376"/>
      <c r="H54" s="1194"/>
      <c r="I54" s="1194"/>
      <c r="J54" s="1194"/>
      <c r="K54" s="1194"/>
      <c r="L54" s="1218"/>
      <c r="M54" s="1195"/>
      <c r="N54" s="1195"/>
      <c r="P54" s="1196"/>
      <c r="Q54" s="1197"/>
      <c r="R54" s="1196"/>
      <c r="S54" s="1202"/>
      <c r="T54" s="1205" t="s">
        <v>492</v>
      </c>
      <c r="U54" s="1204"/>
      <c r="V54" s="1204"/>
      <c r="W54" s="1204"/>
      <c r="X54" s="1204"/>
      <c r="Y54" s="1204"/>
      <c r="Z54" s="1204"/>
      <c r="AA54" s="1204"/>
      <c r="AB54" s="1204"/>
      <c r="AC54" s="1204"/>
      <c r="AD54" s="1204"/>
      <c r="AE54" s="1204"/>
      <c r="AF54" s="1204"/>
      <c r="AG54" s="1204"/>
      <c r="AH54" s="1204"/>
      <c r="AI54" s="1204"/>
      <c r="AJ54" s="1204"/>
      <c r="AK54" s="1204"/>
      <c r="AL54" s="1204"/>
      <c r="AM54" s="1204"/>
      <c r="AO54" s="688"/>
      <c r="AP54" s="688" t="str">
        <f t="shared" si="1"/>
        <v>Добавить источник для дифференциации</v>
      </c>
      <c r="AQ54" s="688"/>
      <c r="AR54" s="688"/>
    </row>
    <row r="55" spans="1:44" s="4853" customFormat="1" ht="0.75" customHeight="1">
      <c r="A55" s="1222" t="s">
        <v>173</v>
      </c>
      <c r="B55" s="1222" t="s">
        <v>174</v>
      </c>
      <c r="C55" s="1194"/>
      <c r="D55" s="1194"/>
      <c r="E55" s="5377"/>
      <c r="F55" s="5376"/>
      <c r="G55" s="1194"/>
      <c r="H55" s="1194"/>
      <c r="I55" s="1194"/>
      <c r="J55" s="1194"/>
      <c r="K55" s="1194"/>
      <c r="L55" s="1218"/>
      <c r="M55" s="1201"/>
      <c r="N55" s="1201"/>
      <c r="P55" s="1196"/>
      <c r="Q55" s="1197"/>
      <c r="R55" s="1196"/>
      <c r="S55" s="1202"/>
      <c r="T55" s="1205" t="s">
        <v>271</v>
      </c>
      <c r="U55" s="1204"/>
      <c r="V55" s="1204"/>
      <c r="W55" s="1204"/>
      <c r="X55" s="1204"/>
      <c r="Y55" s="1204"/>
      <c r="Z55" s="1204"/>
      <c r="AA55" s="1204"/>
      <c r="AB55" s="1204"/>
      <c r="AC55" s="1204"/>
      <c r="AD55" s="1204"/>
      <c r="AE55" s="1204"/>
      <c r="AF55" s="1204"/>
      <c r="AG55" s="1204"/>
      <c r="AH55" s="1204"/>
      <c r="AI55" s="1204"/>
      <c r="AJ55" s="1204"/>
      <c r="AK55" s="1204"/>
      <c r="AL55" s="1204"/>
      <c r="AM55" s="1204"/>
      <c r="AO55" s="688"/>
      <c r="AP55" s="688" t="str">
        <f t="shared" si="1"/>
        <v>Добавить централизованную систему для дифференциации</v>
      </c>
      <c r="AQ55" s="688"/>
      <c r="AR55" s="688"/>
    </row>
    <row r="56" spans="1:44" s="4856" customFormat="1" ht="0.75" customHeight="1">
      <c r="A56" s="1222" t="s">
        <v>173</v>
      </c>
      <c r="B56" s="1222"/>
      <c r="C56" s="1222"/>
      <c r="D56" s="1222"/>
      <c r="E56" s="5376"/>
      <c r="F56" s="1222"/>
      <c r="G56" s="1222"/>
      <c r="H56" s="1222"/>
      <c r="I56" s="1222"/>
      <c r="J56" s="1222"/>
      <c r="K56" s="1222"/>
      <c r="L56" s="1225"/>
      <c r="M56" s="1201"/>
      <c r="N56" s="1201"/>
      <c r="O56" s="426"/>
      <c r="P56" s="296"/>
      <c r="Q56" s="1223"/>
      <c r="R56" s="296"/>
      <c r="S56" s="1202"/>
      <c r="T56" s="1205" t="s">
        <v>330</v>
      </c>
      <c r="U56" s="1204"/>
      <c r="V56" s="1204"/>
      <c r="W56" s="1204"/>
      <c r="X56" s="1204"/>
      <c r="Y56" s="1204"/>
      <c r="Z56" s="1204"/>
      <c r="AA56" s="1204"/>
      <c r="AB56" s="1204"/>
      <c r="AC56" s="1204"/>
      <c r="AD56" s="1204"/>
      <c r="AE56" s="1204"/>
      <c r="AF56" s="1204"/>
      <c r="AG56" s="1204"/>
      <c r="AH56" s="1204"/>
      <c r="AI56" s="1204"/>
      <c r="AJ56" s="1204"/>
      <c r="AK56" s="1204"/>
      <c r="AL56" s="1204"/>
      <c r="AM56" s="1204"/>
      <c r="AO56" s="408"/>
      <c r="AP56" s="408" t="str">
        <f t="shared" si="1"/>
        <v>Добавить территорию для дифференциации</v>
      </c>
      <c r="AQ56" s="408"/>
      <c r="AR56" s="408"/>
    </row>
    <row r="57" spans="1:44" s="4853" customFormat="1" ht="0.75" customHeight="1">
      <c r="A57" s="1194"/>
      <c r="B57" s="1194"/>
      <c r="C57" s="1194"/>
      <c r="D57" s="1194"/>
      <c r="E57" s="1222"/>
      <c r="F57" s="1194"/>
      <c r="G57" s="1194"/>
      <c r="H57" s="1194"/>
      <c r="I57" s="1194"/>
      <c r="J57" s="1194"/>
      <c r="K57" s="1194"/>
      <c r="L57" s="1218"/>
      <c r="M57" s="1201"/>
      <c r="N57" s="1201"/>
      <c r="P57" s="1196"/>
      <c r="Q57" s="1197"/>
      <c r="R57" s="1196"/>
      <c r="S57" s="1202"/>
      <c r="T57" s="1205" t="s">
        <v>331</v>
      </c>
      <c r="U57" s="1204"/>
      <c r="V57" s="1204"/>
      <c r="W57" s="1204"/>
      <c r="X57" s="1204"/>
      <c r="Y57" s="1204"/>
      <c r="Z57" s="1204"/>
      <c r="AA57" s="1204"/>
      <c r="AB57" s="1204"/>
      <c r="AC57" s="1204"/>
      <c r="AD57" s="1204"/>
      <c r="AE57" s="1204"/>
      <c r="AF57" s="1204"/>
      <c r="AG57" s="1204"/>
      <c r="AH57" s="1204"/>
      <c r="AI57" s="1204"/>
      <c r="AJ57" s="1204"/>
      <c r="AK57" s="1204"/>
      <c r="AL57" s="1204"/>
      <c r="AM57" s="1204"/>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27" customHeight="1">
      <c r="O59" s="444"/>
      <c r="S59" s="1136"/>
      <c r="T59" s="5396"/>
      <c r="U59" s="5396"/>
      <c r="V59" s="5396"/>
      <c r="W59" s="5396"/>
      <c r="X59" s="5396"/>
      <c r="Y59" s="5396"/>
      <c r="Z59" s="5396"/>
      <c r="AA59" s="5396"/>
      <c r="AB59" s="5396"/>
      <c r="AC59" s="5396"/>
      <c r="AD59" s="5396"/>
      <c r="AE59" s="5396"/>
      <c r="AF59" s="5396"/>
      <c r="AG59" s="5396"/>
      <c r="AH59" s="5396"/>
      <c r="AI59" s="5396"/>
      <c r="AJ59" s="5396"/>
      <c r="AK59" s="5396"/>
      <c r="AL59" s="5396"/>
      <c r="AM59" s="5396"/>
    </row>
    <row r="60" spans="1:44" ht="64.5" customHeight="1">
      <c r="O60" s="444"/>
      <c r="P60" s="1184"/>
      <c r="T60" s="5396"/>
      <c r="U60" s="5396"/>
      <c r="V60" s="5396"/>
      <c r="W60" s="5396"/>
      <c r="X60" s="5396"/>
      <c r="Y60" s="5396"/>
      <c r="Z60" s="5396"/>
      <c r="AA60" s="5396"/>
      <c r="AB60" s="5396"/>
      <c r="AC60" s="5396"/>
      <c r="AD60" s="5396"/>
      <c r="AE60" s="5396"/>
      <c r="AF60" s="5396"/>
      <c r="AG60" s="5396"/>
      <c r="AH60" s="5396"/>
      <c r="AI60" s="5396"/>
      <c r="AJ60" s="5396"/>
      <c r="AK60" s="5396"/>
      <c r="AL60" s="5396"/>
      <c r="AM60" s="5396"/>
    </row>
    <row r="61" spans="1:44" ht="14.25" customHeight="1">
      <c r="O61" s="444"/>
    </row>
    <row r="62" spans="1:44" ht="18" customHeight="1">
      <c r="O62" s="444"/>
      <c r="P62" s="1207"/>
      <c r="S62" s="1136"/>
      <c r="T62" s="5396"/>
      <c r="U62" s="5396"/>
      <c r="V62" s="5396"/>
      <c r="W62" s="5396"/>
      <c r="X62" s="5396"/>
      <c r="Y62" s="5396"/>
      <c r="Z62" s="5396"/>
      <c r="AA62" s="5396"/>
      <c r="AB62" s="5396"/>
      <c r="AC62" s="5396"/>
      <c r="AD62" s="5396"/>
      <c r="AE62" s="5396"/>
      <c r="AF62" s="5396"/>
      <c r="AG62" s="5396"/>
      <c r="AH62" s="5396"/>
      <c r="AI62" s="5396"/>
      <c r="AJ62" s="5396"/>
      <c r="AK62" s="5396"/>
      <c r="AL62" s="5396"/>
      <c r="AM62" s="5396"/>
    </row>
    <row r="63" spans="1:44" ht="18" customHeight="1">
      <c r="O63" s="444"/>
      <c r="P63" s="1207"/>
      <c r="T63" s="5396"/>
      <c r="U63" s="5396"/>
      <c r="V63" s="5396"/>
      <c r="W63" s="5396"/>
      <c r="X63" s="5396"/>
      <c r="Y63" s="5396"/>
      <c r="Z63" s="5396"/>
      <c r="AA63" s="5396"/>
      <c r="AB63" s="5396"/>
      <c r="AC63" s="5396"/>
      <c r="AD63" s="5396"/>
      <c r="AE63" s="5396"/>
      <c r="AF63" s="5396"/>
      <c r="AG63" s="5396"/>
      <c r="AH63" s="5396"/>
      <c r="AI63" s="5396"/>
      <c r="AJ63" s="5396"/>
      <c r="AK63" s="5396"/>
      <c r="AL63" s="5396"/>
      <c r="AM63" s="5396"/>
    </row>
    <row r="64" spans="1:44" ht="27.75" customHeight="1">
      <c r="O64" s="444"/>
      <c r="P64" s="1207"/>
      <c r="S64" s="1136"/>
      <c r="T64" s="5396"/>
      <c r="U64" s="5396"/>
      <c r="V64" s="5396"/>
      <c r="W64" s="5396"/>
      <c r="X64" s="5396"/>
      <c r="Y64" s="5396"/>
      <c r="Z64" s="5396"/>
      <c r="AA64" s="5396"/>
      <c r="AB64" s="5396"/>
      <c r="AC64" s="5396"/>
      <c r="AD64" s="5396"/>
      <c r="AE64" s="5396"/>
      <c r="AF64" s="5396"/>
      <c r="AG64" s="5396"/>
      <c r="AH64" s="5396"/>
      <c r="AI64" s="5396"/>
      <c r="AJ64" s="5396"/>
      <c r="AK64" s="5396"/>
      <c r="AL64" s="5396"/>
      <c r="AM64" s="5396"/>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2" style="4854" hidden="1" customWidth="1"/>
    <col min="10" max="10" width="9.85546875" style="4854" hidden="1" customWidth="1"/>
    <col min="11" max="11" width="11.42578125" style="4854" hidden="1" customWidth="1"/>
    <col min="12" max="12" width="19.140625" style="4857" hidden="1" customWidth="1"/>
    <col min="13" max="14" width="12.28515625" style="4858" hidden="1" customWidth="1"/>
    <col min="15" max="15" width="23.42578125" style="4858" hidden="1" customWidth="1"/>
    <col min="16" max="16" width="3.7109375" style="4863" customWidth="1"/>
    <col min="17" max="18" width="3.7109375" style="4860" customWidth="1"/>
    <col min="19" max="19" width="12.7109375" style="4861" customWidth="1"/>
    <col min="20" max="20" width="32" style="4862" customWidth="1"/>
    <col min="21" max="21" width="0.140625" style="4862" customWidth="1"/>
    <col min="22" max="22" width="24.7109375" style="4862" hidden="1" customWidth="1"/>
    <col min="23" max="23" width="0.140625" style="4862" hidden="1" customWidth="1"/>
    <col min="24" max="25" width="24.7109375" style="4862" hidden="1" customWidth="1"/>
    <col min="26" max="26" width="11.7109375" style="4862" hidden="1" customWidth="1"/>
    <col min="27" max="27" width="3.7109375" style="4862" hidden="1" customWidth="1"/>
    <col min="28" max="28" width="11.7109375" style="4862" hidden="1" customWidth="1"/>
    <col min="29" max="29" width="8.5703125" style="4862" hidden="1" customWidth="1"/>
    <col min="30" max="30" width="24.7109375" style="4862" customWidth="1"/>
    <col min="31" max="31" width="0.140625" style="4862" customWidth="1"/>
    <col min="32" max="33" width="24.7109375" style="4862" customWidth="1"/>
    <col min="34" max="34" width="11.7109375" style="4862" customWidth="1"/>
    <col min="35" max="35" width="3.7109375" style="4862" customWidth="1"/>
    <col min="36" max="36" width="11.7109375" style="4862" customWidth="1"/>
    <col min="37" max="37" width="8.5703125" style="4862" hidden="1" customWidth="1"/>
    <col min="38" max="38" width="4.7109375" style="4862" customWidth="1"/>
    <col min="39" max="39" width="115.7109375" style="4862" customWidth="1"/>
    <col min="40" max="41" width="10.5703125" style="4856"/>
    <col min="42" max="42" width="11.140625" style="4856" customWidth="1"/>
    <col min="43" max="44" width="10.5703125" style="4856"/>
  </cols>
  <sheetData>
    <row r="1" spans="1:44" ht="14.25" hidden="1" customHeight="1">
      <c r="Y1" s="245"/>
      <c r="Z1" s="245"/>
      <c r="AG1" s="245"/>
      <c r="AH1" s="245"/>
    </row>
    <row r="2" spans="1:44" ht="21" hidden="1" customHeight="1">
      <c r="A2" s="1241"/>
      <c r="B2" s="1241"/>
      <c r="C2" s="1241"/>
      <c r="D2" s="1241"/>
      <c r="E2" s="5376">
        <v>1</v>
      </c>
      <c r="F2" s="1241"/>
      <c r="G2" s="1241"/>
      <c r="H2" s="1241"/>
      <c r="I2" s="1241"/>
      <c r="J2" s="1241"/>
      <c r="K2" s="1241"/>
      <c r="L2" s="1242"/>
      <c r="M2" s="1243"/>
      <c r="N2" s="1243"/>
      <c r="O2" s="1243"/>
      <c r="P2" s="278"/>
      <c r="Q2" s="277"/>
      <c r="R2" s="272"/>
      <c r="S2" s="1215" t="e">
        <f>INDEX(PT_DIFFERENTIATION_NUM_NTAR,MATCH(A2,PT_DIFFERENTIATION_NTAR_ID,0))</f>
        <v>#N/A</v>
      </c>
      <c r="T2" s="216" t="s">
        <v>141</v>
      </c>
      <c r="U2" s="218"/>
      <c r="V2" s="5362"/>
      <c r="W2" s="5363"/>
      <c r="X2" s="5363"/>
      <c r="Y2" s="5363"/>
      <c r="Z2" s="5363"/>
      <c r="AA2" s="5363"/>
      <c r="AB2" s="5363"/>
      <c r="AC2" s="5364"/>
      <c r="AD2" s="5362" t="e">
        <f>INDEX(PT_DIFFERENTIATION_NTAR,MATCH(A2,PT_DIFFERENTIATION_NTAR_ID,0))</f>
        <v>#N/A</v>
      </c>
      <c r="AE2" s="5363"/>
      <c r="AF2" s="5363"/>
      <c r="AG2" s="5363"/>
      <c r="AH2" s="5363"/>
      <c r="AI2" s="5363"/>
      <c r="AJ2" s="5363"/>
      <c r="AK2" s="5363"/>
      <c r="AL2" s="5364"/>
      <c r="AM2" s="1141" t="s">
        <v>474</v>
      </c>
      <c r="AO2" s="408"/>
      <c r="AP2" s="408" t="str">
        <f t="shared" ref="AP2:AP15" si="0">IF(T2="","",T2)</f>
        <v>Наименование тарифа</v>
      </c>
      <c r="AQ2" s="408"/>
      <c r="AR2" s="408"/>
    </row>
    <row r="3" spans="1:44" ht="21" hidden="1" customHeight="1">
      <c r="A3" s="1241"/>
      <c r="B3" s="1241"/>
      <c r="C3" s="1241"/>
      <c r="D3" s="1241"/>
      <c r="E3" s="5377"/>
      <c r="F3" s="5376">
        <v>1</v>
      </c>
      <c r="G3" s="1241"/>
      <c r="H3" s="1241"/>
      <c r="I3" s="1241"/>
      <c r="J3" s="1241"/>
      <c r="K3" s="1241"/>
      <c r="L3" s="1242"/>
      <c r="M3" s="1243"/>
      <c r="N3" s="1243"/>
      <c r="O3" s="1243"/>
      <c r="P3" s="1211"/>
      <c r="Q3" s="269"/>
      <c r="R3" s="270"/>
      <c r="S3" s="1215" t="e">
        <f>INDEX(PT_DIFFERENTIATION_NUM_TER,MATCH(B3,PT_DIFFERENTIATION_TER_ID,0))</f>
        <v>#N/A</v>
      </c>
      <c r="T3" s="226" t="s">
        <v>475</v>
      </c>
      <c r="U3" s="218"/>
      <c r="V3" s="5362"/>
      <c r="W3" s="5363"/>
      <c r="X3" s="5363"/>
      <c r="Y3" s="5363"/>
      <c r="Z3" s="5363"/>
      <c r="AA3" s="5363"/>
      <c r="AB3" s="5363"/>
      <c r="AC3" s="5364"/>
      <c r="AD3" s="5362" t="e">
        <f>INDEX(PT_DIFFERENTIATION_TER,MATCH(B3,PT_DIFFERENTIATION_TER_ID,0))</f>
        <v>#N/A</v>
      </c>
      <c r="AE3" s="5363"/>
      <c r="AF3" s="5363"/>
      <c r="AG3" s="5363"/>
      <c r="AH3" s="5363"/>
      <c r="AI3" s="5363"/>
      <c r="AJ3" s="5363"/>
      <c r="AK3" s="5363"/>
      <c r="AL3" s="5364"/>
      <c r="AM3" s="1141" t="s">
        <v>476</v>
      </c>
      <c r="AO3" s="408"/>
      <c r="AP3" s="408" t="str">
        <f t="shared" si="0"/>
        <v>Территория действия тарифа</v>
      </c>
      <c r="AQ3" s="408"/>
      <c r="AR3" s="408"/>
    </row>
    <row r="4" spans="1:44" ht="23.25" hidden="1" customHeight="1">
      <c r="A4" s="1241"/>
      <c r="B4" s="1241"/>
      <c r="C4" s="1241"/>
      <c r="D4" s="1241"/>
      <c r="E4" s="5377"/>
      <c r="F4" s="5377"/>
      <c r="G4" s="5376">
        <v>1</v>
      </c>
      <c r="H4" s="1241"/>
      <c r="I4" s="1241"/>
      <c r="J4" s="1241"/>
      <c r="K4" s="1241"/>
      <c r="L4" s="1242"/>
      <c r="M4" s="1243"/>
      <c r="N4" s="1243"/>
      <c r="O4" s="1243"/>
      <c r="P4" s="271"/>
      <c r="Q4" s="269"/>
      <c r="R4" s="270"/>
      <c r="S4" s="1215" t="e">
        <f>INDEX(PT_DIFFERENTIATION_NUM_CS,MATCH(C4,PT_DIFFERENTIATION_CS_ID,0))</f>
        <v>#N/A</v>
      </c>
      <c r="T4" s="227" t="s">
        <v>477</v>
      </c>
      <c r="U4" s="218"/>
      <c r="V4" s="5362"/>
      <c r="W4" s="5363"/>
      <c r="X4" s="5363"/>
      <c r="Y4" s="5363"/>
      <c r="Z4" s="5363"/>
      <c r="AA4" s="5363"/>
      <c r="AB4" s="5363"/>
      <c r="AC4" s="5364"/>
      <c r="AD4" s="5362" t="e">
        <f>INDEX(PT_DIFFERENTIATION_CS,MATCH(C4,PT_DIFFERENTIATION_CS_ID,0))</f>
        <v>#N/A</v>
      </c>
      <c r="AE4" s="5363"/>
      <c r="AF4" s="5363"/>
      <c r="AG4" s="5363"/>
      <c r="AH4" s="5363"/>
      <c r="AI4" s="5363"/>
      <c r="AJ4" s="5363"/>
      <c r="AK4" s="5363"/>
      <c r="AL4" s="5364"/>
      <c r="AM4" s="1141" t="s">
        <v>478</v>
      </c>
      <c r="AO4" s="408"/>
      <c r="AP4" s="408" t="str">
        <f t="shared" si="0"/>
        <v xml:space="preserve">Наименование системы теплоснабжения </v>
      </c>
      <c r="AQ4" s="408"/>
      <c r="AR4" s="408"/>
    </row>
    <row r="5" spans="1:44" ht="21" hidden="1" customHeight="1">
      <c r="A5" s="1241"/>
      <c r="B5" s="1241"/>
      <c r="C5" s="1241"/>
      <c r="D5" s="1241"/>
      <c r="E5" s="5377"/>
      <c r="F5" s="5377"/>
      <c r="G5" s="5377"/>
      <c r="H5" s="5376">
        <v>1</v>
      </c>
      <c r="I5" s="1241"/>
      <c r="J5" s="1241"/>
      <c r="K5" s="1241"/>
      <c r="L5" s="1242"/>
      <c r="M5" s="1243"/>
      <c r="N5" s="1243"/>
      <c r="O5" s="1243"/>
      <c r="P5" s="271"/>
      <c r="Q5" s="269"/>
      <c r="R5" s="270"/>
      <c r="S5" s="1215" t="e">
        <f>INDEX(PT_DIFFERENTIATION_NUM_IST_TE,MATCH(D5,PT_DIFFERENTIATION_IST_TE_ID,0))</f>
        <v>#N/A</v>
      </c>
      <c r="T5" s="228" t="s">
        <v>479</v>
      </c>
      <c r="U5" s="218"/>
      <c r="V5" s="5362"/>
      <c r="W5" s="5363"/>
      <c r="X5" s="5363"/>
      <c r="Y5" s="5363"/>
      <c r="Z5" s="5363"/>
      <c r="AA5" s="5363"/>
      <c r="AB5" s="5363"/>
      <c r="AC5" s="5364"/>
      <c r="AD5" s="5362" t="e">
        <f>INDEX(PT_DIFFERENTIATION_IST_TE,MATCH(D5,PT_DIFFERENTIATION_IST_TE_ID,0))</f>
        <v>#N/A</v>
      </c>
      <c r="AE5" s="5363"/>
      <c r="AF5" s="5363"/>
      <c r="AG5" s="5363"/>
      <c r="AH5" s="5363"/>
      <c r="AI5" s="5363"/>
      <c r="AJ5" s="5363"/>
      <c r="AK5" s="5363"/>
      <c r="AL5" s="5364"/>
      <c r="AM5" s="1141" t="s">
        <v>480</v>
      </c>
      <c r="AO5" s="408"/>
      <c r="AP5" s="408" t="str">
        <f t="shared" si="0"/>
        <v xml:space="preserve">Источник тепловой энергии  </v>
      </c>
      <c r="AQ5" s="408"/>
      <c r="AR5" s="408"/>
    </row>
    <row r="6" spans="1:44" ht="47.25" hidden="1" customHeight="1">
      <c r="A6" s="1241"/>
      <c r="B6" s="1241"/>
      <c r="C6" s="1241"/>
      <c r="D6" s="1241"/>
      <c r="E6" s="5377"/>
      <c r="F6" s="5377"/>
      <c r="G6" s="5377"/>
      <c r="H6" s="5377"/>
      <c r="I6" s="5374" t="e">
        <f>S5&amp;".1"</f>
        <v>#N/A</v>
      </c>
      <c r="J6" s="1241"/>
      <c r="K6" s="1241"/>
      <c r="L6" s="1242" t="s">
        <v>481</v>
      </c>
      <c r="M6" s="444"/>
      <c r="P6" s="5375">
        <v>1</v>
      </c>
      <c r="Q6" s="1210"/>
      <c r="R6" s="273"/>
      <c r="S6" s="1215" t="e">
        <f>$I6</f>
        <v>#N/A</v>
      </c>
      <c r="T6" s="203" t="s">
        <v>482</v>
      </c>
      <c r="U6" s="218"/>
      <c r="V6" s="5365"/>
      <c r="W6" s="5366"/>
      <c r="X6" s="5366"/>
      <c r="Y6" s="5366"/>
      <c r="Z6" s="5366"/>
      <c r="AA6" s="5366"/>
      <c r="AB6" s="5366"/>
      <c r="AC6" s="5367"/>
      <c r="AD6" s="5365"/>
      <c r="AE6" s="5366"/>
      <c r="AF6" s="5366"/>
      <c r="AG6" s="5366"/>
      <c r="AH6" s="5366"/>
      <c r="AI6" s="5366"/>
      <c r="AJ6" s="5366"/>
      <c r="AK6" s="5366"/>
      <c r="AL6" s="5367"/>
      <c r="AM6" s="1141" t="s">
        <v>483</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41"/>
      <c r="B7" s="1241"/>
      <c r="C7" s="1241"/>
      <c r="D7" s="1241"/>
      <c r="E7" s="5377"/>
      <c r="F7" s="5377"/>
      <c r="G7" s="5377"/>
      <c r="H7" s="5377"/>
      <c r="I7" s="5397"/>
      <c r="J7" s="5374" t="e">
        <f>I6&amp;".1"</f>
        <v>#N/A</v>
      </c>
      <c r="K7" s="1241"/>
      <c r="L7" s="1242" t="s">
        <v>484</v>
      </c>
      <c r="M7" s="444"/>
      <c r="N7" s="1244"/>
      <c r="P7" s="5375"/>
      <c r="Q7" s="5375">
        <v>1</v>
      </c>
      <c r="R7" s="274"/>
      <c r="S7" s="1215" t="e">
        <f>$J7</f>
        <v>#N/A</v>
      </c>
      <c r="T7" s="204" t="s">
        <v>485</v>
      </c>
      <c r="U7" s="218"/>
      <c r="V7" s="5365"/>
      <c r="W7" s="5366"/>
      <c r="X7" s="5366"/>
      <c r="Y7" s="5366"/>
      <c r="Z7" s="5366"/>
      <c r="AA7" s="5366"/>
      <c r="AB7" s="5366"/>
      <c r="AC7" s="5367"/>
      <c r="AD7" s="5365"/>
      <c r="AE7" s="5366"/>
      <c r="AF7" s="5366"/>
      <c r="AG7" s="5366"/>
      <c r="AH7" s="5366"/>
      <c r="AI7" s="5366"/>
      <c r="AJ7" s="5366"/>
      <c r="AK7" s="5366"/>
      <c r="AL7" s="5367"/>
      <c r="AM7" s="1141" t="s">
        <v>486</v>
      </c>
      <c r="AO7" s="408"/>
      <c r="AP7" s="408" t="str">
        <f t="shared" si="0"/>
        <v>Группа потребителей</v>
      </c>
      <c r="AQ7" s="408"/>
      <c r="AR7" s="408"/>
    </row>
    <row r="8" spans="1:44" ht="21" hidden="1" customHeight="1">
      <c r="A8" s="1241"/>
      <c r="B8" s="1241"/>
      <c r="C8" s="1241"/>
      <c r="D8" s="1241"/>
      <c r="E8" s="5377"/>
      <c r="F8" s="5377"/>
      <c r="G8" s="5377"/>
      <c r="H8" s="5377"/>
      <c r="I8" s="5397"/>
      <c r="J8" s="5397"/>
      <c r="K8" s="5374" t="e">
        <f>J7&amp;".1"</f>
        <v>#N/A</v>
      </c>
      <c r="L8" s="1242" t="s">
        <v>487</v>
      </c>
      <c r="M8" s="444"/>
      <c r="N8" s="1244"/>
      <c r="O8" s="1244"/>
      <c r="P8" s="5375"/>
      <c r="Q8" s="5375"/>
      <c r="R8" s="274">
        <v>1</v>
      </c>
      <c r="S8" s="1215" t="e">
        <f>$K8</f>
        <v>#N/A</v>
      </c>
      <c r="T8" s="1226"/>
      <c r="U8" s="218"/>
      <c r="V8" s="650"/>
      <c r="W8" s="243"/>
      <c r="X8" s="650"/>
      <c r="Y8" s="1140"/>
      <c r="Z8" s="5379"/>
      <c r="AA8" s="5225" t="s">
        <v>64</v>
      </c>
      <c r="AB8" s="5379"/>
      <c r="AC8" s="5225" t="s">
        <v>64</v>
      </c>
      <c r="AD8" s="650"/>
      <c r="AE8" s="243"/>
      <c r="AF8" s="650"/>
      <c r="AG8" s="1140"/>
      <c r="AH8" s="5379"/>
      <c r="AI8" s="5225" t="s">
        <v>64</v>
      </c>
      <c r="AJ8" s="5379"/>
      <c r="AK8" s="5225" t="s">
        <v>64</v>
      </c>
      <c r="AL8" s="243"/>
      <c r="AM8" s="5371" t="s">
        <v>488</v>
      </c>
      <c r="AN8" s="419" t="e">
        <f ca="1">STRCHECKDATE(V9:AL9)</f>
        <v>#NAME?</v>
      </c>
      <c r="AO8" s="408"/>
      <c r="AP8" s="408" t="str">
        <f t="shared" si="0"/>
        <v/>
      </c>
      <c r="AQ8" s="408"/>
      <c r="AR8" s="408"/>
    </row>
    <row r="9" spans="1:44" ht="0.75" hidden="1" customHeight="1">
      <c r="A9" s="1241"/>
      <c r="B9" s="1241"/>
      <c r="C9" s="1241"/>
      <c r="D9" s="1241"/>
      <c r="E9" s="5377"/>
      <c r="F9" s="5377"/>
      <c r="G9" s="5377"/>
      <c r="H9" s="5377"/>
      <c r="I9" s="5397"/>
      <c r="J9" s="5397"/>
      <c r="K9" s="5374"/>
      <c r="L9" s="1242"/>
      <c r="M9" s="444"/>
      <c r="N9" s="1244"/>
      <c r="O9" s="1244"/>
      <c r="P9" s="5375"/>
      <c r="Q9" s="5375"/>
      <c r="R9" s="274"/>
      <c r="S9" s="1221"/>
      <c r="T9" s="218"/>
      <c r="U9" s="218"/>
      <c r="V9" s="243"/>
      <c r="W9" s="243"/>
      <c r="X9" s="243"/>
      <c r="Y9" s="246" t="str">
        <f>Z8&amp;"-"&amp;AB8</f>
        <v>-</v>
      </c>
      <c r="Z9" s="5380"/>
      <c r="AA9" s="5225"/>
      <c r="AB9" s="5380"/>
      <c r="AC9" s="5225"/>
      <c r="AD9" s="243"/>
      <c r="AE9" s="243"/>
      <c r="AF9" s="243"/>
      <c r="AG9" s="246" t="str">
        <f>AH8&amp;"-"&amp;AJ8</f>
        <v>-</v>
      </c>
      <c r="AH9" s="5380"/>
      <c r="AI9" s="5225"/>
      <c r="AJ9" s="5380"/>
      <c r="AK9" s="5225"/>
      <c r="AL9" s="243"/>
      <c r="AM9" s="5372"/>
      <c r="AO9" s="408"/>
      <c r="AP9" s="408" t="str">
        <f t="shared" si="0"/>
        <v/>
      </c>
      <c r="AQ9" s="408"/>
      <c r="AR9" s="408"/>
    </row>
    <row r="10" spans="1:44" ht="15" hidden="1" customHeight="1">
      <c r="A10" s="1241"/>
      <c r="B10" s="1241"/>
      <c r="C10" s="1241"/>
      <c r="D10" s="1241"/>
      <c r="E10" s="5377"/>
      <c r="F10" s="5377"/>
      <c r="G10" s="5377"/>
      <c r="H10" s="5377"/>
      <c r="I10" s="5397"/>
      <c r="J10" s="5374"/>
      <c r="K10" s="1241"/>
      <c r="L10" s="1242"/>
      <c r="M10" s="444"/>
      <c r="N10" s="1244"/>
      <c r="P10" s="5375"/>
      <c r="Q10" s="5375"/>
      <c r="R10" s="273"/>
      <c r="S10" s="1161"/>
      <c r="T10" s="206" t="s">
        <v>489</v>
      </c>
      <c r="U10" s="283"/>
      <c r="V10" s="283"/>
      <c r="W10" s="283"/>
      <c r="X10" s="283"/>
      <c r="Y10" s="283"/>
      <c r="Z10" s="283"/>
      <c r="AA10" s="283"/>
      <c r="AB10" s="283"/>
      <c r="AC10" s="283"/>
      <c r="AD10" s="283"/>
      <c r="AE10" s="283"/>
      <c r="AF10" s="283"/>
      <c r="AG10" s="283"/>
      <c r="AH10" s="283"/>
      <c r="AI10" s="283"/>
      <c r="AJ10" s="283"/>
      <c r="AK10" s="283"/>
      <c r="AL10" s="242"/>
      <c r="AM10" s="5373"/>
      <c r="AO10" s="408"/>
      <c r="AP10" s="408" t="str">
        <f t="shared" si="0"/>
        <v>Добавить вид теплоносителя (параметры теплоносителя)</v>
      </c>
      <c r="AQ10" s="408"/>
      <c r="AR10" s="408"/>
    </row>
    <row r="11" spans="1:44" ht="15" hidden="1" customHeight="1">
      <c r="A11" s="1241"/>
      <c r="B11" s="1241"/>
      <c r="C11" s="1241"/>
      <c r="D11" s="1241"/>
      <c r="E11" s="5377"/>
      <c r="F11" s="5377"/>
      <c r="G11" s="5377"/>
      <c r="H11" s="5377"/>
      <c r="I11" s="5374"/>
      <c r="J11" s="1241"/>
      <c r="K11" s="1241"/>
      <c r="L11" s="1242"/>
      <c r="M11" s="444"/>
      <c r="P11" s="5375"/>
      <c r="Q11" s="1210"/>
      <c r="R11" s="273"/>
      <c r="S11" s="1161"/>
      <c r="T11" s="205" t="s">
        <v>490</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1"/>
      <c r="B12" s="1241"/>
      <c r="C12" s="1241"/>
      <c r="D12" s="1241"/>
      <c r="E12" s="5377"/>
      <c r="F12" s="5377"/>
      <c r="G12" s="5377"/>
      <c r="H12" s="5376"/>
      <c r="I12" s="1241"/>
      <c r="J12" s="1241"/>
      <c r="K12" s="1241"/>
      <c r="L12" s="1242"/>
      <c r="M12" s="1243"/>
      <c r="N12" s="1243"/>
      <c r="O12" s="444"/>
      <c r="P12" s="277"/>
      <c r="Q12" s="291"/>
      <c r="R12" s="272"/>
      <c r="S12" s="1161"/>
      <c r="T12" s="281" t="s">
        <v>491</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4853" customFormat="1" ht="0.75" hidden="1" customHeight="1">
      <c r="A13" s="1194"/>
      <c r="B13" s="1194"/>
      <c r="C13" s="1194"/>
      <c r="D13" s="1194"/>
      <c r="E13" s="5377"/>
      <c r="F13" s="5377"/>
      <c r="G13" s="5376"/>
      <c r="H13" s="1194"/>
      <c r="I13" s="1194"/>
      <c r="J13" s="1194"/>
      <c r="K13" s="1194"/>
      <c r="L13" s="1218"/>
      <c r="M13" s="1195"/>
      <c r="N13" s="1195"/>
      <c r="P13" s="1196"/>
      <c r="Q13" s="1197"/>
      <c r="R13" s="1196"/>
      <c r="S13" s="1198"/>
      <c r="T13" s="1199" t="s">
        <v>492</v>
      </c>
      <c r="U13" s="1200"/>
      <c r="V13" s="1200"/>
      <c r="W13" s="1200"/>
      <c r="X13" s="1200"/>
      <c r="Y13" s="1200"/>
      <c r="Z13" s="1200"/>
      <c r="AA13" s="1200"/>
      <c r="AB13" s="1200"/>
      <c r="AC13" s="1200"/>
      <c r="AD13" s="1200"/>
      <c r="AE13" s="1200"/>
      <c r="AF13" s="1200"/>
      <c r="AG13" s="1200"/>
      <c r="AH13" s="1200"/>
      <c r="AI13" s="1200"/>
      <c r="AJ13" s="1200"/>
      <c r="AK13" s="1200"/>
      <c r="AL13" s="1200"/>
      <c r="AM13" s="1200"/>
      <c r="AO13" s="688"/>
      <c r="AP13" s="688" t="str">
        <f t="shared" si="0"/>
        <v>Добавить источник для дифференциации</v>
      </c>
      <c r="AQ13" s="688"/>
      <c r="AR13" s="688"/>
    </row>
    <row r="14" spans="1:44" s="4853" customFormat="1" ht="0.75" hidden="1" customHeight="1">
      <c r="A14" s="1194"/>
      <c r="B14" s="1194"/>
      <c r="C14" s="1194"/>
      <c r="D14" s="1194"/>
      <c r="E14" s="5377"/>
      <c r="F14" s="5376"/>
      <c r="G14" s="1194"/>
      <c r="H14" s="1194"/>
      <c r="I14" s="1194"/>
      <c r="J14" s="1194"/>
      <c r="K14" s="1194"/>
      <c r="L14" s="1218"/>
      <c r="M14" s="1201"/>
      <c r="N14" s="1201"/>
      <c r="P14" s="1196"/>
      <c r="Q14" s="1197"/>
      <c r="R14" s="1196"/>
      <c r="S14" s="1202"/>
      <c r="T14" s="1203" t="s">
        <v>271</v>
      </c>
      <c r="U14" s="1204"/>
      <c r="V14" s="1204"/>
      <c r="W14" s="1204"/>
      <c r="X14" s="1204"/>
      <c r="Y14" s="1204"/>
      <c r="Z14" s="1204"/>
      <c r="AA14" s="1204"/>
      <c r="AB14" s="1204"/>
      <c r="AC14" s="1204"/>
      <c r="AD14" s="1204"/>
      <c r="AE14" s="1204"/>
      <c r="AF14" s="1204"/>
      <c r="AG14" s="1204"/>
      <c r="AH14" s="1204"/>
      <c r="AI14" s="1204"/>
      <c r="AJ14" s="1204"/>
      <c r="AK14" s="1204"/>
      <c r="AL14" s="1204"/>
      <c r="AM14" s="1204"/>
      <c r="AO14" s="688"/>
      <c r="AP14" s="688" t="str">
        <f t="shared" si="0"/>
        <v>Добавить централизованную систему для дифференциации</v>
      </c>
      <c r="AQ14" s="688"/>
      <c r="AR14" s="688"/>
    </row>
    <row r="15" spans="1:44" s="4853" customFormat="1" ht="0.75" hidden="1" customHeight="1">
      <c r="A15" s="1194"/>
      <c r="B15" s="1194"/>
      <c r="C15" s="1194"/>
      <c r="D15" s="1194"/>
      <c r="E15" s="5376"/>
      <c r="F15" s="1194"/>
      <c r="G15" s="1194"/>
      <c r="H15" s="1194"/>
      <c r="I15" s="1194"/>
      <c r="J15" s="1194"/>
      <c r="K15" s="1194"/>
      <c r="L15" s="1218"/>
      <c r="M15" s="1201"/>
      <c r="N15" s="1201"/>
      <c r="P15" s="1196"/>
      <c r="Q15" s="1197"/>
      <c r="R15" s="1196"/>
      <c r="S15" s="1202"/>
      <c r="T15" s="1205" t="s">
        <v>330</v>
      </c>
      <c r="U15" s="1204"/>
      <c r="V15" s="1204"/>
      <c r="W15" s="1204"/>
      <c r="X15" s="1204"/>
      <c r="Y15" s="1204"/>
      <c r="Z15" s="1204"/>
      <c r="AA15" s="1204"/>
      <c r="AB15" s="1204"/>
      <c r="AC15" s="1204"/>
      <c r="AD15" s="1204"/>
      <c r="AE15" s="1204"/>
      <c r="AF15" s="1204"/>
      <c r="AG15" s="1204"/>
      <c r="AH15" s="1204"/>
      <c r="AI15" s="1204"/>
      <c r="AJ15" s="1204"/>
      <c r="AK15" s="1204"/>
      <c r="AL15" s="1204"/>
      <c r="AM15" s="1204"/>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8"/>
      <c r="AE17" s="1238"/>
      <c r="AF17" s="1238"/>
      <c r="AG17" s="1239"/>
      <c r="AH17" s="5381"/>
      <c r="AI17" s="5382" t="s">
        <v>64</v>
      </c>
      <c r="AJ17" s="5381"/>
      <c r="AK17" s="5382" t="s">
        <v>64</v>
      </c>
    </row>
    <row r="18" spans="1:44" ht="14.25" hidden="1" customHeight="1">
      <c r="AD18" s="1238"/>
      <c r="AE18" s="1238"/>
      <c r="AF18" s="1238"/>
      <c r="AG18" s="246" t="str">
        <f>AH17&amp;"-"&amp;AJ17</f>
        <v>-</v>
      </c>
      <c r="AH18" s="5382"/>
      <c r="AI18" s="5382"/>
      <c r="AJ18" s="5382"/>
      <c r="AK18" s="5382"/>
    </row>
    <row r="19" spans="1:44" ht="14.25" hidden="1" customHeight="1">
      <c r="AK19" s="245"/>
    </row>
    <row r="20" spans="1:44" s="4854" customFormat="1" ht="22.5" hidden="1" customHeight="1">
      <c r="L20" s="1208"/>
      <c r="M20" s="1240"/>
      <c r="N20" s="1240"/>
      <c r="O20" s="1245" t="s">
        <v>493</v>
      </c>
      <c r="P20" s="1240"/>
      <c r="Q20" s="1249"/>
      <c r="R20" s="1249"/>
      <c r="S20" s="630"/>
      <c r="Z20" s="1245"/>
      <c r="AB20" s="1245"/>
      <c r="AC20" s="1244"/>
      <c r="AH20" s="1245"/>
      <c r="AJ20" s="1245"/>
      <c r="AK20" s="1244"/>
      <c r="AN20" s="419"/>
      <c r="AO20" s="419"/>
      <c r="AP20" s="419"/>
      <c r="AQ20" s="419"/>
      <c r="AR20" s="419"/>
    </row>
    <row r="21" spans="1:44" s="4854" customFormat="1" ht="14.25" hidden="1" customHeight="1">
      <c r="L21" s="1208"/>
      <c r="M21" s="1240"/>
      <c r="N21" s="1240"/>
      <c r="O21" s="1240"/>
      <c r="P21" s="1240"/>
      <c r="Q21" s="1249"/>
      <c r="R21" s="1249"/>
      <c r="S21" s="630"/>
      <c r="AC21" s="1244"/>
      <c r="AK21" s="1244"/>
      <c r="AN21" s="419"/>
      <c r="AO21" s="419"/>
      <c r="AP21" s="419"/>
      <c r="AQ21" s="419"/>
      <c r="AR21" s="419"/>
    </row>
    <row r="22" spans="1:44" s="4854" customFormat="1" ht="14.25" hidden="1" customHeight="1">
      <c r="L22" s="1208"/>
      <c r="M22" s="1240"/>
      <c r="N22" s="1240"/>
      <c r="O22" s="1242" t="s">
        <v>494</v>
      </c>
      <c r="P22" s="1240"/>
      <c r="Q22" s="1249"/>
      <c r="R22" s="1249"/>
      <c r="S22" s="630"/>
      <c r="T22" s="1042" t="s">
        <v>495</v>
      </c>
      <c r="AA22" s="108" t="s">
        <v>496</v>
      </c>
      <c r="AC22" s="108" t="s">
        <v>497</v>
      </c>
      <c r="AD22" s="1042" t="s">
        <v>495</v>
      </c>
      <c r="AI22" s="108" t="s">
        <v>498</v>
      </c>
      <c r="AK22" s="108" t="s">
        <v>497</v>
      </c>
      <c r="AN22" s="419"/>
      <c r="AO22" s="419"/>
      <c r="AP22" s="419"/>
      <c r="AQ22" s="419"/>
      <c r="AR22" s="419"/>
    </row>
    <row r="23" spans="1:44" ht="14.25" hidden="1" customHeight="1">
      <c r="O23" s="1242"/>
    </row>
    <row r="24" spans="1:44" ht="14.25" hidden="1" customHeight="1">
      <c r="O24" s="1242"/>
    </row>
    <row r="25" spans="1:44" ht="14.25" customHeight="1">
      <c r="Q25" s="292"/>
      <c r="R25" s="292"/>
      <c r="S25" s="1158"/>
      <c r="T25" s="280"/>
      <c r="U25" s="280"/>
      <c r="V25" s="417"/>
      <c r="W25" s="417"/>
      <c r="X25" s="417"/>
      <c r="Y25" s="417"/>
      <c r="Z25" s="417"/>
      <c r="AA25" s="417"/>
      <c r="AB25" s="417"/>
      <c r="AC25" s="417"/>
      <c r="AD25" s="417"/>
      <c r="AE25" s="417"/>
      <c r="AF25" s="417"/>
      <c r="AG25" s="417"/>
      <c r="AH25" s="417"/>
      <c r="AI25" s="417"/>
      <c r="AJ25" s="417"/>
      <c r="AK25" s="417"/>
    </row>
    <row r="26" spans="1:44" ht="14.25" customHeight="1">
      <c r="Q26" s="292"/>
      <c r="R26" s="292"/>
      <c r="S26" s="53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60"/>
      <c r="U26" s="5360"/>
      <c r="V26" s="5360"/>
      <c r="W26" s="5360"/>
      <c r="X26" s="5360"/>
      <c r="Y26" s="5360"/>
      <c r="Z26" s="5360"/>
      <c r="AA26" s="5360"/>
      <c r="AB26" s="5360"/>
      <c r="AC26" s="5360"/>
      <c r="AD26" s="5360"/>
      <c r="AE26" s="5360"/>
      <c r="AF26" s="5360"/>
      <c r="AG26" s="5360"/>
      <c r="AH26" s="5360"/>
      <c r="AI26" s="5360"/>
      <c r="AJ26" s="5360"/>
      <c r="AK26" s="1126"/>
    </row>
    <row r="27" spans="1:44" ht="14.25" customHeight="1">
      <c r="Q27" s="292"/>
      <c r="R27" s="292"/>
      <c r="S27" s="5308" t="str">
        <f>IF(org=0,"Не определено",org)</f>
        <v>ООО «Газпром теплоэнерго МО»</v>
      </c>
      <c r="T27" s="5308"/>
      <c r="U27" s="5308"/>
      <c r="V27" s="5308"/>
      <c r="W27" s="5308"/>
      <c r="X27" s="5308"/>
      <c r="Y27" s="5308"/>
      <c r="Z27" s="5308"/>
      <c r="AA27" s="5308"/>
      <c r="AB27" s="5308"/>
      <c r="AC27" s="5308"/>
      <c r="AD27" s="5308"/>
      <c r="AE27" s="5308"/>
      <c r="AF27" s="5308"/>
      <c r="AG27" s="5308"/>
      <c r="AH27" s="5308"/>
      <c r="AI27" s="5308"/>
      <c r="AJ27" s="5308"/>
      <c r="AK27" s="1126"/>
    </row>
    <row r="28" spans="1:44" ht="14.25" customHeight="1">
      <c r="Q28" s="292"/>
      <c r="R28" s="292"/>
      <c r="S28" s="1158"/>
      <c r="T28" s="280"/>
      <c r="U28" s="280"/>
      <c r="V28" s="240"/>
      <c r="W28" s="240"/>
      <c r="X28" s="240"/>
      <c r="Y28" s="240"/>
      <c r="Z28" s="240"/>
      <c r="AA28" s="240"/>
      <c r="AB28" s="240"/>
      <c r="AC28" s="240"/>
      <c r="AD28" s="240"/>
      <c r="AE28" s="240"/>
      <c r="AF28" s="240"/>
      <c r="AG28" s="240"/>
      <c r="AH28" s="240"/>
      <c r="AI28" s="240"/>
      <c r="AJ28" s="240"/>
      <c r="AK28" s="240"/>
      <c r="AL28" s="417"/>
    </row>
    <row r="29" spans="1:44" s="4855" customFormat="1" ht="25.5" customHeight="1">
      <c r="A29" s="1246"/>
      <c r="B29" s="1246"/>
      <c r="C29" s="1246"/>
      <c r="D29" s="1246"/>
      <c r="E29" s="1246"/>
      <c r="F29" s="1246"/>
      <c r="G29" s="1246"/>
      <c r="H29" s="1246"/>
      <c r="I29" s="1246"/>
      <c r="J29" s="1246"/>
      <c r="K29" s="1246"/>
      <c r="L29" s="1247"/>
      <c r="M29" s="1246"/>
      <c r="N29" s="1246"/>
      <c r="O29" s="1246"/>
      <c r="S29" s="5368" t="s">
        <v>38</v>
      </c>
      <c r="T29" s="5368"/>
      <c r="U29" s="1250"/>
      <c r="V29" s="5369" t="str">
        <f>IF(TITLE_NAME_OR_PR_CHANGE="",IF(TITLE_NAME_OR_PR="","",TITLE_NAME_OR_PR),TITLE_NAME_OR_PR_CHANGE)</f>
        <v>Комитет по ценам и тарифам Московской области</v>
      </c>
      <c r="W29" s="5369"/>
      <c r="X29" s="5369"/>
      <c r="Y29" s="5369"/>
      <c r="Z29" s="5369"/>
      <c r="AA29" s="5369"/>
      <c r="AB29" s="5369"/>
      <c r="AC29" s="244"/>
      <c r="AD29" s="5369" t="str">
        <f>IF(TITLE_NAME_OR_PR_CHANGE="",IF(TITLE_NAME_OR_PR="","",TITLE_NAME_OR_PR),TITLE_NAME_OR_PR_CHANGE)</f>
        <v>Комитет по ценам и тарифам Московской области</v>
      </c>
      <c r="AE29" s="5369"/>
      <c r="AF29" s="5369"/>
      <c r="AG29" s="5369"/>
      <c r="AH29" s="5369"/>
      <c r="AI29" s="5369"/>
      <c r="AJ29" s="5369"/>
      <c r="AK29" s="244"/>
      <c r="AL29" s="244"/>
      <c r="AM29" s="199"/>
      <c r="AN29" s="284"/>
      <c r="AO29" s="284"/>
      <c r="AP29" s="284"/>
      <c r="AQ29" s="284"/>
      <c r="AR29" s="284"/>
    </row>
    <row r="30" spans="1:44" s="4855" customFormat="1" ht="18.75" customHeight="1">
      <c r="A30" s="1246"/>
      <c r="B30" s="1246"/>
      <c r="C30" s="1246"/>
      <c r="D30" s="1246"/>
      <c r="E30" s="1246"/>
      <c r="F30" s="1246"/>
      <c r="G30" s="1246"/>
      <c r="H30" s="1246"/>
      <c r="I30" s="1246"/>
      <c r="J30" s="1246"/>
      <c r="K30" s="1246"/>
      <c r="L30" s="1247"/>
      <c r="M30" s="1246"/>
      <c r="N30" s="1246"/>
      <c r="O30" s="1246"/>
      <c r="S30" s="5368" t="s">
        <v>499</v>
      </c>
      <c r="T30" s="5368"/>
      <c r="U30" s="1250"/>
      <c r="V30" s="5378">
        <f>IF(TITLE_DATE_PR_CHANGE="",IF(TITLE_DATE_PR="","",TITLE_DATE_PR),TITLE_DATE_PR_CHANGE)</f>
        <v>45280</v>
      </c>
      <c r="W30" s="5378"/>
      <c r="X30" s="5378"/>
      <c r="Y30" s="5378"/>
      <c r="Z30" s="5378"/>
      <c r="AA30" s="5378"/>
      <c r="AB30" s="5378"/>
      <c r="AC30" s="244"/>
      <c r="AD30" s="5378">
        <f>IF(TITLE_DATE_PR_CHANGE="",IF(TITLE_DATE_PR="","",TITLE_DATE_PR),TITLE_DATE_PR_CHANGE)</f>
        <v>45280</v>
      </c>
      <c r="AE30" s="5378"/>
      <c r="AF30" s="5378"/>
      <c r="AG30" s="5378"/>
      <c r="AH30" s="5378"/>
      <c r="AI30" s="5378"/>
      <c r="AJ30" s="5378"/>
      <c r="AK30" s="244"/>
      <c r="AL30" s="244"/>
      <c r="AM30" s="199"/>
      <c r="AN30" s="284"/>
      <c r="AO30" s="284"/>
      <c r="AP30" s="284"/>
      <c r="AQ30" s="284"/>
      <c r="AR30" s="284"/>
    </row>
    <row r="31" spans="1:44" s="4855" customFormat="1" ht="18.75" customHeight="1">
      <c r="A31" s="1246"/>
      <c r="B31" s="1246"/>
      <c r="C31" s="1246"/>
      <c r="D31" s="1246"/>
      <c r="E31" s="1246"/>
      <c r="F31" s="1246"/>
      <c r="G31" s="1246"/>
      <c r="H31" s="1246"/>
      <c r="I31" s="1246"/>
      <c r="J31" s="1246"/>
      <c r="K31" s="1246"/>
      <c r="L31" s="1247"/>
      <c r="M31" s="1246"/>
      <c r="N31" s="1246"/>
      <c r="O31" s="1246"/>
      <c r="S31" s="5368" t="s">
        <v>500</v>
      </c>
      <c r="T31" s="5368"/>
      <c r="U31" s="1250"/>
      <c r="V31" s="5369" t="str">
        <f>IF(TITLE_NUMBER_PR_CHANGE="",IF(TITLE_NUMBER_PR="","",TITLE_NUMBER_PR),TITLE_NUMBER_PR_CHANGE)</f>
        <v>317-Р</v>
      </c>
      <c r="W31" s="5369"/>
      <c r="X31" s="5369"/>
      <c r="Y31" s="5369"/>
      <c r="Z31" s="5369"/>
      <c r="AA31" s="5369"/>
      <c r="AB31" s="5369"/>
      <c r="AC31" s="244"/>
      <c r="AD31" s="5369" t="str">
        <f>IF(TITLE_NUMBER_PR_CHANGE="",IF(TITLE_NUMBER_PR="","",TITLE_NUMBER_PR),TITLE_NUMBER_PR_CHANGE)</f>
        <v>317-Р</v>
      </c>
      <c r="AE31" s="5369"/>
      <c r="AF31" s="5369"/>
      <c r="AG31" s="5369"/>
      <c r="AH31" s="5369"/>
      <c r="AI31" s="5369"/>
      <c r="AJ31" s="5369"/>
      <c r="AK31" s="244"/>
      <c r="AL31" s="244"/>
      <c r="AM31" s="199"/>
      <c r="AN31" s="284"/>
      <c r="AO31" s="284"/>
      <c r="AP31" s="284"/>
      <c r="AQ31" s="284"/>
      <c r="AR31" s="284"/>
    </row>
    <row r="32" spans="1:44" s="4855" customFormat="1" ht="18.75" customHeight="1">
      <c r="A32" s="1246"/>
      <c r="B32" s="1246"/>
      <c r="C32" s="1246"/>
      <c r="D32" s="1246"/>
      <c r="E32" s="1246"/>
      <c r="F32" s="1246"/>
      <c r="G32" s="1246"/>
      <c r="H32" s="1246"/>
      <c r="I32" s="1246"/>
      <c r="J32" s="1246"/>
      <c r="K32" s="1246"/>
      <c r="L32" s="1247"/>
      <c r="M32" s="1246"/>
      <c r="N32" s="1246"/>
      <c r="O32" s="1246"/>
      <c r="S32" s="5368" t="s">
        <v>40</v>
      </c>
      <c r="T32" s="5368"/>
      <c r="U32" s="1250"/>
      <c r="V32" s="5369" t="str">
        <f>IF(TITLE_IST_PUB_CHANGE="",IF(TITLE_IST_PUB="","",TITLE_IST_PUB),TITLE_IST_PUB_CHANGE)</f>
        <v>https://ktc.mosreg.ru/dokumenty/normotvorchestvo/rasporyazheniya/gosudarstvennoe-regulirovanie-tarifov-na-teplovuyu-energiyu-raspor/29-12-2023-16-47-50-rasporyazhenie-komiteta-po-tsenam-i-tarifam-moskov</v>
      </c>
      <c r="W32" s="5369"/>
      <c r="X32" s="5369"/>
      <c r="Y32" s="5369"/>
      <c r="Z32" s="5369"/>
      <c r="AA32" s="5369"/>
      <c r="AB32" s="5369"/>
      <c r="AC32" s="244"/>
      <c r="AD32" s="5369" t="str">
        <f>IF(TITLE_IST_PUB_CHANGE="",IF(TITLE_IST_PUB="","",TITLE_IST_PUB),TITLE_IST_PUB_CHANGE)</f>
        <v>https://ktc.mosreg.ru/dokumenty/normotvorchestvo/rasporyazheniya/gosudarstvennoe-regulirovanie-tarifov-na-teplovuyu-energiyu-raspor/29-12-2023-16-47-50-rasporyazhenie-komiteta-po-tsenam-i-tarifam-moskov</v>
      </c>
      <c r="AE32" s="5369"/>
      <c r="AF32" s="5369"/>
      <c r="AG32" s="5369"/>
      <c r="AH32" s="5369"/>
      <c r="AI32" s="5369"/>
      <c r="AJ32" s="5369"/>
      <c r="AK32" s="244"/>
      <c r="AL32" s="244"/>
      <c r="AM32" s="199"/>
      <c r="AN32" s="284"/>
      <c r="AO32" s="284"/>
      <c r="AP32" s="284"/>
      <c r="AQ32" s="284"/>
      <c r="AR32" s="284"/>
    </row>
    <row r="33" spans="1:44" ht="14.25" hidden="1" customHeight="1">
      <c r="Q33" s="292"/>
      <c r="R33" s="292"/>
      <c r="S33" s="1158"/>
      <c r="T33" s="280"/>
      <c r="U33" s="280"/>
      <c r="V33" s="240"/>
      <c r="W33" s="240"/>
      <c r="X33" s="240"/>
      <c r="Y33" s="240"/>
      <c r="Z33" s="240"/>
      <c r="AA33" s="240"/>
      <c r="AB33" s="240"/>
      <c r="AC33" s="240"/>
      <c r="AD33" s="240"/>
      <c r="AE33" s="240"/>
      <c r="AF33" s="240"/>
      <c r="AG33" s="240"/>
      <c r="AH33" s="240"/>
      <c r="AI33" s="240"/>
      <c r="AJ33" s="240"/>
      <c r="AK33" s="240"/>
      <c r="AL33" s="417"/>
    </row>
    <row r="34" spans="1:44" s="4855" customFormat="1" ht="18.75" hidden="1" customHeight="1">
      <c r="A34" s="1246"/>
      <c r="B34" s="1246"/>
      <c r="C34" s="1246"/>
      <c r="D34" s="1246"/>
      <c r="E34" s="1246"/>
      <c r="F34" s="1246"/>
      <c r="G34" s="1246"/>
      <c r="H34" s="1246"/>
      <c r="I34" s="1246"/>
      <c r="J34" s="1246"/>
      <c r="K34" s="1246"/>
      <c r="L34" s="1247"/>
      <c r="M34" s="1246"/>
      <c r="N34" s="1246"/>
      <c r="O34" s="1246"/>
      <c r="S34" s="5368" t="s">
        <v>501</v>
      </c>
      <c r="T34" s="5368"/>
      <c r="U34" s="1250"/>
      <c r="V34" s="5378">
        <f>IF(TITLE_DATE_PR_CHANGE="",IF(TITLE_DATE_PR="","",TITLE_DATE_PR),TITLE_DATE_PR_CHANGE)</f>
        <v>45280</v>
      </c>
      <c r="W34" s="5378"/>
      <c r="X34" s="5378"/>
      <c r="Y34" s="5378"/>
      <c r="Z34" s="5378"/>
      <c r="AA34" s="5378"/>
      <c r="AB34" s="5378"/>
      <c r="AC34" s="244"/>
      <c r="AD34" s="5378">
        <f>IF(TITLE_DATE_PR_CHANGE="",IF(TITLE_DATE_PR="","",TITLE_DATE_PR),TITLE_DATE_PR_CHANGE)</f>
        <v>45280</v>
      </c>
      <c r="AE34" s="5378"/>
      <c r="AF34" s="5378"/>
      <c r="AG34" s="5378"/>
      <c r="AH34" s="5378"/>
      <c r="AI34" s="5378"/>
      <c r="AJ34" s="5378"/>
      <c r="AK34" s="244"/>
      <c r="AL34" s="244"/>
      <c r="AM34" s="199"/>
      <c r="AN34" s="284"/>
      <c r="AO34" s="284"/>
      <c r="AP34" s="284"/>
      <c r="AQ34" s="284"/>
      <c r="AR34" s="284"/>
    </row>
    <row r="35" spans="1:44" s="4855" customFormat="1" ht="18.75" hidden="1" customHeight="1">
      <c r="A35" s="1246"/>
      <c r="B35" s="1246"/>
      <c r="C35" s="1246"/>
      <c r="D35" s="1246"/>
      <c r="E35" s="1246"/>
      <c r="F35" s="1246"/>
      <c r="G35" s="1246"/>
      <c r="H35" s="1246"/>
      <c r="I35" s="1246"/>
      <c r="J35" s="1246"/>
      <c r="K35" s="1246"/>
      <c r="L35" s="1247"/>
      <c r="M35" s="1246"/>
      <c r="N35" s="1246"/>
      <c r="O35" s="1246"/>
      <c r="S35" s="5368" t="s">
        <v>502</v>
      </c>
      <c r="T35" s="5368"/>
      <c r="U35" s="1250"/>
      <c r="V35" s="5369" t="str">
        <f>IF(TITLE_NUMBER_PR_CHANGE="",IF(TITLE_NUMBER_PR="","",TITLE_NUMBER_PR),TITLE_NUMBER_PR_CHANGE)</f>
        <v>317-Р</v>
      </c>
      <c r="W35" s="5369"/>
      <c r="X35" s="5369"/>
      <c r="Y35" s="5369"/>
      <c r="Z35" s="5369"/>
      <c r="AA35" s="5369"/>
      <c r="AB35" s="5369"/>
      <c r="AC35" s="244"/>
      <c r="AD35" s="5369" t="str">
        <f>IF(TITLE_NUMBER_PR_CHANGE="",IF(TITLE_NUMBER_PR="","",TITLE_NUMBER_PR),TITLE_NUMBER_PR_CHANGE)</f>
        <v>317-Р</v>
      </c>
      <c r="AE35" s="5369"/>
      <c r="AF35" s="5369"/>
      <c r="AG35" s="5369"/>
      <c r="AH35" s="5369"/>
      <c r="AI35" s="5369"/>
      <c r="AJ35" s="5369"/>
      <c r="AK35" s="244"/>
      <c r="AL35" s="244"/>
      <c r="AM35" s="199"/>
      <c r="AN35" s="284"/>
      <c r="AO35" s="284"/>
      <c r="AP35" s="284"/>
      <c r="AQ35" s="284"/>
      <c r="AR35" s="284"/>
    </row>
    <row r="36" spans="1:44" s="4855" customFormat="1" ht="0" hidden="1" customHeight="1">
      <c r="A36" s="1246"/>
      <c r="B36" s="1246"/>
      <c r="C36" s="1246"/>
      <c r="D36" s="1246"/>
      <c r="E36" s="1246"/>
      <c r="F36" s="1246"/>
      <c r="G36" s="1246"/>
      <c r="H36" s="1246"/>
      <c r="I36" s="1246"/>
      <c r="J36" s="1246"/>
      <c r="K36" s="1246"/>
      <c r="L36" s="1247"/>
      <c r="M36" s="1246"/>
      <c r="N36" s="1246"/>
      <c r="O36" s="1246"/>
      <c r="S36" s="241"/>
      <c r="T36" s="241"/>
      <c r="U36" s="1219"/>
      <c r="V36" s="244"/>
      <c r="W36" s="244"/>
      <c r="X36" s="244"/>
      <c r="Y36" s="244"/>
      <c r="Z36" s="244"/>
      <c r="AA36" s="244"/>
      <c r="AB36" s="244"/>
      <c r="AC36" s="197" t="s">
        <v>503</v>
      </c>
      <c r="AD36" s="244"/>
      <c r="AE36" s="244"/>
      <c r="AF36" s="244"/>
      <c r="AG36" s="244"/>
      <c r="AH36" s="244"/>
      <c r="AI36" s="244"/>
      <c r="AJ36" s="244"/>
      <c r="AK36" s="197" t="s">
        <v>503</v>
      </c>
      <c r="AN36" s="284"/>
      <c r="AO36" s="284"/>
      <c r="AP36" s="284"/>
      <c r="AQ36" s="284"/>
      <c r="AR36" s="284"/>
    </row>
    <row r="37" spans="1:44" ht="14.25" customHeight="1">
      <c r="Q37" s="292"/>
      <c r="R37" s="292"/>
      <c r="S37" s="1158"/>
      <c r="T37" s="280"/>
      <c r="U37" s="1127"/>
      <c r="V37" s="5370"/>
      <c r="W37" s="5370"/>
      <c r="X37" s="5370"/>
      <c r="Y37" s="5370"/>
      <c r="Z37" s="5370"/>
      <c r="AA37" s="5370"/>
      <c r="AB37" s="5370"/>
      <c r="AC37" s="5370"/>
      <c r="AD37" s="5370"/>
      <c r="AE37" s="5370"/>
      <c r="AF37" s="5370"/>
      <c r="AG37" s="5370"/>
      <c r="AH37" s="5370"/>
      <c r="AI37" s="5370"/>
      <c r="AJ37" s="5370"/>
      <c r="AK37" s="5370"/>
    </row>
    <row r="38" spans="1:44" ht="14.25" customHeight="1">
      <c r="Q38" s="292"/>
      <c r="R38" s="292"/>
      <c r="S38" s="5244" t="s">
        <v>378</v>
      </c>
      <c r="T38" s="5244"/>
      <c r="U38" s="5244"/>
      <c r="V38" s="5244"/>
      <c r="W38" s="5244"/>
      <c r="X38" s="5244"/>
      <c r="Y38" s="5244"/>
      <c r="Z38" s="5244"/>
      <c r="AA38" s="5244"/>
      <c r="AB38" s="5244"/>
      <c r="AC38" s="5244"/>
      <c r="AD38" s="5244"/>
      <c r="AE38" s="5244"/>
      <c r="AF38" s="5244"/>
      <c r="AG38" s="5244"/>
      <c r="AH38" s="5244"/>
      <c r="AI38" s="5244"/>
      <c r="AJ38" s="5244"/>
      <c r="AK38" s="5244"/>
      <c r="AL38" s="5244"/>
      <c r="AM38" s="5244" t="s">
        <v>379</v>
      </c>
    </row>
    <row r="39" spans="1:44" ht="14.25" customHeight="1">
      <c r="Q39" s="292"/>
      <c r="R39" s="292"/>
      <c r="S39" s="5384" t="s">
        <v>85</v>
      </c>
      <c r="T39" s="5336" t="s">
        <v>504</v>
      </c>
      <c r="U39" s="219"/>
      <c r="V39" s="5385" t="s">
        <v>505</v>
      </c>
      <c r="W39" s="5386"/>
      <c r="X39" s="5386"/>
      <c r="Y39" s="5386"/>
      <c r="Z39" s="5386"/>
      <c r="AA39" s="5386"/>
      <c r="AB39" s="5387"/>
      <c r="AC39" s="5388" t="s">
        <v>506</v>
      </c>
      <c r="AD39" s="5385" t="s">
        <v>505</v>
      </c>
      <c r="AE39" s="5386"/>
      <c r="AF39" s="5386"/>
      <c r="AG39" s="5386"/>
      <c r="AH39" s="5386"/>
      <c r="AI39" s="5386"/>
      <c r="AJ39" s="5387"/>
      <c r="AK39" s="5388" t="s">
        <v>507</v>
      </c>
      <c r="AL39" s="5391" t="s">
        <v>508</v>
      </c>
      <c r="AM39" s="5244"/>
    </row>
    <row r="40" spans="1:44" ht="33.75" customHeight="1">
      <c r="Q40" s="292"/>
      <c r="R40" s="292"/>
      <c r="S40" s="5384"/>
      <c r="T40" s="5336"/>
      <c r="U40" s="920"/>
      <c r="V40" s="5307" t="s">
        <v>509</v>
      </c>
      <c r="W40" s="5394" t="s">
        <v>510</v>
      </c>
      <c r="X40" s="5215" t="s">
        <v>511</v>
      </c>
      <c r="Y40" s="5214"/>
      <c r="Z40" s="5215" t="s">
        <v>524</v>
      </c>
      <c r="AA40" s="5220"/>
      <c r="AB40" s="5214"/>
      <c r="AC40" s="5389"/>
      <c r="AD40" s="5307" t="s">
        <v>509</v>
      </c>
      <c r="AE40" s="5394" t="s">
        <v>510</v>
      </c>
      <c r="AF40" s="5215" t="s">
        <v>511</v>
      </c>
      <c r="AG40" s="5214"/>
      <c r="AH40" s="5215" t="s">
        <v>512</v>
      </c>
      <c r="AI40" s="5220"/>
      <c r="AJ40" s="5214"/>
      <c r="AK40" s="5389"/>
      <c r="AL40" s="5392"/>
      <c r="AM40" s="5244"/>
    </row>
    <row r="41" spans="1:44" ht="33.75" customHeight="1">
      <c r="A41" s="1248"/>
      <c r="B41" s="1248" t="s">
        <v>153</v>
      </c>
      <c r="C41" s="1248" t="s">
        <v>154</v>
      </c>
      <c r="D41" s="1248" t="s">
        <v>155</v>
      </c>
      <c r="E41" s="1242" t="s">
        <v>513</v>
      </c>
      <c r="F41" s="1242" t="s">
        <v>514</v>
      </c>
      <c r="G41" s="1242" t="s">
        <v>515</v>
      </c>
      <c r="H41" s="1242" t="s">
        <v>516</v>
      </c>
      <c r="I41" s="1242" t="s">
        <v>517</v>
      </c>
      <c r="J41" s="1242" t="s">
        <v>518</v>
      </c>
      <c r="K41" s="1242" t="s">
        <v>519</v>
      </c>
      <c r="L41" s="1242" t="s">
        <v>494</v>
      </c>
      <c r="Q41" s="292"/>
      <c r="R41" s="292"/>
      <c r="S41" s="5384"/>
      <c r="T41" s="5336"/>
      <c r="U41" s="220"/>
      <c r="V41" s="5355"/>
      <c r="W41" s="5395"/>
      <c r="X41" s="1105" t="s">
        <v>520</v>
      </c>
      <c r="Y41" s="1105" t="s">
        <v>521</v>
      </c>
      <c r="Z41" s="1217" t="s">
        <v>522</v>
      </c>
      <c r="AA41" s="5344" t="s">
        <v>523</v>
      </c>
      <c r="AB41" s="5346"/>
      <c r="AC41" s="5390"/>
      <c r="AD41" s="5355"/>
      <c r="AE41" s="5395"/>
      <c r="AF41" s="1105" t="s">
        <v>520</v>
      </c>
      <c r="AG41" s="1105" t="s">
        <v>521</v>
      </c>
      <c r="AH41" s="1217" t="s">
        <v>522</v>
      </c>
      <c r="AI41" s="5344" t="s">
        <v>523</v>
      </c>
      <c r="AJ41" s="5346"/>
      <c r="AK41" s="5390"/>
      <c r="AL41" s="5393"/>
      <c r="AM41" s="5244"/>
    </row>
    <row r="42" spans="1:44" s="4840"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129</v>
      </c>
      <c r="T42" s="1138" t="s">
        <v>100</v>
      </c>
      <c r="U42" s="1128" t="str">
        <f ca="1">OFFSET(U42,0,-1)</f>
        <v>2</v>
      </c>
      <c r="V42" s="1214">
        <f ca="1">OFFSET(V42,0,-1)+1</f>
        <v>3</v>
      </c>
      <c r="W42" s="1214"/>
      <c r="X42" s="1214">
        <f ca="1">OFFSET(X42,0,-1)+1</f>
        <v>1</v>
      </c>
      <c r="Y42" s="1214">
        <f ca="1">OFFSET(Y42,0,-1)+1</f>
        <v>2</v>
      </c>
      <c r="Z42" s="1214">
        <f ca="1">OFFSET(Z42,0,-1)+1</f>
        <v>3</v>
      </c>
      <c r="AA42" s="5383">
        <f ca="1">OFFSET(AA42,0,-1)+1</f>
        <v>4</v>
      </c>
      <c r="AB42" s="5383"/>
      <c r="AC42" s="1214">
        <f ca="1">OFFSET(AC42,0,-2)+1</f>
        <v>5</v>
      </c>
      <c r="AD42" s="1214">
        <f ca="1">OFFSET(AD42,0,-1)+1</f>
        <v>6</v>
      </c>
      <c r="AE42" s="1214"/>
      <c r="AF42" s="1214">
        <f ca="1">OFFSET(AF42,0,-1)+1</f>
        <v>1</v>
      </c>
      <c r="AG42" s="1214">
        <f ca="1">OFFSET(AG42,0,-1)+1</f>
        <v>2</v>
      </c>
      <c r="AH42" s="1214">
        <f ca="1">OFFSET(AH42,0,-1)+1</f>
        <v>3</v>
      </c>
      <c r="AI42" s="5383">
        <f ca="1">OFFSET(AI42,0,-1)+1</f>
        <v>4</v>
      </c>
      <c r="AJ42" s="5383"/>
      <c r="AK42" s="1214">
        <f ca="1">OFFSET(AK42,0,-2)+1</f>
        <v>5</v>
      </c>
      <c r="AL42" s="1128">
        <f ca="1">OFFSET(AL42,0,-1)</f>
        <v>5</v>
      </c>
      <c r="AM42" s="1214">
        <f ca="1">OFFSET(AM42,0,-1)+1</f>
        <v>6</v>
      </c>
      <c r="AN42" s="419"/>
      <c r="AO42" s="419"/>
      <c r="AP42" s="419"/>
      <c r="AQ42" s="419"/>
      <c r="AR42" s="419"/>
    </row>
    <row r="43" spans="1:44" ht="21" customHeight="1">
      <c r="A43" s="1241" t="s">
        <v>179</v>
      </c>
      <c r="B43" s="1241"/>
      <c r="C43" s="1241"/>
      <c r="D43" s="1241"/>
      <c r="E43" s="5376">
        <v>1</v>
      </c>
      <c r="F43" s="1241"/>
      <c r="G43" s="1241"/>
      <c r="H43" s="1241"/>
      <c r="I43" s="1241"/>
      <c r="J43" s="1241"/>
      <c r="K43" s="1241"/>
      <c r="L43" s="1242"/>
      <c r="M43" s="1243"/>
      <c r="N43" s="1243"/>
      <c r="O43" s="1243"/>
      <c r="P43" s="278"/>
      <c r="Q43" s="277"/>
      <c r="R43" s="272"/>
      <c r="S43" s="1215">
        <f>INDEX(PT_DIFFERENTIATION_NUM_NTAR,MATCH(A43,PT_DIFFERENTIATION_NTAR_ID,0))</f>
        <v>0</v>
      </c>
      <c r="T43" s="216" t="s">
        <v>141</v>
      </c>
      <c r="U43" s="218"/>
      <c r="V43" s="5362"/>
      <c r="W43" s="5363"/>
      <c r="X43" s="5363"/>
      <c r="Y43" s="5363"/>
      <c r="Z43" s="5363"/>
      <c r="AA43" s="5363"/>
      <c r="AB43" s="5363"/>
      <c r="AC43" s="5364"/>
      <c r="AD43" s="5362" t="str">
        <f>INDEX(PT_DIFFERENTIATION_NTAR,MATCH(A43,PT_DIFFERENTIATION_NTAR_ID,0))</f>
        <v/>
      </c>
      <c r="AE43" s="5363"/>
      <c r="AF43" s="5363"/>
      <c r="AG43" s="5363"/>
      <c r="AH43" s="5363"/>
      <c r="AI43" s="5363"/>
      <c r="AJ43" s="5363"/>
      <c r="AK43" s="5363"/>
      <c r="AL43" s="5364"/>
      <c r="AM43" s="11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8"/>
      <c r="AP43" s="408" t="str">
        <f t="shared" ref="AP43:AP57" si="1">IF(T43="","",T43)</f>
        <v>Наименование тарифа</v>
      </c>
      <c r="AQ43" s="408"/>
      <c r="AR43" s="408"/>
    </row>
    <row r="44" spans="1:44" ht="21" customHeight="1">
      <c r="A44" s="1241" t="s">
        <v>179</v>
      </c>
      <c r="B44" s="1241" t="s">
        <v>180</v>
      </c>
      <c r="C44" s="1241"/>
      <c r="D44" s="1241"/>
      <c r="E44" s="5377"/>
      <c r="F44" s="5376">
        <v>1</v>
      </c>
      <c r="G44" s="1241"/>
      <c r="H44" s="1241"/>
      <c r="I44" s="1241"/>
      <c r="J44" s="1241"/>
      <c r="K44" s="1241"/>
      <c r="L44" s="1242"/>
      <c r="M44" s="1243"/>
      <c r="N44" s="1243"/>
      <c r="O44" s="1243"/>
      <c r="P44" s="1211"/>
      <c r="Q44" s="269"/>
      <c r="R44" s="270"/>
      <c r="S44" s="1215" t="str">
        <f>INDEX(PT_DIFFERENTIATION_NUM_TER,MATCH(B44,PT_DIFFERENTIATION_TER_ID,0))</f>
        <v>.</v>
      </c>
      <c r="T44" s="226" t="s">
        <v>475</v>
      </c>
      <c r="U44" s="218"/>
      <c r="V44" s="5362"/>
      <c r="W44" s="5363"/>
      <c r="X44" s="5363"/>
      <c r="Y44" s="5363"/>
      <c r="Z44" s="5363"/>
      <c r="AA44" s="5363"/>
      <c r="AB44" s="5363"/>
      <c r="AC44" s="5364"/>
      <c r="AD44" s="5362" t="str">
        <f>INDEX(PT_DIFFERENTIATION_TER,MATCH(B44,PT_DIFFERENTIATION_TER_ID,0))</f>
        <v/>
      </c>
      <c r="AE44" s="5363"/>
      <c r="AF44" s="5363"/>
      <c r="AG44" s="5363"/>
      <c r="AH44" s="5363"/>
      <c r="AI44" s="5363"/>
      <c r="AJ44" s="5363"/>
      <c r="AK44" s="5363"/>
      <c r="AL44" s="5364"/>
      <c r="AM44" s="1141" t="s">
        <v>476</v>
      </c>
      <c r="AO44" s="408"/>
      <c r="AP44" s="408" t="str">
        <f t="shared" si="1"/>
        <v>Территория действия тарифа</v>
      </c>
      <c r="AQ44" s="408"/>
      <c r="AR44" s="408"/>
    </row>
    <row r="45" spans="1:44" ht="23.25" customHeight="1">
      <c r="A45" s="1241" t="s">
        <v>179</v>
      </c>
      <c r="B45" s="1241" t="s">
        <v>180</v>
      </c>
      <c r="C45" s="1241" t="s">
        <v>181</v>
      </c>
      <c r="D45" s="1241"/>
      <c r="E45" s="5377"/>
      <c r="F45" s="5377"/>
      <c r="G45" s="5376">
        <v>1</v>
      </c>
      <c r="H45" s="1241"/>
      <c r="I45" s="1241"/>
      <c r="J45" s="1241"/>
      <c r="K45" s="1241"/>
      <c r="L45" s="1242"/>
      <c r="M45" s="1243"/>
      <c r="N45" s="1243"/>
      <c r="O45" s="1243"/>
      <c r="P45" s="271"/>
      <c r="Q45" s="269"/>
      <c r="R45" s="270"/>
      <c r="S45" s="1215" t="str">
        <f>INDEX(PT_DIFFERENTIATION_NUM_CS,MATCH(C45,PT_DIFFERENTIATION_CS_ID,0))</f>
        <v>..</v>
      </c>
      <c r="T45" s="227" t="s">
        <v>477</v>
      </c>
      <c r="U45" s="218"/>
      <c r="V45" s="5362"/>
      <c r="W45" s="5363"/>
      <c r="X45" s="5363"/>
      <c r="Y45" s="5363"/>
      <c r="Z45" s="5363"/>
      <c r="AA45" s="5363"/>
      <c r="AB45" s="5363"/>
      <c r="AC45" s="5364"/>
      <c r="AD45" s="5362" t="str">
        <f>INDEX(PT_DIFFERENTIATION_CS,MATCH(C45,PT_DIFFERENTIATION_CS_ID,0))</f>
        <v/>
      </c>
      <c r="AE45" s="5363"/>
      <c r="AF45" s="5363"/>
      <c r="AG45" s="5363"/>
      <c r="AH45" s="5363"/>
      <c r="AI45" s="5363"/>
      <c r="AJ45" s="5363"/>
      <c r="AK45" s="5363"/>
      <c r="AL45" s="5364"/>
      <c r="AM45" s="1141" t="s">
        <v>478</v>
      </c>
      <c r="AO45" s="408"/>
      <c r="AP45" s="408" t="str">
        <f t="shared" si="1"/>
        <v xml:space="preserve">Наименование системы теплоснабжения </v>
      </c>
      <c r="AQ45" s="408"/>
      <c r="AR45" s="408"/>
    </row>
    <row r="46" spans="1:44" ht="21" customHeight="1">
      <c r="A46" s="1241" t="s">
        <v>179</v>
      </c>
      <c r="B46" s="1241" t="s">
        <v>180</v>
      </c>
      <c r="C46" s="1241" t="s">
        <v>181</v>
      </c>
      <c r="D46" s="1241" t="s">
        <v>182</v>
      </c>
      <c r="E46" s="5377"/>
      <c r="F46" s="5377"/>
      <c r="G46" s="5377"/>
      <c r="H46" s="5376">
        <v>1</v>
      </c>
      <c r="I46" s="1241"/>
      <c r="J46" s="1241"/>
      <c r="K46" s="1241"/>
      <c r="L46" s="1242"/>
      <c r="M46" s="1243"/>
      <c r="N46" s="1243"/>
      <c r="O46" s="1243"/>
      <c r="P46" s="271"/>
      <c r="Q46" s="269"/>
      <c r="R46" s="270"/>
      <c r="S46" s="1215" t="str">
        <f>INDEX(PT_DIFFERENTIATION_NUM_IST_TE,MATCH(D46,PT_DIFFERENTIATION_IST_TE_ID,0))</f>
        <v>...</v>
      </c>
      <c r="T46" s="228" t="s">
        <v>479</v>
      </c>
      <c r="U46" s="218"/>
      <c r="V46" s="5362"/>
      <c r="W46" s="5363"/>
      <c r="X46" s="5363"/>
      <c r="Y46" s="5363"/>
      <c r="Z46" s="5363"/>
      <c r="AA46" s="5363"/>
      <c r="AB46" s="5363"/>
      <c r="AC46" s="5364"/>
      <c r="AD46" s="5362" t="str">
        <f>INDEX(PT_DIFFERENTIATION_IST_TE,MATCH(D46,PT_DIFFERENTIATION_IST_TE_ID,0))</f>
        <v/>
      </c>
      <c r="AE46" s="5363"/>
      <c r="AF46" s="5363"/>
      <c r="AG46" s="5363"/>
      <c r="AH46" s="5363"/>
      <c r="AI46" s="5363"/>
      <c r="AJ46" s="5363"/>
      <c r="AK46" s="5363"/>
      <c r="AL46" s="5364"/>
      <c r="AM46" s="1141" t="s">
        <v>480</v>
      </c>
      <c r="AO46" s="408"/>
      <c r="AP46" s="408" t="str">
        <f t="shared" si="1"/>
        <v xml:space="preserve">Источник тепловой энергии  </v>
      </c>
      <c r="AQ46" s="408"/>
      <c r="AR46" s="408"/>
    </row>
    <row r="47" spans="1:44" ht="47.25" customHeight="1">
      <c r="A47" s="1241" t="s">
        <v>179</v>
      </c>
      <c r="B47" s="1241" t="s">
        <v>180</v>
      </c>
      <c r="C47" s="1241" t="s">
        <v>181</v>
      </c>
      <c r="D47" s="1241" t="s">
        <v>182</v>
      </c>
      <c r="E47" s="5377"/>
      <c r="F47" s="5377"/>
      <c r="G47" s="5377"/>
      <c r="H47" s="5377"/>
      <c r="I47" s="5374" t="str">
        <f>S46&amp;".1"</f>
        <v>....1</v>
      </c>
      <c r="J47" s="1241"/>
      <c r="K47" s="1241"/>
      <c r="L47" s="1242" t="s">
        <v>481</v>
      </c>
      <c r="P47" s="5375">
        <v>1</v>
      </c>
      <c r="Q47" s="1210"/>
      <c r="R47" s="273"/>
      <c r="S47" s="1215" t="str">
        <f>$I47</f>
        <v>....1</v>
      </c>
      <c r="T47" s="203" t="s">
        <v>482</v>
      </c>
      <c r="U47" s="218"/>
      <c r="V47" s="5365"/>
      <c r="W47" s="5366"/>
      <c r="X47" s="5366"/>
      <c r="Y47" s="5366"/>
      <c r="Z47" s="5366"/>
      <c r="AA47" s="5366"/>
      <c r="AB47" s="5366"/>
      <c r="AC47" s="5367"/>
      <c r="AD47" s="5365"/>
      <c r="AE47" s="5366"/>
      <c r="AF47" s="5366"/>
      <c r="AG47" s="5366"/>
      <c r="AH47" s="5366"/>
      <c r="AI47" s="5366"/>
      <c r="AJ47" s="5366"/>
      <c r="AK47" s="5366"/>
      <c r="AL47" s="5367"/>
      <c r="AM47" s="1141" t="s">
        <v>483</v>
      </c>
      <c r="AO47" s="408"/>
      <c r="AP47" s="408" t="str">
        <f t="shared" si="1"/>
        <v>Схема подключения теплопотребляющей установки к коллектору источника тепловой энергии</v>
      </c>
      <c r="AQ47" s="408"/>
      <c r="AR47" s="408"/>
    </row>
    <row r="48" spans="1:44" ht="21" customHeight="1">
      <c r="A48" s="1241" t="s">
        <v>179</v>
      </c>
      <c r="B48" s="1241" t="s">
        <v>180</v>
      </c>
      <c r="C48" s="1241" t="s">
        <v>181</v>
      </c>
      <c r="D48" s="1241" t="s">
        <v>182</v>
      </c>
      <c r="E48" s="5377"/>
      <c r="F48" s="5377"/>
      <c r="G48" s="5377"/>
      <c r="H48" s="5377"/>
      <c r="I48" s="5397"/>
      <c r="J48" s="5374" t="str">
        <f>I47&amp;".1"</f>
        <v>....1.1</v>
      </c>
      <c r="K48" s="1241"/>
      <c r="L48" s="1242" t="s">
        <v>484</v>
      </c>
      <c r="P48" s="5375"/>
      <c r="Q48" s="5375">
        <v>1</v>
      </c>
      <c r="R48" s="274"/>
      <c r="S48" s="1215" t="str">
        <f>$J48</f>
        <v>....1.1</v>
      </c>
      <c r="T48" s="204" t="s">
        <v>485</v>
      </c>
      <c r="U48" s="218"/>
      <c r="V48" s="5365"/>
      <c r="W48" s="5366"/>
      <c r="X48" s="5366"/>
      <c r="Y48" s="5366"/>
      <c r="Z48" s="5366"/>
      <c r="AA48" s="5366"/>
      <c r="AB48" s="5366"/>
      <c r="AC48" s="5367"/>
      <c r="AD48" s="5365"/>
      <c r="AE48" s="5366"/>
      <c r="AF48" s="5366"/>
      <c r="AG48" s="5366"/>
      <c r="AH48" s="5366"/>
      <c r="AI48" s="5366"/>
      <c r="AJ48" s="5366"/>
      <c r="AK48" s="5366"/>
      <c r="AL48" s="5367"/>
      <c r="AM48" s="1141" t="s">
        <v>486</v>
      </c>
      <c r="AO48" s="408"/>
      <c r="AP48" s="408" t="str">
        <f t="shared" si="1"/>
        <v>Группа потребителей</v>
      </c>
      <c r="AQ48" s="408"/>
      <c r="AR48" s="408"/>
    </row>
    <row r="49" spans="1:44" ht="21" customHeight="1">
      <c r="A49" s="1241" t="s">
        <v>179</v>
      </c>
      <c r="B49" s="1241" t="s">
        <v>180</v>
      </c>
      <c r="C49" s="1241" t="s">
        <v>181</v>
      </c>
      <c r="D49" s="1241" t="s">
        <v>182</v>
      </c>
      <c r="E49" s="5377"/>
      <c r="F49" s="5377"/>
      <c r="G49" s="5377"/>
      <c r="H49" s="5377"/>
      <c r="I49" s="5397"/>
      <c r="J49" s="5397"/>
      <c r="K49" s="5374" t="str">
        <f>J48&amp;".1"</f>
        <v>....1.1.1</v>
      </c>
      <c r="L49" s="1242" t="s">
        <v>487</v>
      </c>
      <c r="P49" s="5375"/>
      <c r="Q49" s="5375"/>
      <c r="R49" s="274">
        <v>1</v>
      </c>
      <c r="S49" s="1215" t="str">
        <f>$K49</f>
        <v>....1.1.1</v>
      </c>
      <c r="T49" s="1226"/>
      <c r="U49" s="218"/>
      <c r="V49" s="650"/>
      <c r="W49" s="243"/>
      <c r="X49" s="650"/>
      <c r="Y49" s="1140"/>
      <c r="Z49" s="5379"/>
      <c r="AA49" s="5225" t="s">
        <v>64</v>
      </c>
      <c r="AB49" s="5379"/>
      <c r="AC49" s="5225" t="s">
        <v>64</v>
      </c>
      <c r="AD49" s="650"/>
      <c r="AE49" s="243"/>
      <c r="AF49" s="650"/>
      <c r="AG49" s="1140"/>
      <c r="AH49" s="5379"/>
      <c r="AI49" s="5225" t="s">
        <v>64</v>
      </c>
      <c r="AJ49" s="5398"/>
      <c r="AK49" s="5225" t="s">
        <v>64</v>
      </c>
      <c r="AL49" s="1227"/>
      <c r="AM49" s="5371" t="s">
        <v>488</v>
      </c>
      <c r="AN49" s="419" t="e">
        <f ca="1">STRCHECKDATE(V50:AL50)</f>
        <v>#NAME?</v>
      </c>
      <c r="AO49" s="408"/>
      <c r="AP49" s="408" t="str">
        <f t="shared" si="1"/>
        <v/>
      </c>
      <c r="AQ49" s="408"/>
      <c r="AR49" s="408"/>
    </row>
    <row r="50" spans="1:44" ht="0.75" customHeight="1">
      <c r="A50" s="1241" t="s">
        <v>179</v>
      </c>
      <c r="B50" s="1241" t="s">
        <v>180</v>
      </c>
      <c r="C50" s="1241" t="s">
        <v>181</v>
      </c>
      <c r="D50" s="1241" t="s">
        <v>182</v>
      </c>
      <c r="E50" s="5377"/>
      <c r="F50" s="5377"/>
      <c r="G50" s="5377"/>
      <c r="H50" s="5377"/>
      <c r="I50" s="5397"/>
      <c r="J50" s="5397"/>
      <c r="K50" s="5374"/>
      <c r="L50" s="1242"/>
      <c r="P50" s="5375"/>
      <c r="Q50" s="5375"/>
      <c r="R50" s="274"/>
      <c r="S50" s="1221"/>
      <c r="T50" s="218"/>
      <c r="U50" s="218"/>
      <c r="V50" s="243"/>
      <c r="W50" s="243"/>
      <c r="X50" s="243"/>
      <c r="Y50" s="246" t="str">
        <f>Z49&amp;"-"&amp;AB49</f>
        <v>-</v>
      </c>
      <c r="Z50" s="5380"/>
      <c r="AA50" s="5225"/>
      <c r="AB50" s="5380"/>
      <c r="AC50" s="5225"/>
      <c r="AD50" s="243"/>
      <c r="AE50" s="243"/>
      <c r="AF50" s="243"/>
      <c r="AG50" s="246" t="str">
        <f>AH49&amp;"-"&amp;AJ49</f>
        <v>-</v>
      </c>
      <c r="AH50" s="5380"/>
      <c r="AI50" s="5225"/>
      <c r="AJ50" s="5399"/>
      <c r="AK50" s="5225"/>
      <c r="AL50" s="1228"/>
      <c r="AM50" s="5372"/>
      <c r="AO50" s="408"/>
      <c r="AP50" s="408" t="str">
        <f t="shared" si="1"/>
        <v/>
      </c>
      <c r="AQ50" s="408"/>
      <c r="AR50" s="408"/>
    </row>
    <row r="51" spans="1:44" ht="11.25" customHeight="1">
      <c r="A51" s="1241" t="s">
        <v>179</v>
      </c>
      <c r="B51" s="1241" t="s">
        <v>180</v>
      </c>
      <c r="C51" s="1241" t="s">
        <v>181</v>
      </c>
      <c r="D51" s="1241" t="s">
        <v>182</v>
      </c>
      <c r="E51" s="5377"/>
      <c r="F51" s="5377"/>
      <c r="G51" s="5377"/>
      <c r="H51" s="5377"/>
      <c r="I51" s="5397"/>
      <c r="J51" s="5374"/>
      <c r="K51" s="1241"/>
      <c r="L51" s="1242"/>
      <c r="P51" s="5375"/>
      <c r="Q51" s="5375"/>
      <c r="R51" s="273"/>
      <c r="S51" s="1161"/>
      <c r="T51" s="206" t="s">
        <v>489</v>
      </c>
      <c r="U51" s="283"/>
      <c r="V51" s="283"/>
      <c r="W51" s="283"/>
      <c r="X51" s="283"/>
      <c r="Y51" s="283"/>
      <c r="Z51" s="283"/>
      <c r="AA51" s="283"/>
      <c r="AB51" s="283"/>
      <c r="AC51" s="283"/>
      <c r="AD51" s="283"/>
      <c r="AE51" s="283"/>
      <c r="AF51" s="283"/>
      <c r="AG51" s="283"/>
      <c r="AH51" s="283"/>
      <c r="AI51" s="283"/>
      <c r="AJ51" s="283"/>
      <c r="AK51" s="283"/>
      <c r="AL51" s="242"/>
      <c r="AM51" s="5373"/>
      <c r="AO51" s="408"/>
      <c r="AP51" s="408" t="str">
        <f t="shared" si="1"/>
        <v>Добавить вид теплоносителя (параметры теплоносителя)</v>
      </c>
      <c r="AQ51" s="408"/>
      <c r="AR51" s="408"/>
    </row>
    <row r="52" spans="1:44" ht="11.25" customHeight="1">
      <c r="A52" s="1241" t="s">
        <v>179</v>
      </c>
      <c r="B52" s="1241" t="s">
        <v>180</v>
      </c>
      <c r="C52" s="1241" t="s">
        <v>181</v>
      </c>
      <c r="D52" s="1241" t="s">
        <v>182</v>
      </c>
      <c r="E52" s="5377"/>
      <c r="F52" s="5377"/>
      <c r="G52" s="5377"/>
      <c r="H52" s="5377"/>
      <c r="I52" s="5374"/>
      <c r="J52" s="1241"/>
      <c r="K52" s="1241"/>
      <c r="L52" s="1242"/>
      <c r="P52" s="5375"/>
      <c r="Q52" s="1210"/>
      <c r="R52" s="273"/>
      <c r="S52" s="1161"/>
      <c r="T52" s="205" t="s">
        <v>490</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41" t="s">
        <v>179</v>
      </c>
      <c r="B53" s="1241" t="s">
        <v>180</v>
      </c>
      <c r="C53" s="1241" t="s">
        <v>181</v>
      </c>
      <c r="D53" s="1241" t="s">
        <v>182</v>
      </c>
      <c r="E53" s="5377"/>
      <c r="F53" s="5377"/>
      <c r="G53" s="5377"/>
      <c r="H53" s="5376"/>
      <c r="I53" s="1241"/>
      <c r="J53" s="1241"/>
      <c r="K53" s="1241"/>
      <c r="L53" s="1242"/>
      <c r="M53" s="1243"/>
      <c r="N53" s="1243"/>
      <c r="O53" s="444"/>
      <c r="P53" s="277"/>
      <c r="Q53" s="291"/>
      <c r="R53" s="272"/>
      <c r="S53" s="1161"/>
      <c r="T53" s="281" t="s">
        <v>491</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4853" customFormat="1" ht="0.75" customHeight="1">
      <c r="A54" s="1222" t="s">
        <v>179</v>
      </c>
      <c r="B54" s="1222" t="s">
        <v>180</v>
      </c>
      <c r="C54" s="1222" t="s">
        <v>181</v>
      </c>
      <c r="D54" s="1194"/>
      <c r="E54" s="5377"/>
      <c r="F54" s="5377"/>
      <c r="G54" s="5376"/>
      <c r="H54" s="1194"/>
      <c r="I54" s="1194"/>
      <c r="J54" s="1194"/>
      <c r="K54" s="1194"/>
      <c r="L54" s="1218"/>
      <c r="M54" s="1195"/>
      <c r="N54" s="1195"/>
      <c r="P54" s="1196"/>
      <c r="Q54" s="1197"/>
      <c r="R54" s="1196"/>
      <c r="S54" s="1202"/>
      <c r="T54" s="1205" t="s">
        <v>492</v>
      </c>
      <c r="U54" s="1204"/>
      <c r="V54" s="1204"/>
      <c r="W54" s="1204"/>
      <c r="X54" s="1204"/>
      <c r="Y54" s="1204"/>
      <c r="Z54" s="1204"/>
      <c r="AA54" s="1204"/>
      <c r="AB54" s="1204"/>
      <c r="AC54" s="1204"/>
      <c r="AD54" s="1204"/>
      <c r="AE54" s="1204"/>
      <c r="AF54" s="1204"/>
      <c r="AG54" s="1204"/>
      <c r="AH54" s="1204"/>
      <c r="AI54" s="1204"/>
      <c r="AJ54" s="1204"/>
      <c r="AK54" s="1204"/>
      <c r="AL54" s="1204"/>
      <c r="AM54" s="1204"/>
      <c r="AO54" s="688"/>
      <c r="AP54" s="688" t="str">
        <f t="shared" si="1"/>
        <v>Добавить источник для дифференциации</v>
      </c>
      <c r="AQ54" s="688"/>
      <c r="AR54" s="688"/>
    </row>
    <row r="55" spans="1:44" s="4853" customFormat="1" ht="0.75" customHeight="1">
      <c r="A55" s="1222" t="s">
        <v>179</v>
      </c>
      <c r="B55" s="1222" t="s">
        <v>180</v>
      </c>
      <c r="C55" s="1194"/>
      <c r="D55" s="1194"/>
      <c r="E55" s="5377"/>
      <c r="F55" s="5376"/>
      <c r="G55" s="1194"/>
      <c r="H55" s="1194"/>
      <c r="I55" s="1194"/>
      <c r="J55" s="1194"/>
      <c r="K55" s="1194"/>
      <c r="L55" s="1218"/>
      <c r="M55" s="1201"/>
      <c r="N55" s="1201"/>
      <c r="P55" s="1196"/>
      <c r="Q55" s="1197"/>
      <c r="R55" s="1196"/>
      <c r="S55" s="1202"/>
      <c r="T55" s="1205" t="s">
        <v>271</v>
      </c>
      <c r="U55" s="1204"/>
      <c r="V55" s="1204"/>
      <c r="W55" s="1204"/>
      <c r="X55" s="1204"/>
      <c r="Y55" s="1204"/>
      <c r="Z55" s="1204"/>
      <c r="AA55" s="1204"/>
      <c r="AB55" s="1204"/>
      <c r="AC55" s="1204"/>
      <c r="AD55" s="1204"/>
      <c r="AE55" s="1204"/>
      <c r="AF55" s="1204"/>
      <c r="AG55" s="1204"/>
      <c r="AH55" s="1204"/>
      <c r="AI55" s="1204"/>
      <c r="AJ55" s="1204"/>
      <c r="AK55" s="1204"/>
      <c r="AL55" s="1204"/>
      <c r="AM55" s="1204"/>
      <c r="AO55" s="688"/>
      <c r="AP55" s="688" t="str">
        <f t="shared" si="1"/>
        <v>Добавить централизованную систему для дифференциации</v>
      </c>
      <c r="AQ55" s="688"/>
      <c r="AR55" s="688"/>
    </row>
    <row r="56" spans="1:44" s="4856" customFormat="1" ht="0.75" customHeight="1">
      <c r="A56" s="1222" t="s">
        <v>179</v>
      </c>
      <c r="B56" s="1222"/>
      <c r="C56" s="1222"/>
      <c r="D56" s="1222"/>
      <c r="E56" s="5376"/>
      <c r="F56" s="1222"/>
      <c r="G56" s="1222"/>
      <c r="H56" s="1222"/>
      <c r="I56" s="1222"/>
      <c r="J56" s="1222"/>
      <c r="K56" s="1222"/>
      <c r="L56" s="1225"/>
      <c r="M56" s="1201"/>
      <c r="N56" s="1201"/>
      <c r="O56" s="426"/>
      <c r="P56" s="296"/>
      <c r="Q56" s="1223"/>
      <c r="R56" s="296"/>
      <c r="S56" s="1202"/>
      <c r="T56" s="1205" t="s">
        <v>330</v>
      </c>
      <c r="U56" s="1204"/>
      <c r="V56" s="1204"/>
      <c r="W56" s="1204"/>
      <c r="X56" s="1204"/>
      <c r="Y56" s="1204"/>
      <c r="Z56" s="1204"/>
      <c r="AA56" s="1204"/>
      <c r="AB56" s="1204"/>
      <c r="AC56" s="1204"/>
      <c r="AD56" s="1204"/>
      <c r="AE56" s="1204"/>
      <c r="AF56" s="1204"/>
      <c r="AG56" s="1204"/>
      <c r="AH56" s="1204"/>
      <c r="AI56" s="1204"/>
      <c r="AJ56" s="1204"/>
      <c r="AK56" s="1204"/>
      <c r="AL56" s="1204"/>
      <c r="AM56" s="1204"/>
      <c r="AO56" s="408"/>
      <c r="AP56" s="408" t="str">
        <f t="shared" si="1"/>
        <v>Добавить территорию для дифференциации</v>
      </c>
      <c r="AQ56" s="408"/>
      <c r="AR56" s="408"/>
    </row>
    <row r="57" spans="1:44" s="4853" customFormat="1" ht="0.75" customHeight="1">
      <c r="A57" s="1194"/>
      <c r="B57" s="1194"/>
      <c r="C57" s="1194"/>
      <c r="D57" s="1194"/>
      <c r="E57" s="1222"/>
      <c r="F57" s="1194"/>
      <c r="G57" s="1194"/>
      <c r="H57" s="1194"/>
      <c r="I57" s="1194"/>
      <c r="J57" s="1194"/>
      <c r="K57" s="1194"/>
      <c r="L57" s="1218"/>
      <c r="M57" s="1201"/>
      <c r="N57" s="1201"/>
      <c r="P57" s="1196"/>
      <c r="Q57" s="1197"/>
      <c r="R57" s="1196"/>
      <c r="S57" s="1202"/>
      <c r="T57" s="1205" t="s">
        <v>331</v>
      </c>
      <c r="U57" s="1204"/>
      <c r="V57" s="1204"/>
      <c r="W57" s="1204"/>
      <c r="X57" s="1204"/>
      <c r="Y57" s="1204"/>
      <c r="Z57" s="1204"/>
      <c r="AA57" s="1204"/>
      <c r="AB57" s="1204"/>
      <c r="AC57" s="1204"/>
      <c r="AD57" s="1204"/>
      <c r="AE57" s="1204"/>
      <c r="AF57" s="1204"/>
      <c r="AG57" s="1204"/>
      <c r="AH57" s="1204"/>
      <c r="AI57" s="1204"/>
      <c r="AJ57" s="1204"/>
      <c r="AK57" s="1204"/>
      <c r="AL57" s="1204"/>
      <c r="AM57" s="1204"/>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27" customHeight="1">
      <c r="O59" s="444"/>
      <c r="S59" s="1136"/>
      <c r="T59" s="5396"/>
      <c r="U59" s="5396"/>
      <c r="V59" s="5396"/>
      <c r="W59" s="5396"/>
      <c r="X59" s="5396"/>
      <c r="Y59" s="5396"/>
      <c r="Z59" s="5396"/>
      <c r="AA59" s="5396"/>
      <c r="AB59" s="5396"/>
      <c r="AC59" s="5396"/>
      <c r="AD59" s="5396"/>
      <c r="AE59" s="5396"/>
      <c r="AF59" s="5396"/>
      <c r="AG59" s="5396"/>
      <c r="AH59" s="5396"/>
      <c r="AI59" s="5396"/>
      <c r="AJ59" s="5396"/>
      <c r="AK59" s="5396"/>
      <c r="AL59" s="5396"/>
      <c r="AM59" s="5396"/>
    </row>
    <row r="60" spans="1:44" ht="62.25" customHeight="1">
      <c r="O60" s="444"/>
      <c r="T60" s="5396"/>
      <c r="U60" s="5396"/>
      <c r="V60" s="5396"/>
      <c r="W60" s="5396"/>
      <c r="X60" s="5396"/>
      <c r="Y60" s="5396"/>
      <c r="Z60" s="5396"/>
      <c r="AA60" s="5396"/>
      <c r="AB60" s="5396"/>
      <c r="AC60" s="5396"/>
      <c r="AD60" s="5396"/>
      <c r="AE60" s="5396"/>
      <c r="AF60" s="5396"/>
      <c r="AG60" s="5396"/>
      <c r="AH60" s="5396"/>
      <c r="AI60" s="5396"/>
      <c r="AJ60" s="5396"/>
      <c r="AK60" s="5396"/>
      <c r="AL60" s="5396"/>
      <c r="AM60" s="5396"/>
    </row>
    <row r="61" spans="1:44" ht="14.25" customHeight="1">
      <c r="O61" s="444"/>
    </row>
    <row r="62" spans="1:44" ht="18" customHeight="1">
      <c r="O62" s="444"/>
      <c r="S62" s="1136"/>
      <c r="T62" s="5396"/>
      <c r="U62" s="5396"/>
      <c r="V62" s="5396"/>
      <c r="W62" s="5396"/>
      <c r="X62" s="5396"/>
      <c r="Y62" s="5396"/>
      <c r="Z62" s="5396"/>
      <c r="AA62" s="5396"/>
      <c r="AB62" s="5396"/>
      <c r="AC62" s="5396"/>
      <c r="AD62" s="5396"/>
      <c r="AE62" s="5396"/>
      <c r="AF62" s="5396"/>
      <c r="AG62" s="5396"/>
      <c r="AH62" s="5396"/>
      <c r="AI62" s="5396"/>
      <c r="AJ62" s="5396"/>
      <c r="AK62" s="5396"/>
      <c r="AL62" s="5396"/>
      <c r="AM62" s="5396"/>
    </row>
    <row r="63" spans="1:44" ht="18" customHeight="1">
      <c r="O63" s="444"/>
      <c r="T63" s="5396"/>
      <c r="U63" s="5396"/>
      <c r="V63" s="5396"/>
      <c r="W63" s="5396"/>
      <c r="X63" s="5396"/>
      <c r="Y63" s="5396"/>
      <c r="Z63" s="5396"/>
      <c r="AA63" s="5396"/>
      <c r="AB63" s="5396"/>
      <c r="AC63" s="5396"/>
      <c r="AD63" s="5396"/>
      <c r="AE63" s="5396"/>
      <c r="AF63" s="5396"/>
      <c r="AG63" s="5396"/>
      <c r="AH63" s="5396"/>
      <c r="AI63" s="5396"/>
      <c r="AJ63" s="5396"/>
      <c r="AK63" s="5396"/>
      <c r="AL63" s="5396"/>
      <c r="AM63" s="5396"/>
    </row>
    <row r="64" spans="1:44" ht="27.75" customHeight="1">
      <c r="O64" s="444"/>
      <c r="S64" s="1136"/>
      <c r="T64" s="5396"/>
      <c r="U64" s="5396"/>
      <c r="V64" s="5396"/>
      <c r="W64" s="5396"/>
      <c r="X64" s="5396"/>
      <c r="Y64" s="5396"/>
      <c r="Z64" s="5396"/>
      <c r="AA64" s="5396"/>
      <c r="AB64" s="5396"/>
      <c r="AC64" s="5396"/>
      <c r="AD64" s="5396"/>
      <c r="AE64" s="5396"/>
      <c r="AF64" s="5396"/>
      <c r="AG64" s="5396"/>
      <c r="AH64" s="5396"/>
      <c r="AI64" s="5396"/>
      <c r="AJ64" s="5396"/>
      <c r="AK64" s="5396"/>
      <c r="AL64" s="5396"/>
      <c r="AM64" s="5396"/>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4868" hidden="1"/>
    <col min="2" max="2" width="11" style="4868" hidden="1" customWidth="1"/>
    <col min="3" max="3" width="10.5703125" style="4868" hidden="1"/>
    <col min="4" max="4" width="11.85546875" style="4868" hidden="1" customWidth="1"/>
    <col min="5" max="5" width="10" style="4868" hidden="1" customWidth="1"/>
    <col min="6" max="6" width="8.7109375" style="4868" hidden="1" customWidth="1"/>
    <col min="7" max="7" width="7.5703125" style="4868" hidden="1" customWidth="1"/>
    <col min="8" max="8" width="11.42578125" style="4868" hidden="1" customWidth="1"/>
    <col min="9" max="9" width="12" style="4868" hidden="1" customWidth="1"/>
    <col min="10" max="10" width="9.85546875" style="4868" hidden="1" customWidth="1"/>
    <col min="11" max="11" width="11.42578125" style="4868" hidden="1" customWidth="1"/>
    <col min="12" max="12" width="19.140625" style="4869" hidden="1" customWidth="1"/>
    <col min="13" max="14" width="12.28515625" style="4870" hidden="1" customWidth="1"/>
    <col min="15" max="15" width="23.42578125" style="4870" hidden="1" customWidth="1"/>
    <col min="16" max="16" width="3.7109375" style="4870" customWidth="1"/>
    <col min="17" max="18" width="3.7109375" style="4860" customWidth="1"/>
    <col min="19" max="19" width="12.7109375" style="4861" customWidth="1"/>
    <col min="20" max="20" width="32" style="4868" customWidth="1"/>
    <col min="21" max="21" width="0.140625" style="4868" customWidth="1"/>
    <col min="22" max="22" width="24.7109375" style="4868" hidden="1" customWidth="1"/>
    <col min="23" max="23" width="0.140625" style="4868" hidden="1" customWidth="1"/>
    <col min="24" max="25" width="24.7109375" style="4868" hidden="1" customWidth="1"/>
    <col min="26" max="26" width="11.7109375" style="4868" hidden="1" customWidth="1"/>
    <col min="27" max="27" width="3.7109375" style="4868" hidden="1" customWidth="1"/>
    <col min="28" max="28" width="11.7109375" style="4868" hidden="1" customWidth="1"/>
    <col min="29" max="29" width="8.5703125" style="4868" hidden="1" customWidth="1"/>
    <col min="30" max="30" width="24.7109375" style="4868" customWidth="1"/>
    <col min="31" max="31" width="0.140625" style="4868" customWidth="1"/>
    <col min="32" max="33" width="24.7109375" style="4868" customWidth="1"/>
    <col min="34" max="34" width="11.7109375" style="4868" customWidth="1"/>
    <col min="35" max="35" width="3.7109375" style="4868" customWidth="1"/>
    <col min="36" max="36" width="11.7109375" style="4868" customWidth="1"/>
    <col min="37" max="37" width="8.5703125" style="4868" hidden="1" customWidth="1"/>
    <col min="38" max="38" width="4.7109375" style="4868" customWidth="1"/>
    <col min="39" max="39" width="115.7109375" style="4868" customWidth="1"/>
    <col min="40" max="41" width="10.5703125" style="4867"/>
    <col min="42" max="42" width="11.140625" style="4867" customWidth="1"/>
    <col min="43" max="44" width="10.5703125" style="4867"/>
  </cols>
  <sheetData>
    <row r="1" spans="1:44" ht="14.25" hidden="1" customHeight="1"/>
    <row r="2" spans="1:44" ht="21" hidden="1" customHeight="1">
      <c r="A2" s="1150"/>
      <c r="B2" s="1150"/>
      <c r="C2" s="1150"/>
      <c r="D2" s="1150"/>
      <c r="E2" s="5400">
        <v>1</v>
      </c>
      <c r="F2" s="1150"/>
      <c r="G2" s="1150"/>
      <c r="H2" s="1150"/>
      <c r="I2" s="1150"/>
      <c r="J2" s="1150"/>
      <c r="K2" s="1150"/>
      <c r="L2" s="1190"/>
      <c r="M2" s="1477"/>
      <c r="N2" s="1477"/>
      <c r="O2" s="1477"/>
      <c r="P2" s="1459"/>
      <c r="Q2" s="277"/>
      <c r="R2" s="272"/>
      <c r="S2" s="1819" t="e">
        <f>INDEX(PT_DIFFERENTIATION_NUM_NTAR,MATCH(A2,PT_DIFFERENTIATION_NTAR_ID,0))</f>
        <v>#N/A</v>
      </c>
      <c r="T2" s="1397" t="s">
        <v>141</v>
      </c>
      <c r="U2" s="218"/>
      <c r="V2" s="5362"/>
      <c r="W2" s="5363"/>
      <c r="X2" s="5363"/>
      <c r="Y2" s="5363"/>
      <c r="Z2" s="5363"/>
      <c r="AA2" s="5363"/>
      <c r="AB2" s="5363"/>
      <c r="AC2" s="5364"/>
      <c r="AD2" s="5362" t="e">
        <f>INDEX(PT_DIFFERENTIATION_NTAR,MATCH(A2,PT_DIFFERENTIATION_NTAR_ID,0))</f>
        <v>#N/A</v>
      </c>
      <c r="AE2" s="5363"/>
      <c r="AF2" s="5363"/>
      <c r="AG2" s="5363"/>
      <c r="AH2" s="5363"/>
      <c r="AI2" s="5363"/>
      <c r="AJ2" s="5363"/>
      <c r="AK2" s="5363"/>
      <c r="AL2" s="5364"/>
      <c r="AM2" s="1141" t="s">
        <v>474</v>
      </c>
      <c r="AO2" s="1488"/>
      <c r="AP2" s="1488" t="str">
        <f t="shared" ref="AP2:AP15" si="0">IF(T2="","",T2)</f>
        <v>Наименование тарифа</v>
      </c>
      <c r="AQ2" s="1488"/>
      <c r="AR2" s="1488"/>
    </row>
    <row r="3" spans="1:44" ht="21" hidden="1" customHeight="1">
      <c r="A3" s="1150"/>
      <c r="B3" s="1150"/>
      <c r="C3" s="1150"/>
      <c r="D3" s="1150"/>
      <c r="E3" s="5401"/>
      <c r="F3" s="5400">
        <v>1</v>
      </c>
      <c r="G3" s="1150"/>
      <c r="H3" s="1150"/>
      <c r="I3" s="1150"/>
      <c r="J3" s="1150"/>
      <c r="K3" s="1150"/>
      <c r="L3" s="1190"/>
      <c r="M3" s="1477"/>
      <c r="N3" s="1477"/>
      <c r="O3" s="1477"/>
      <c r="P3" s="1801"/>
      <c r="Q3" s="269"/>
      <c r="R3" s="270"/>
      <c r="S3" s="1819" t="e">
        <f>INDEX(PT_DIFFERENTIATION_NUM_TER,MATCH(B3,PT_DIFFERENTIATION_TER_ID,0))</f>
        <v>#N/A</v>
      </c>
      <c r="T3" s="1394" t="s">
        <v>475</v>
      </c>
      <c r="U3" s="218"/>
      <c r="V3" s="5362"/>
      <c r="W3" s="5363"/>
      <c r="X3" s="5363"/>
      <c r="Y3" s="5363"/>
      <c r="Z3" s="5363"/>
      <c r="AA3" s="5363"/>
      <c r="AB3" s="5363"/>
      <c r="AC3" s="5364"/>
      <c r="AD3" s="5362" t="e">
        <f>INDEX(PT_DIFFERENTIATION_TER,MATCH(B3,PT_DIFFERENTIATION_TER_ID,0))</f>
        <v>#N/A</v>
      </c>
      <c r="AE3" s="5363"/>
      <c r="AF3" s="5363"/>
      <c r="AG3" s="5363"/>
      <c r="AH3" s="5363"/>
      <c r="AI3" s="5363"/>
      <c r="AJ3" s="5363"/>
      <c r="AK3" s="5363"/>
      <c r="AL3" s="5364"/>
      <c r="AM3" s="1141" t="s">
        <v>476</v>
      </c>
      <c r="AO3" s="1488"/>
      <c r="AP3" s="1488" t="str">
        <f t="shared" si="0"/>
        <v>Территория действия тарифа</v>
      </c>
      <c r="AQ3" s="1488"/>
      <c r="AR3" s="1488"/>
    </row>
    <row r="4" spans="1:44" ht="23.25" hidden="1" customHeight="1">
      <c r="A4" s="1150"/>
      <c r="B4" s="1150"/>
      <c r="C4" s="1150"/>
      <c r="D4" s="1150"/>
      <c r="E4" s="5401"/>
      <c r="F4" s="5401"/>
      <c r="G4" s="5400">
        <v>1</v>
      </c>
      <c r="H4" s="1150"/>
      <c r="I4" s="1150"/>
      <c r="J4" s="1150"/>
      <c r="K4" s="1150"/>
      <c r="L4" s="1190"/>
      <c r="M4" s="1477"/>
      <c r="N4" s="1477"/>
      <c r="O4" s="1477"/>
      <c r="P4" s="271"/>
      <c r="Q4" s="269"/>
      <c r="R4" s="270"/>
      <c r="S4" s="1819" t="e">
        <f>INDEX(PT_DIFFERENTIATION_NUM_CS,MATCH(C4,PT_DIFFERENTIATION_CS_ID,0))</f>
        <v>#N/A</v>
      </c>
      <c r="T4" s="227" t="s">
        <v>477</v>
      </c>
      <c r="U4" s="218"/>
      <c r="V4" s="5362"/>
      <c r="W4" s="5363"/>
      <c r="X4" s="5363"/>
      <c r="Y4" s="5363"/>
      <c r="Z4" s="5363"/>
      <c r="AA4" s="5363"/>
      <c r="AB4" s="5363"/>
      <c r="AC4" s="5364"/>
      <c r="AD4" s="5362" t="e">
        <f>INDEX(PT_DIFFERENTIATION_CS,MATCH(C4,PT_DIFFERENTIATION_CS_ID,0))</f>
        <v>#N/A</v>
      </c>
      <c r="AE4" s="5363"/>
      <c r="AF4" s="5363"/>
      <c r="AG4" s="5363"/>
      <c r="AH4" s="5363"/>
      <c r="AI4" s="5363"/>
      <c r="AJ4" s="5363"/>
      <c r="AK4" s="5363"/>
      <c r="AL4" s="5364"/>
      <c r="AM4" s="1141" t="s">
        <v>478</v>
      </c>
      <c r="AO4" s="1488"/>
      <c r="AP4" s="1488" t="str">
        <f t="shared" si="0"/>
        <v xml:space="preserve">Наименование системы теплоснабжения </v>
      </c>
      <c r="AQ4" s="1488"/>
      <c r="AR4" s="1488"/>
    </row>
    <row r="5" spans="1:44" ht="21" hidden="1" customHeight="1">
      <c r="A5" s="1150"/>
      <c r="B5" s="1150"/>
      <c r="C5" s="1150"/>
      <c r="D5" s="1150"/>
      <c r="E5" s="5401"/>
      <c r="F5" s="5401"/>
      <c r="G5" s="5401"/>
      <c r="H5" s="5400">
        <v>1</v>
      </c>
      <c r="I5" s="1150"/>
      <c r="J5" s="1150"/>
      <c r="K5" s="1150"/>
      <c r="L5" s="1190"/>
      <c r="M5" s="1477"/>
      <c r="N5" s="1477"/>
      <c r="O5" s="1477"/>
      <c r="P5" s="271"/>
      <c r="Q5" s="269"/>
      <c r="R5" s="270"/>
      <c r="S5" s="1819" t="e">
        <f>INDEX(PT_DIFFERENTIATION_NUM_IST_TE,MATCH(D5,PT_DIFFERENTIATION_IST_TE_ID,0))</f>
        <v>#N/A</v>
      </c>
      <c r="T5" s="228" t="s">
        <v>479</v>
      </c>
      <c r="U5" s="218"/>
      <c r="V5" s="5362"/>
      <c r="W5" s="5363"/>
      <c r="X5" s="5363"/>
      <c r="Y5" s="5363"/>
      <c r="Z5" s="5363"/>
      <c r="AA5" s="5363"/>
      <c r="AB5" s="5363"/>
      <c r="AC5" s="5364"/>
      <c r="AD5" s="5362" t="e">
        <f>INDEX(PT_DIFFERENTIATION_IST_TE,MATCH(D5,PT_DIFFERENTIATION_IST_TE_ID,0))</f>
        <v>#N/A</v>
      </c>
      <c r="AE5" s="5363"/>
      <c r="AF5" s="5363"/>
      <c r="AG5" s="5363"/>
      <c r="AH5" s="5363"/>
      <c r="AI5" s="5363"/>
      <c r="AJ5" s="5363"/>
      <c r="AK5" s="5363"/>
      <c r="AL5" s="5364"/>
      <c r="AM5" s="1141" t="s">
        <v>480</v>
      </c>
      <c r="AO5" s="1488"/>
      <c r="AP5" s="1488" t="str">
        <f t="shared" si="0"/>
        <v xml:space="preserve">Источник тепловой энергии  </v>
      </c>
      <c r="AQ5" s="1488"/>
      <c r="AR5" s="1488"/>
    </row>
    <row r="6" spans="1:44" ht="47.25" hidden="1" customHeight="1">
      <c r="A6" s="1150"/>
      <c r="B6" s="1150"/>
      <c r="C6" s="1150"/>
      <c r="D6" s="1150"/>
      <c r="E6" s="5401"/>
      <c r="F6" s="5401"/>
      <c r="G6" s="5401"/>
      <c r="H6" s="5401"/>
      <c r="I6" s="5244" t="e">
        <f>S5&amp;".1"</f>
        <v>#N/A</v>
      </c>
      <c r="J6" s="1150"/>
      <c r="K6" s="1150"/>
      <c r="L6" s="1190" t="s">
        <v>481</v>
      </c>
      <c r="M6" s="1499"/>
      <c r="P6" s="5375">
        <v>1</v>
      </c>
      <c r="Q6" s="1815"/>
      <c r="R6" s="273"/>
      <c r="S6" s="1819" t="e">
        <f>$I6</f>
        <v>#N/A</v>
      </c>
      <c r="T6" s="203" t="s">
        <v>482</v>
      </c>
      <c r="U6" s="218"/>
      <c r="V6" s="5365"/>
      <c r="W6" s="5366"/>
      <c r="X6" s="5366"/>
      <c r="Y6" s="5366"/>
      <c r="Z6" s="5366"/>
      <c r="AA6" s="5366"/>
      <c r="AB6" s="5366"/>
      <c r="AC6" s="5367"/>
      <c r="AD6" s="5365"/>
      <c r="AE6" s="5366"/>
      <c r="AF6" s="5366"/>
      <c r="AG6" s="5366"/>
      <c r="AH6" s="5366"/>
      <c r="AI6" s="5366"/>
      <c r="AJ6" s="5366"/>
      <c r="AK6" s="5366"/>
      <c r="AL6" s="5367"/>
      <c r="AM6" s="1141" t="s">
        <v>483</v>
      </c>
      <c r="AO6" s="1488"/>
      <c r="AP6" s="1488" t="str">
        <f t="shared" si="0"/>
        <v>Схема подключения теплопотребляющей установки к коллектору источника тепловой энергии</v>
      </c>
      <c r="AQ6" s="1488"/>
      <c r="AR6" s="1488"/>
    </row>
    <row r="7" spans="1:44" ht="21" hidden="1" customHeight="1">
      <c r="A7" s="1150"/>
      <c r="B7" s="1150"/>
      <c r="C7" s="1150"/>
      <c r="D7" s="1150"/>
      <c r="E7" s="5401"/>
      <c r="F7" s="5401"/>
      <c r="G7" s="5401"/>
      <c r="H7" s="5401"/>
      <c r="I7" s="5215"/>
      <c r="J7" s="5244" t="e">
        <f>I6&amp;".1"</f>
        <v>#N/A</v>
      </c>
      <c r="K7" s="1150"/>
      <c r="L7" s="1190" t="s">
        <v>484</v>
      </c>
      <c r="M7" s="1499"/>
      <c r="N7" s="1495"/>
      <c r="P7" s="5375"/>
      <c r="Q7" s="5375">
        <v>1</v>
      </c>
      <c r="R7" s="274"/>
      <c r="S7" s="1819" t="e">
        <f>$J7</f>
        <v>#N/A</v>
      </c>
      <c r="T7" s="204" t="s">
        <v>485</v>
      </c>
      <c r="U7" s="218"/>
      <c r="V7" s="5365"/>
      <c r="W7" s="5366"/>
      <c r="X7" s="5366"/>
      <c r="Y7" s="5366"/>
      <c r="Z7" s="5366"/>
      <c r="AA7" s="5366"/>
      <c r="AB7" s="5366"/>
      <c r="AC7" s="5367"/>
      <c r="AD7" s="5365"/>
      <c r="AE7" s="5366"/>
      <c r="AF7" s="5366"/>
      <c r="AG7" s="5366"/>
      <c r="AH7" s="5366"/>
      <c r="AI7" s="5366"/>
      <c r="AJ7" s="5366"/>
      <c r="AK7" s="5366"/>
      <c r="AL7" s="5367"/>
      <c r="AM7" s="1141" t="s">
        <v>486</v>
      </c>
      <c r="AO7" s="1488"/>
      <c r="AP7" s="1488" t="str">
        <f t="shared" si="0"/>
        <v>Группа потребителей</v>
      </c>
      <c r="AQ7" s="1488"/>
      <c r="AR7" s="1488"/>
    </row>
    <row r="8" spans="1:44" ht="21" hidden="1" customHeight="1">
      <c r="A8" s="1150"/>
      <c r="B8" s="1150"/>
      <c r="C8" s="1150"/>
      <c r="D8" s="1150"/>
      <c r="E8" s="5401"/>
      <c r="F8" s="5401"/>
      <c r="G8" s="5401"/>
      <c r="H8" s="5401"/>
      <c r="I8" s="5215"/>
      <c r="J8" s="5215"/>
      <c r="K8" s="5244" t="e">
        <f>J7&amp;".1"</f>
        <v>#N/A</v>
      </c>
      <c r="L8" s="1190" t="s">
        <v>487</v>
      </c>
      <c r="M8" s="1499"/>
      <c r="N8" s="1495"/>
      <c r="O8" s="1495"/>
      <c r="P8" s="5375"/>
      <c r="Q8" s="5375"/>
      <c r="R8" s="274">
        <v>1</v>
      </c>
      <c r="S8" s="1819" t="e">
        <f>$K8</f>
        <v>#N/A</v>
      </c>
      <c r="T8" s="1226"/>
      <c r="U8" s="218"/>
      <c r="V8" s="650"/>
      <c r="W8" s="243"/>
      <c r="X8" s="650"/>
      <c r="Y8" s="1140"/>
      <c r="Z8" s="5379"/>
      <c r="AA8" s="5225" t="s">
        <v>64</v>
      </c>
      <c r="AB8" s="5379"/>
      <c r="AC8" s="5225" t="s">
        <v>64</v>
      </c>
      <c r="AD8" s="650"/>
      <c r="AE8" s="243"/>
      <c r="AF8" s="650"/>
      <c r="AG8" s="1140"/>
      <c r="AH8" s="5379"/>
      <c r="AI8" s="5225" t="s">
        <v>64</v>
      </c>
      <c r="AJ8" s="5379"/>
      <c r="AK8" s="5225" t="s">
        <v>64</v>
      </c>
      <c r="AL8" s="243"/>
      <c r="AM8" s="5371" t="s">
        <v>488</v>
      </c>
      <c r="AN8" s="1500" t="e">
        <f ca="1">STRCHECKDATE(V9:AL9)</f>
        <v>#NAME?</v>
      </c>
      <c r="AO8" s="1488"/>
      <c r="AP8" s="1488" t="str">
        <f t="shared" si="0"/>
        <v/>
      </c>
      <c r="AQ8" s="1488"/>
      <c r="AR8" s="1488"/>
    </row>
    <row r="9" spans="1:44" ht="0.75" hidden="1" customHeight="1">
      <c r="A9" s="1150"/>
      <c r="B9" s="1150"/>
      <c r="C9" s="1150"/>
      <c r="D9" s="1150"/>
      <c r="E9" s="5401"/>
      <c r="F9" s="5401"/>
      <c r="G9" s="5401"/>
      <c r="H9" s="5401"/>
      <c r="I9" s="5215"/>
      <c r="J9" s="5215"/>
      <c r="K9" s="5244"/>
      <c r="L9" s="1190"/>
      <c r="M9" s="1499"/>
      <c r="N9" s="1495"/>
      <c r="O9" s="1495"/>
      <c r="P9" s="5375"/>
      <c r="Q9" s="5375"/>
      <c r="R9" s="274"/>
      <c r="S9" s="1828"/>
      <c r="T9" s="218"/>
      <c r="U9" s="218"/>
      <c r="V9" s="243"/>
      <c r="W9" s="243"/>
      <c r="X9" s="243"/>
      <c r="Y9" s="246" t="str">
        <f>Z8&amp;"-"&amp;AB8</f>
        <v>-</v>
      </c>
      <c r="Z9" s="5380"/>
      <c r="AA9" s="5225"/>
      <c r="AB9" s="5380"/>
      <c r="AC9" s="5225"/>
      <c r="AD9" s="243"/>
      <c r="AE9" s="243"/>
      <c r="AF9" s="243"/>
      <c r="AG9" s="246" t="str">
        <f>AH8&amp;"-"&amp;AJ8</f>
        <v>-</v>
      </c>
      <c r="AH9" s="5380"/>
      <c r="AI9" s="5225"/>
      <c r="AJ9" s="5380"/>
      <c r="AK9" s="5225"/>
      <c r="AL9" s="243"/>
      <c r="AM9" s="5372"/>
      <c r="AO9" s="1488"/>
      <c r="AP9" s="1488" t="str">
        <f t="shared" si="0"/>
        <v/>
      </c>
      <c r="AQ9" s="1488"/>
      <c r="AR9" s="1488"/>
    </row>
    <row r="10" spans="1:44" ht="15" hidden="1" customHeight="1">
      <c r="A10" s="1150"/>
      <c r="B10" s="1150"/>
      <c r="C10" s="1150"/>
      <c r="D10" s="1150"/>
      <c r="E10" s="5401"/>
      <c r="F10" s="5401"/>
      <c r="G10" s="5401"/>
      <c r="H10" s="5401"/>
      <c r="I10" s="5215"/>
      <c r="J10" s="5244"/>
      <c r="K10" s="1150"/>
      <c r="L10" s="1190"/>
      <c r="M10" s="1499"/>
      <c r="N10" s="1495"/>
      <c r="P10" s="5375"/>
      <c r="Q10" s="5375"/>
      <c r="R10" s="273"/>
      <c r="S10" s="1161"/>
      <c r="T10" s="206" t="s">
        <v>489</v>
      </c>
      <c r="U10" s="504"/>
      <c r="V10" s="504"/>
      <c r="W10" s="504"/>
      <c r="X10" s="504"/>
      <c r="Y10" s="504"/>
      <c r="Z10" s="504"/>
      <c r="AA10" s="504"/>
      <c r="AB10" s="504"/>
      <c r="AC10" s="504"/>
      <c r="AD10" s="504"/>
      <c r="AE10" s="504"/>
      <c r="AF10" s="504"/>
      <c r="AG10" s="504"/>
      <c r="AH10" s="504"/>
      <c r="AI10" s="504"/>
      <c r="AJ10" s="504"/>
      <c r="AK10" s="504"/>
      <c r="AL10" s="242"/>
      <c r="AM10" s="5373"/>
      <c r="AO10" s="1488"/>
      <c r="AP10" s="1488" t="str">
        <f t="shared" si="0"/>
        <v>Добавить вид теплоносителя (параметры теплоносителя)</v>
      </c>
      <c r="AQ10" s="1488"/>
      <c r="AR10" s="1488"/>
    </row>
    <row r="11" spans="1:44" ht="15" hidden="1" customHeight="1">
      <c r="A11" s="1150"/>
      <c r="B11" s="1150"/>
      <c r="C11" s="1150"/>
      <c r="D11" s="1150"/>
      <c r="E11" s="5401"/>
      <c r="F11" s="5401"/>
      <c r="G11" s="5401"/>
      <c r="H11" s="5401"/>
      <c r="I11" s="5244"/>
      <c r="J11" s="1150"/>
      <c r="K11" s="1150"/>
      <c r="L11" s="1190"/>
      <c r="M11" s="1499"/>
      <c r="P11" s="5375"/>
      <c r="Q11" s="1815"/>
      <c r="R11" s="273"/>
      <c r="S11" s="1161"/>
      <c r="T11" s="205" t="s">
        <v>490</v>
      </c>
      <c r="U11" s="504"/>
      <c r="V11" s="504"/>
      <c r="W11" s="504"/>
      <c r="X11" s="504"/>
      <c r="Y11" s="504"/>
      <c r="Z11" s="504"/>
      <c r="AA11" s="504"/>
      <c r="AB11" s="504"/>
      <c r="AC11" s="282"/>
      <c r="AD11" s="504"/>
      <c r="AE11" s="504"/>
      <c r="AF11" s="504"/>
      <c r="AG11" s="504"/>
      <c r="AH11" s="504"/>
      <c r="AI11" s="504"/>
      <c r="AJ11" s="504"/>
      <c r="AK11" s="282"/>
      <c r="AL11" s="504"/>
      <c r="AM11" s="221"/>
      <c r="AO11" s="1488"/>
      <c r="AP11" s="1488" t="str">
        <f t="shared" si="0"/>
        <v>Добавить группу потребителей</v>
      </c>
      <c r="AQ11" s="1488"/>
      <c r="AR11" s="1488"/>
    </row>
    <row r="12" spans="1:44" ht="14.25" hidden="1" customHeight="1">
      <c r="A12" s="1150"/>
      <c r="B12" s="1150"/>
      <c r="C12" s="1150"/>
      <c r="D12" s="1150"/>
      <c r="E12" s="5401"/>
      <c r="F12" s="5401"/>
      <c r="G12" s="5401"/>
      <c r="H12" s="5400"/>
      <c r="I12" s="1150"/>
      <c r="J12" s="1150"/>
      <c r="K12" s="1150"/>
      <c r="L12" s="1190"/>
      <c r="M12" s="1477"/>
      <c r="N12" s="1477"/>
      <c r="O12" s="1499"/>
      <c r="P12" s="277"/>
      <c r="Q12" s="291"/>
      <c r="R12" s="272"/>
      <c r="S12" s="1161"/>
      <c r="T12" s="281" t="s">
        <v>491</v>
      </c>
      <c r="U12" s="504"/>
      <c r="V12" s="504"/>
      <c r="W12" s="504"/>
      <c r="X12" s="504"/>
      <c r="Y12" s="504"/>
      <c r="Z12" s="504"/>
      <c r="AA12" s="504"/>
      <c r="AB12" s="504"/>
      <c r="AC12" s="282"/>
      <c r="AD12" s="504"/>
      <c r="AE12" s="504"/>
      <c r="AF12" s="504"/>
      <c r="AG12" s="504"/>
      <c r="AH12" s="504"/>
      <c r="AI12" s="504"/>
      <c r="AJ12" s="504"/>
      <c r="AK12" s="282"/>
      <c r="AL12" s="504"/>
      <c r="AM12" s="221"/>
      <c r="AO12" s="1488"/>
      <c r="AP12" s="1488" t="str">
        <f t="shared" si="0"/>
        <v>Добавить схему подключения</v>
      </c>
      <c r="AQ12" s="1488"/>
      <c r="AR12" s="1488"/>
    </row>
    <row r="13" spans="1:44" s="4864" customFormat="1" ht="0.75" hidden="1" customHeight="1">
      <c r="A13" s="1252"/>
      <c r="B13" s="1252"/>
      <c r="C13" s="1252"/>
      <c r="D13" s="1252"/>
      <c r="E13" s="5401"/>
      <c r="F13" s="5401"/>
      <c r="G13" s="5400"/>
      <c r="H13" s="1252"/>
      <c r="I13" s="1252"/>
      <c r="J13" s="1252"/>
      <c r="K13" s="1252"/>
      <c r="L13" s="1255"/>
      <c r="M13" s="1256"/>
      <c r="N13" s="1256"/>
      <c r="O13" s="268"/>
      <c r="P13" s="1196"/>
      <c r="Q13" s="1197"/>
      <c r="R13" s="1196"/>
      <c r="S13" s="1198"/>
      <c r="T13" s="1199" t="s">
        <v>492</v>
      </c>
      <c r="U13" s="1200"/>
      <c r="V13" s="1200"/>
      <c r="W13" s="1200"/>
      <c r="X13" s="1200"/>
      <c r="Y13" s="1200"/>
      <c r="Z13" s="1200"/>
      <c r="AA13" s="1200"/>
      <c r="AB13" s="1200"/>
      <c r="AC13" s="1200"/>
      <c r="AD13" s="1200"/>
      <c r="AE13" s="1200"/>
      <c r="AF13" s="1200"/>
      <c r="AG13" s="1200"/>
      <c r="AH13" s="1200"/>
      <c r="AI13" s="1200"/>
      <c r="AJ13" s="1200"/>
      <c r="AK13" s="1200"/>
      <c r="AL13" s="1200"/>
      <c r="AM13" s="1200"/>
      <c r="AO13" s="1134"/>
      <c r="AP13" s="1134" t="str">
        <f t="shared" si="0"/>
        <v>Добавить источник для дифференциации</v>
      </c>
      <c r="AQ13" s="1134"/>
      <c r="AR13" s="1134"/>
    </row>
    <row r="14" spans="1:44" s="4864" customFormat="1" ht="0.75" hidden="1" customHeight="1">
      <c r="A14" s="1252"/>
      <c r="B14" s="1252"/>
      <c r="C14" s="1252"/>
      <c r="D14" s="1252"/>
      <c r="E14" s="5401"/>
      <c r="F14" s="5400"/>
      <c r="G14" s="1252"/>
      <c r="H14" s="1252"/>
      <c r="I14" s="1252"/>
      <c r="J14" s="1252"/>
      <c r="K14" s="1252"/>
      <c r="L14" s="1255"/>
      <c r="M14" s="1257"/>
      <c r="N14" s="1257"/>
      <c r="O14" s="268"/>
      <c r="P14" s="1196"/>
      <c r="Q14" s="1197"/>
      <c r="R14" s="1196"/>
      <c r="S14" s="1202"/>
      <c r="T14" s="1203" t="s">
        <v>271</v>
      </c>
      <c r="U14" s="1204"/>
      <c r="V14" s="1204"/>
      <c r="W14" s="1204"/>
      <c r="X14" s="1204"/>
      <c r="Y14" s="1204"/>
      <c r="Z14" s="1204"/>
      <c r="AA14" s="1204"/>
      <c r="AB14" s="1204"/>
      <c r="AC14" s="1204"/>
      <c r="AD14" s="1204"/>
      <c r="AE14" s="1204"/>
      <c r="AF14" s="1204"/>
      <c r="AG14" s="1204"/>
      <c r="AH14" s="1204"/>
      <c r="AI14" s="1204"/>
      <c r="AJ14" s="1204"/>
      <c r="AK14" s="1204"/>
      <c r="AL14" s="1204"/>
      <c r="AM14" s="1204"/>
      <c r="AO14" s="1134"/>
      <c r="AP14" s="1134" t="str">
        <f t="shared" si="0"/>
        <v>Добавить централизованную систему для дифференциации</v>
      </c>
      <c r="AQ14" s="1134"/>
      <c r="AR14" s="1134"/>
    </row>
    <row r="15" spans="1:44" s="4864" customFormat="1" ht="0.75" hidden="1" customHeight="1">
      <c r="A15" s="1252"/>
      <c r="B15" s="1252"/>
      <c r="C15" s="1252"/>
      <c r="D15" s="1252"/>
      <c r="E15" s="5400"/>
      <c r="F15" s="1252"/>
      <c r="G15" s="1252"/>
      <c r="H15" s="1252"/>
      <c r="I15" s="1252"/>
      <c r="J15" s="1252"/>
      <c r="K15" s="1252"/>
      <c r="L15" s="1255"/>
      <c r="M15" s="1257"/>
      <c r="N15" s="1257"/>
      <c r="O15" s="268"/>
      <c r="P15" s="1196"/>
      <c r="Q15" s="1197"/>
      <c r="R15" s="1196"/>
      <c r="S15" s="1202"/>
      <c r="T15" s="1205" t="s">
        <v>330</v>
      </c>
      <c r="U15" s="1204"/>
      <c r="V15" s="1204"/>
      <c r="W15" s="1204"/>
      <c r="X15" s="1204"/>
      <c r="Y15" s="1204"/>
      <c r="Z15" s="1204"/>
      <c r="AA15" s="1204"/>
      <c r="AB15" s="1204"/>
      <c r="AC15" s="1204"/>
      <c r="AD15" s="1204"/>
      <c r="AE15" s="1204"/>
      <c r="AF15" s="1204"/>
      <c r="AG15" s="1204"/>
      <c r="AH15" s="1204"/>
      <c r="AI15" s="1204"/>
      <c r="AJ15" s="1204"/>
      <c r="AK15" s="1204"/>
      <c r="AL15" s="1204"/>
      <c r="AM15" s="1204"/>
      <c r="AO15" s="1134"/>
      <c r="AP15" s="1134" t="str">
        <f t="shared" si="0"/>
        <v>Добавить территорию для дифференциации</v>
      </c>
      <c r="AQ15" s="1134"/>
      <c r="AR15" s="1134"/>
    </row>
    <row r="16" spans="1:44" ht="14.25" hidden="1" customHeight="1"/>
    <row r="17" spans="1:44" ht="14.25" hidden="1" customHeight="1">
      <c r="AD17" s="1238"/>
      <c r="AE17" s="1238"/>
      <c r="AF17" s="1238"/>
      <c r="AG17" s="1239"/>
      <c r="AH17" s="5381"/>
      <c r="AI17" s="5382" t="s">
        <v>64</v>
      </c>
      <c r="AJ17" s="5381"/>
      <c r="AK17" s="5382" t="s">
        <v>64</v>
      </c>
    </row>
    <row r="18" spans="1:44" ht="14.25" hidden="1" customHeight="1">
      <c r="AD18" s="1238"/>
      <c r="AE18" s="1238"/>
      <c r="AF18" s="1238"/>
      <c r="AG18" s="246" t="str">
        <f>AH17&amp;"-"&amp;AJ17</f>
        <v>-</v>
      </c>
      <c r="AH18" s="5382"/>
      <c r="AI18" s="5382"/>
      <c r="AJ18" s="5382"/>
      <c r="AK18" s="5382"/>
    </row>
    <row r="19" spans="1:44" ht="14.25" hidden="1" customHeight="1"/>
    <row r="20" spans="1:44" s="4865" customFormat="1" ht="14.25" hidden="1" customHeight="1">
      <c r="A20" s="1495"/>
      <c r="B20" s="1495"/>
      <c r="C20" s="1495"/>
      <c r="D20" s="1495"/>
      <c r="E20" s="1495"/>
      <c r="F20" s="1495"/>
      <c r="G20" s="1495"/>
      <c r="H20" s="1495"/>
      <c r="I20" s="1495"/>
      <c r="J20" s="1495"/>
      <c r="K20" s="1495"/>
      <c r="L20" s="1800"/>
      <c r="M20" s="1826"/>
      <c r="N20" s="1826"/>
      <c r="O20" s="1224" t="s">
        <v>493</v>
      </c>
      <c r="P20" s="1240"/>
      <c r="Q20" s="1249"/>
      <c r="R20" s="1249"/>
      <c r="S20" s="630"/>
      <c r="Z20" s="1245"/>
      <c r="AB20" s="1245"/>
      <c r="AH20" s="1245"/>
      <c r="AJ20" s="1245"/>
      <c r="AN20" s="1500"/>
      <c r="AO20" s="1500"/>
      <c r="AP20" s="1500"/>
      <c r="AQ20" s="1500"/>
      <c r="AR20" s="1500"/>
    </row>
    <row r="21" spans="1:44" s="4865" customFormat="1" ht="14.25" hidden="1" customHeight="1">
      <c r="A21" s="1495"/>
      <c r="B21" s="1495"/>
      <c r="C21" s="1495"/>
      <c r="D21" s="1495"/>
      <c r="E21" s="1495"/>
      <c r="F21" s="1495"/>
      <c r="G21" s="1495"/>
      <c r="H21" s="1495"/>
      <c r="I21" s="1495"/>
      <c r="J21" s="1495"/>
      <c r="K21" s="1495"/>
      <c r="L21" s="1800"/>
      <c r="M21" s="1826"/>
      <c r="N21" s="1826"/>
      <c r="O21" s="1826"/>
      <c r="P21" s="1240"/>
      <c r="Q21" s="1249"/>
      <c r="R21" s="1249"/>
      <c r="S21" s="630"/>
      <c r="AN21" s="1500"/>
      <c r="AO21" s="1500"/>
      <c r="AP21" s="1500"/>
      <c r="AQ21" s="1500"/>
      <c r="AR21" s="1500"/>
    </row>
    <row r="22" spans="1:44" s="4865" customFormat="1" ht="14.25" hidden="1" customHeight="1">
      <c r="A22" s="1495"/>
      <c r="B22" s="1495"/>
      <c r="C22" s="1495"/>
      <c r="D22" s="1495"/>
      <c r="E22" s="1495"/>
      <c r="F22" s="1495"/>
      <c r="G22" s="1495"/>
      <c r="H22" s="1495"/>
      <c r="I22" s="1495"/>
      <c r="J22" s="1495"/>
      <c r="K22" s="1495"/>
      <c r="L22" s="1800"/>
      <c r="M22" s="1826"/>
      <c r="N22" s="1826"/>
      <c r="O22" s="1190" t="s">
        <v>494</v>
      </c>
      <c r="P22" s="1240"/>
      <c r="Q22" s="1249"/>
      <c r="R22" s="1249"/>
      <c r="S22" s="630"/>
      <c r="T22" s="1244" t="s">
        <v>495</v>
      </c>
      <c r="AA22" s="500" t="s">
        <v>496</v>
      </c>
      <c r="AC22" s="500" t="s">
        <v>497</v>
      </c>
      <c r="AD22" s="1244" t="s">
        <v>495</v>
      </c>
      <c r="AI22" s="500" t="s">
        <v>498</v>
      </c>
      <c r="AK22" s="500" t="s">
        <v>497</v>
      </c>
      <c r="AN22" s="1500"/>
      <c r="AO22" s="1500"/>
      <c r="AP22" s="1500"/>
      <c r="AQ22" s="1500"/>
      <c r="AR22" s="1500"/>
    </row>
    <row r="23" spans="1:44" ht="14.25" hidden="1" customHeight="1">
      <c r="O23" s="1190"/>
    </row>
    <row r="24" spans="1:44" ht="14.25" hidden="1" customHeight="1">
      <c r="O24" s="1190"/>
    </row>
    <row r="25" spans="1:44" ht="14.25" customHeight="1">
      <c r="Q25" s="292"/>
      <c r="R25" s="292"/>
      <c r="S25" s="1158"/>
      <c r="T25" s="367"/>
      <c r="U25" s="367"/>
      <c r="V25" s="1499"/>
      <c r="W25" s="1499"/>
      <c r="X25" s="1499"/>
      <c r="Y25" s="1499"/>
      <c r="Z25" s="1499"/>
      <c r="AA25" s="1499"/>
      <c r="AB25" s="1499"/>
      <c r="AC25" s="1499"/>
      <c r="AD25" s="1499"/>
      <c r="AE25" s="1499"/>
      <c r="AF25" s="1499"/>
      <c r="AG25" s="1499"/>
      <c r="AH25" s="1499"/>
      <c r="AI25" s="1499"/>
      <c r="AJ25" s="1499"/>
      <c r="AK25" s="1499"/>
    </row>
    <row r="26" spans="1:44" ht="14.25" customHeight="1">
      <c r="Q26" s="292"/>
      <c r="R26" s="292"/>
      <c r="S26" s="53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60"/>
      <c r="U26" s="5360"/>
      <c r="V26" s="5360"/>
      <c r="W26" s="5360"/>
      <c r="X26" s="5360"/>
      <c r="Y26" s="5360"/>
      <c r="Z26" s="5360"/>
      <c r="AA26" s="5360"/>
      <c r="AB26" s="5360"/>
      <c r="AC26" s="5360"/>
      <c r="AD26" s="5360"/>
      <c r="AE26" s="5360"/>
      <c r="AF26" s="5360"/>
      <c r="AG26" s="5360"/>
      <c r="AH26" s="5360"/>
      <c r="AI26" s="5360"/>
      <c r="AJ26" s="5360"/>
      <c r="AK26" s="1126"/>
    </row>
    <row r="27" spans="1:44" ht="14.25" customHeight="1">
      <c r="Q27" s="292"/>
      <c r="R27" s="292"/>
      <c r="S27" s="5308" t="str">
        <f>IF(org=0,"Не определено",org)</f>
        <v>ООО «Газпром теплоэнерго МО»</v>
      </c>
      <c r="T27" s="5308"/>
      <c r="U27" s="5308"/>
      <c r="V27" s="5308"/>
      <c r="W27" s="5308"/>
      <c r="X27" s="5308"/>
      <c r="Y27" s="5308"/>
      <c r="Z27" s="5308"/>
      <c r="AA27" s="5308"/>
      <c r="AB27" s="5308"/>
      <c r="AC27" s="5308"/>
      <c r="AD27" s="5308"/>
      <c r="AE27" s="5308"/>
      <c r="AF27" s="5308"/>
      <c r="AG27" s="5308"/>
      <c r="AH27" s="5308"/>
      <c r="AI27" s="5308"/>
      <c r="AJ27" s="5308"/>
      <c r="AK27" s="1126"/>
    </row>
    <row r="28" spans="1:44" ht="14.25" hidden="1" customHeight="1">
      <c r="Q28" s="292"/>
      <c r="R28" s="292"/>
      <c r="S28" s="1158"/>
      <c r="T28" s="367"/>
      <c r="U28" s="367"/>
      <c r="V28" s="240"/>
      <c r="W28" s="240"/>
      <c r="X28" s="240"/>
      <c r="Y28" s="240"/>
      <c r="Z28" s="240"/>
      <c r="AA28" s="240"/>
      <c r="AB28" s="240"/>
      <c r="AC28" s="240"/>
      <c r="AD28" s="240"/>
      <c r="AE28" s="240"/>
      <c r="AF28" s="240"/>
      <c r="AG28" s="240"/>
      <c r="AH28" s="240"/>
      <c r="AI28" s="240"/>
      <c r="AJ28" s="240"/>
      <c r="AK28" s="240"/>
      <c r="AL28" s="1499"/>
    </row>
    <row r="29" spans="1:44" s="4855" customFormat="1" ht="25.5" hidden="1" customHeight="1">
      <c r="A29" s="1131"/>
      <c r="B29" s="1131"/>
      <c r="C29" s="1131"/>
      <c r="D29" s="1131"/>
      <c r="E29" s="1131"/>
      <c r="F29" s="1131"/>
      <c r="G29" s="1131"/>
      <c r="H29" s="1131"/>
      <c r="I29" s="1131"/>
      <c r="J29" s="1131"/>
      <c r="K29" s="1131"/>
      <c r="L29" s="1258"/>
      <c r="M29" s="1131"/>
      <c r="N29" s="1131"/>
      <c r="O29" s="1131"/>
      <c r="S29" s="5368" t="s">
        <v>38</v>
      </c>
      <c r="T29" s="5368"/>
      <c r="U29" s="1250"/>
      <c r="V29" s="5369" t="str">
        <f>IF(TITLE_NAME_OR_PR_CHANGE="",IF(TITLE_NAME_OR_PR="","",TITLE_NAME_OR_PR),TITLE_NAME_OR_PR_CHANGE)</f>
        <v>Комитет по ценам и тарифам Московской области</v>
      </c>
      <c r="W29" s="5369"/>
      <c r="X29" s="5369"/>
      <c r="Y29" s="5369"/>
      <c r="Z29" s="5369"/>
      <c r="AA29" s="5369"/>
      <c r="AB29" s="5369"/>
      <c r="AC29" s="1499"/>
      <c r="AD29" s="5369" t="str">
        <f>IF(TITLE_NAME_OR_PR_CHANGE="",IF(TITLE_NAME_OR_PR="","",TITLE_NAME_OR_PR),TITLE_NAME_OR_PR_CHANGE)</f>
        <v>Комитет по ценам и тарифам Московской области</v>
      </c>
      <c r="AE29" s="5369"/>
      <c r="AF29" s="5369"/>
      <c r="AG29" s="5369"/>
      <c r="AH29" s="5369"/>
      <c r="AI29" s="5369"/>
      <c r="AJ29" s="5369"/>
      <c r="AK29" s="1499"/>
      <c r="AL29" s="1499"/>
      <c r="AM29" s="199"/>
      <c r="AN29" s="284"/>
      <c r="AO29" s="284"/>
      <c r="AP29" s="284"/>
      <c r="AQ29" s="284"/>
      <c r="AR29" s="284"/>
    </row>
    <row r="30" spans="1:44" s="4855" customFormat="1" ht="18.75" hidden="1" customHeight="1">
      <c r="A30" s="1131"/>
      <c r="B30" s="1131"/>
      <c r="C30" s="1131"/>
      <c r="D30" s="1131"/>
      <c r="E30" s="1131"/>
      <c r="F30" s="1131"/>
      <c r="G30" s="1131"/>
      <c r="H30" s="1131"/>
      <c r="I30" s="1131"/>
      <c r="J30" s="1131"/>
      <c r="K30" s="1131"/>
      <c r="L30" s="1258"/>
      <c r="M30" s="1131"/>
      <c r="N30" s="1131"/>
      <c r="O30" s="1131"/>
      <c r="S30" s="5368" t="s">
        <v>499</v>
      </c>
      <c r="T30" s="5368"/>
      <c r="U30" s="1250"/>
      <c r="V30" s="5378">
        <f>IF(TITLE_DATE_PR_CHANGE="",IF(TITLE_DATE_PR="","",TITLE_DATE_PR),TITLE_DATE_PR_CHANGE)</f>
        <v>45280</v>
      </c>
      <c r="W30" s="5378"/>
      <c r="X30" s="5378"/>
      <c r="Y30" s="5378"/>
      <c r="Z30" s="5378"/>
      <c r="AA30" s="5378"/>
      <c r="AB30" s="5378"/>
      <c r="AC30" s="1499"/>
      <c r="AD30" s="5378">
        <f>IF(TITLE_DATE_PR_CHANGE="",IF(TITLE_DATE_PR="","",TITLE_DATE_PR),TITLE_DATE_PR_CHANGE)</f>
        <v>45280</v>
      </c>
      <c r="AE30" s="5378"/>
      <c r="AF30" s="5378"/>
      <c r="AG30" s="5378"/>
      <c r="AH30" s="5378"/>
      <c r="AI30" s="5378"/>
      <c r="AJ30" s="5378"/>
      <c r="AK30" s="1499"/>
      <c r="AL30" s="1499"/>
      <c r="AM30" s="199"/>
      <c r="AN30" s="284"/>
      <c r="AO30" s="284"/>
      <c r="AP30" s="284"/>
      <c r="AQ30" s="284"/>
      <c r="AR30" s="284"/>
    </row>
    <row r="31" spans="1:44" s="4855" customFormat="1" ht="18.75" hidden="1" customHeight="1">
      <c r="A31" s="1131"/>
      <c r="B31" s="1131"/>
      <c r="C31" s="1131"/>
      <c r="D31" s="1131"/>
      <c r="E31" s="1131"/>
      <c r="F31" s="1131"/>
      <c r="G31" s="1131"/>
      <c r="H31" s="1131"/>
      <c r="I31" s="1131"/>
      <c r="J31" s="1131"/>
      <c r="K31" s="1131"/>
      <c r="L31" s="1258"/>
      <c r="M31" s="1131"/>
      <c r="N31" s="1131"/>
      <c r="O31" s="1131"/>
      <c r="S31" s="5368" t="s">
        <v>500</v>
      </c>
      <c r="T31" s="5368"/>
      <c r="U31" s="1250"/>
      <c r="V31" s="5369" t="str">
        <f>IF(TITLE_NUMBER_PR_CHANGE="",IF(TITLE_NUMBER_PR="","",TITLE_NUMBER_PR),TITLE_NUMBER_PR_CHANGE)</f>
        <v>317-Р</v>
      </c>
      <c r="W31" s="5369"/>
      <c r="X31" s="5369"/>
      <c r="Y31" s="5369"/>
      <c r="Z31" s="5369"/>
      <c r="AA31" s="5369"/>
      <c r="AB31" s="5369"/>
      <c r="AC31" s="1499"/>
      <c r="AD31" s="5369" t="str">
        <f>IF(TITLE_NUMBER_PR_CHANGE="",IF(TITLE_NUMBER_PR="","",TITLE_NUMBER_PR),TITLE_NUMBER_PR_CHANGE)</f>
        <v>317-Р</v>
      </c>
      <c r="AE31" s="5369"/>
      <c r="AF31" s="5369"/>
      <c r="AG31" s="5369"/>
      <c r="AH31" s="5369"/>
      <c r="AI31" s="5369"/>
      <c r="AJ31" s="5369"/>
      <c r="AK31" s="1499"/>
      <c r="AL31" s="1499"/>
      <c r="AM31" s="199"/>
      <c r="AN31" s="284"/>
      <c r="AO31" s="284"/>
      <c r="AP31" s="284"/>
      <c r="AQ31" s="284"/>
      <c r="AR31" s="284"/>
    </row>
    <row r="32" spans="1:44" s="4855" customFormat="1" ht="18.75" hidden="1" customHeight="1">
      <c r="A32" s="1131"/>
      <c r="B32" s="1131"/>
      <c r="C32" s="1131"/>
      <c r="D32" s="1131"/>
      <c r="E32" s="1131"/>
      <c r="F32" s="1131"/>
      <c r="G32" s="1131"/>
      <c r="H32" s="1131"/>
      <c r="I32" s="1131"/>
      <c r="J32" s="1131"/>
      <c r="K32" s="1131"/>
      <c r="L32" s="1258"/>
      <c r="M32" s="1131"/>
      <c r="N32" s="1131"/>
      <c r="O32" s="1131"/>
      <c r="S32" s="5368" t="s">
        <v>40</v>
      </c>
      <c r="T32" s="5368"/>
      <c r="U32" s="1250"/>
      <c r="V32" s="5369" t="str">
        <f>IF(TITLE_IST_PUB_CHANGE="",IF(TITLE_IST_PUB="","",TITLE_IST_PUB),TITLE_IST_PUB_CHANGE)</f>
        <v>https://ktc.mosreg.ru/dokumenty/normotvorchestvo/rasporyazheniya/gosudarstvennoe-regulirovanie-tarifov-na-teplovuyu-energiyu-raspor/29-12-2023-16-47-50-rasporyazhenie-komiteta-po-tsenam-i-tarifam-moskov</v>
      </c>
      <c r="W32" s="5369"/>
      <c r="X32" s="5369"/>
      <c r="Y32" s="5369"/>
      <c r="Z32" s="5369"/>
      <c r="AA32" s="5369"/>
      <c r="AB32" s="5369"/>
      <c r="AC32" s="1499"/>
      <c r="AD32" s="5369" t="str">
        <f>IF(TITLE_IST_PUB_CHANGE="",IF(TITLE_IST_PUB="","",TITLE_IST_PUB),TITLE_IST_PUB_CHANGE)</f>
        <v>https://ktc.mosreg.ru/dokumenty/normotvorchestvo/rasporyazheniya/gosudarstvennoe-regulirovanie-tarifov-na-teplovuyu-energiyu-raspor/29-12-2023-16-47-50-rasporyazhenie-komiteta-po-tsenam-i-tarifam-moskov</v>
      </c>
      <c r="AE32" s="5369"/>
      <c r="AF32" s="5369"/>
      <c r="AG32" s="5369"/>
      <c r="AH32" s="5369"/>
      <c r="AI32" s="5369"/>
      <c r="AJ32" s="5369"/>
      <c r="AK32" s="1499"/>
      <c r="AL32" s="1499"/>
      <c r="AM32" s="199"/>
      <c r="AN32" s="284"/>
      <c r="AO32" s="284"/>
      <c r="AP32" s="284"/>
      <c r="AQ32" s="284"/>
      <c r="AR32" s="284"/>
    </row>
    <row r="33" spans="1:44" ht="14.25" hidden="1" customHeight="1">
      <c r="Q33" s="292"/>
      <c r="R33" s="292"/>
      <c r="S33" s="1158"/>
      <c r="T33" s="367"/>
      <c r="U33" s="367"/>
      <c r="V33" s="240"/>
      <c r="W33" s="240"/>
      <c r="X33" s="240"/>
      <c r="Y33" s="240"/>
      <c r="Z33" s="240"/>
      <c r="AA33" s="240"/>
      <c r="AB33" s="240"/>
      <c r="AC33" s="240"/>
      <c r="AD33" s="240"/>
      <c r="AE33" s="240"/>
      <c r="AF33" s="240"/>
      <c r="AG33" s="240"/>
      <c r="AH33" s="240"/>
      <c r="AI33" s="240"/>
      <c r="AJ33" s="240"/>
      <c r="AK33" s="240"/>
      <c r="AL33" s="1499"/>
    </row>
    <row r="34" spans="1:44" s="4855" customFormat="1" ht="18.75" hidden="1" customHeight="1">
      <c r="A34" s="1131"/>
      <c r="B34" s="1131"/>
      <c r="C34" s="1131"/>
      <c r="D34" s="1131"/>
      <c r="E34" s="1131"/>
      <c r="F34" s="1131"/>
      <c r="G34" s="1131"/>
      <c r="H34" s="1131"/>
      <c r="I34" s="1131"/>
      <c r="J34" s="1131"/>
      <c r="K34" s="1131"/>
      <c r="L34" s="1258"/>
      <c r="M34" s="1131"/>
      <c r="N34" s="1131"/>
      <c r="O34" s="1131"/>
      <c r="S34" s="5368" t="s">
        <v>501</v>
      </c>
      <c r="T34" s="5368"/>
      <c r="U34" s="1250"/>
      <c r="V34" s="5378">
        <f>IF(TITLE_DATE_PR_CHANGE="",IF(TITLE_DATE_PR="","",TITLE_DATE_PR),TITLE_DATE_PR_CHANGE)</f>
        <v>45280</v>
      </c>
      <c r="W34" s="5378"/>
      <c r="X34" s="5378"/>
      <c r="Y34" s="5378"/>
      <c r="Z34" s="5378"/>
      <c r="AA34" s="5378"/>
      <c r="AB34" s="5378"/>
      <c r="AC34" s="1499"/>
      <c r="AD34" s="5378">
        <f>IF(TITLE_DATE_PR_CHANGE="",IF(TITLE_DATE_PR="","",TITLE_DATE_PR),TITLE_DATE_PR_CHANGE)</f>
        <v>45280</v>
      </c>
      <c r="AE34" s="5378"/>
      <c r="AF34" s="5378"/>
      <c r="AG34" s="5378"/>
      <c r="AH34" s="5378"/>
      <c r="AI34" s="5378"/>
      <c r="AJ34" s="5378"/>
      <c r="AK34" s="1499"/>
      <c r="AL34" s="1499"/>
      <c r="AM34" s="199"/>
      <c r="AN34" s="284"/>
      <c r="AO34" s="284"/>
      <c r="AP34" s="284"/>
      <c r="AQ34" s="284"/>
      <c r="AR34" s="284"/>
    </row>
    <row r="35" spans="1:44" s="4855" customFormat="1" ht="18.75" hidden="1" customHeight="1">
      <c r="A35" s="1131"/>
      <c r="B35" s="1131"/>
      <c r="C35" s="1131"/>
      <c r="D35" s="1131"/>
      <c r="E35" s="1131"/>
      <c r="F35" s="1131"/>
      <c r="G35" s="1131"/>
      <c r="H35" s="1131"/>
      <c r="I35" s="1131"/>
      <c r="J35" s="1131"/>
      <c r="K35" s="1131"/>
      <c r="L35" s="1258"/>
      <c r="M35" s="1131"/>
      <c r="N35" s="1131"/>
      <c r="O35" s="1131"/>
      <c r="S35" s="5368" t="s">
        <v>502</v>
      </c>
      <c r="T35" s="5368"/>
      <c r="U35" s="1250"/>
      <c r="V35" s="5369" t="str">
        <f>IF(TITLE_NUMBER_PR_CHANGE="",IF(TITLE_NUMBER_PR="","",TITLE_NUMBER_PR),TITLE_NUMBER_PR_CHANGE)</f>
        <v>317-Р</v>
      </c>
      <c r="W35" s="5369"/>
      <c r="X35" s="5369"/>
      <c r="Y35" s="5369"/>
      <c r="Z35" s="5369"/>
      <c r="AA35" s="5369"/>
      <c r="AB35" s="5369"/>
      <c r="AC35" s="1499"/>
      <c r="AD35" s="5369" t="str">
        <f>IF(TITLE_NUMBER_PR_CHANGE="",IF(TITLE_NUMBER_PR="","",TITLE_NUMBER_PR),TITLE_NUMBER_PR_CHANGE)</f>
        <v>317-Р</v>
      </c>
      <c r="AE35" s="5369"/>
      <c r="AF35" s="5369"/>
      <c r="AG35" s="5369"/>
      <c r="AH35" s="5369"/>
      <c r="AI35" s="5369"/>
      <c r="AJ35" s="5369"/>
      <c r="AK35" s="1499"/>
      <c r="AL35" s="1499"/>
      <c r="AM35" s="199"/>
      <c r="AN35" s="284"/>
      <c r="AO35" s="284"/>
      <c r="AP35" s="284"/>
      <c r="AQ35" s="284"/>
      <c r="AR35" s="284"/>
    </row>
    <row r="36" spans="1:44" s="4855" customFormat="1" ht="0" hidden="1" customHeight="1">
      <c r="A36" s="1131"/>
      <c r="B36" s="1131"/>
      <c r="C36" s="1131"/>
      <c r="D36" s="1131"/>
      <c r="E36" s="1131"/>
      <c r="F36" s="1131"/>
      <c r="G36" s="1131"/>
      <c r="H36" s="1131"/>
      <c r="I36" s="1131"/>
      <c r="J36" s="1131"/>
      <c r="K36" s="1131"/>
      <c r="L36" s="1258"/>
      <c r="M36" s="1131"/>
      <c r="N36" s="1131"/>
      <c r="O36" s="1131"/>
      <c r="S36" s="1499"/>
      <c r="T36" s="1499"/>
      <c r="U36" s="1831"/>
      <c r="V36" s="1499"/>
      <c r="W36" s="1499"/>
      <c r="X36" s="1499"/>
      <c r="Y36" s="1499"/>
      <c r="Z36" s="1499"/>
      <c r="AA36" s="1499"/>
      <c r="AB36" s="1499"/>
      <c r="AC36" s="1506" t="s">
        <v>503</v>
      </c>
      <c r="AD36" s="1499"/>
      <c r="AE36" s="1499"/>
      <c r="AF36" s="1499"/>
      <c r="AG36" s="1499"/>
      <c r="AH36" s="1499"/>
      <c r="AI36" s="1499"/>
      <c r="AJ36" s="1499"/>
      <c r="AK36" s="1506" t="s">
        <v>503</v>
      </c>
      <c r="AN36" s="284"/>
      <c r="AO36" s="284"/>
      <c r="AP36" s="284"/>
      <c r="AQ36" s="284"/>
      <c r="AR36" s="284"/>
    </row>
    <row r="37" spans="1:44" ht="14.25" customHeight="1">
      <c r="Q37" s="292"/>
      <c r="R37" s="292"/>
      <c r="S37" s="1158"/>
      <c r="T37" s="367"/>
      <c r="U37" s="1127"/>
      <c r="V37" s="5370"/>
      <c r="W37" s="5370"/>
      <c r="X37" s="5370"/>
      <c r="Y37" s="5370"/>
      <c r="Z37" s="5370"/>
      <c r="AA37" s="5370"/>
      <c r="AB37" s="5370"/>
      <c r="AC37" s="5370"/>
      <c r="AD37" s="5370"/>
      <c r="AE37" s="5370"/>
      <c r="AF37" s="5370"/>
      <c r="AG37" s="5370"/>
      <c r="AH37" s="5370"/>
      <c r="AI37" s="5370"/>
      <c r="AJ37" s="5370"/>
      <c r="AK37" s="5370"/>
    </row>
    <row r="38" spans="1:44" ht="14.25" customHeight="1">
      <c r="Q38" s="292"/>
      <c r="R38" s="292"/>
      <c r="S38" s="5244" t="s">
        <v>378</v>
      </c>
      <c r="T38" s="5244"/>
      <c r="U38" s="5244"/>
      <c r="V38" s="5244"/>
      <c r="W38" s="5244"/>
      <c r="X38" s="5244"/>
      <c r="Y38" s="5244"/>
      <c r="Z38" s="5244"/>
      <c r="AA38" s="5244"/>
      <c r="AB38" s="5244"/>
      <c r="AC38" s="5244"/>
      <c r="AD38" s="5244"/>
      <c r="AE38" s="5244"/>
      <c r="AF38" s="5244"/>
      <c r="AG38" s="5244"/>
      <c r="AH38" s="5244"/>
      <c r="AI38" s="5244"/>
      <c r="AJ38" s="5244"/>
      <c r="AK38" s="5244"/>
      <c r="AL38" s="5244"/>
      <c r="AM38" s="5244" t="s">
        <v>379</v>
      </c>
    </row>
    <row r="39" spans="1:44" ht="14.25" customHeight="1">
      <c r="Q39" s="292"/>
      <c r="R39" s="292"/>
      <c r="S39" s="5384" t="s">
        <v>85</v>
      </c>
      <c r="T39" s="5336" t="s">
        <v>504</v>
      </c>
      <c r="U39" s="255"/>
      <c r="V39" s="5385" t="s">
        <v>505</v>
      </c>
      <c r="W39" s="5386"/>
      <c r="X39" s="5386"/>
      <c r="Y39" s="5386"/>
      <c r="Z39" s="5386"/>
      <c r="AA39" s="5386"/>
      <c r="AB39" s="5387"/>
      <c r="AC39" s="5388" t="s">
        <v>506</v>
      </c>
      <c r="AD39" s="5385" t="s">
        <v>505</v>
      </c>
      <c r="AE39" s="5386"/>
      <c r="AF39" s="5386"/>
      <c r="AG39" s="5386"/>
      <c r="AH39" s="5386"/>
      <c r="AI39" s="5386"/>
      <c r="AJ39" s="5387"/>
      <c r="AK39" s="5388" t="s">
        <v>507</v>
      </c>
      <c r="AL39" s="5391" t="s">
        <v>508</v>
      </c>
      <c r="AM39" s="5244"/>
    </row>
    <row r="40" spans="1:44" ht="33.75" customHeight="1">
      <c r="Q40" s="292"/>
      <c r="R40" s="292"/>
      <c r="S40" s="5384"/>
      <c r="T40" s="5336"/>
      <c r="U40" s="920"/>
      <c r="V40" s="5307" t="s">
        <v>509</v>
      </c>
      <c r="W40" s="5394" t="s">
        <v>510</v>
      </c>
      <c r="X40" s="5215" t="s">
        <v>511</v>
      </c>
      <c r="Y40" s="5214"/>
      <c r="Z40" s="5215" t="s">
        <v>524</v>
      </c>
      <c r="AA40" s="5220"/>
      <c r="AB40" s="5214"/>
      <c r="AC40" s="5389"/>
      <c r="AD40" s="5307" t="s">
        <v>509</v>
      </c>
      <c r="AE40" s="5394" t="s">
        <v>510</v>
      </c>
      <c r="AF40" s="5215" t="s">
        <v>511</v>
      </c>
      <c r="AG40" s="5214"/>
      <c r="AH40" s="5215" t="s">
        <v>512</v>
      </c>
      <c r="AI40" s="5220"/>
      <c r="AJ40" s="5214"/>
      <c r="AK40" s="5389"/>
      <c r="AL40" s="5392"/>
      <c r="AM40" s="5244"/>
    </row>
    <row r="41" spans="1:44" ht="33.75" customHeight="1">
      <c r="A41" s="1149"/>
      <c r="B41" s="1149" t="s">
        <v>153</v>
      </c>
      <c r="C41" s="1149" t="s">
        <v>154</v>
      </c>
      <c r="D41" s="1149" t="s">
        <v>155</v>
      </c>
      <c r="E41" s="1190" t="s">
        <v>513</v>
      </c>
      <c r="F41" s="1190" t="s">
        <v>514</v>
      </c>
      <c r="G41" s="1190" t="s">
        <v>515</v>
      </c>
      <c r="H41" s="1190" t="s">
        <v>516</v>
      </c>
      <c r="I41" s="1190" t="s">
        <v>517</v>
      </c>
      <c r="J41" s="1190" t="s">
        <v>518</v>
      </c>
      <c r="K41" s="1190" t="s">
        <v>519</v>
      </c>
      <c r="L41" s="1190" t="s">
        <v>494</v>
      </c>
      <c r="Q41" s="292"/>
      <c r="R41" s="292"/>
      <c r="S41" s="5384"/>
      <c r="T41" s="5336"/>
      <c r="U41" s="220"/>
      <c r="V41" s="5355"/>
      <c r="W41" s="5395"/>
      <c r="X41" s="1799" t="s">
        <v>520</v>
      </c>
      <c r="Y41" s="1799" t="s">
        <v>521</v>
      </c>
      <c r="Z41" s="1799" t="s">
        <v>522</v>
      </c>
      <c r="AA41" s="5344" t="s">
        <v>523</v>
      </c>
      <c r="AB41" s="5346"/>
      <c r="AC41" s="5390"/>
      <c r="AD41" s="5355"/>
      <c r="AE41" s="5395"/>
      <c r="AF41" s="1799" t="s">
        <v>520</v>
      </c>
      <c r="AG41" s="1799" t="s">
        <v>521</v>
      </c>
      <c r="AH41" s="1799" t="s">
        <v>522</v>
      </c>
      <c r="AI41" s="5344" t="s">
        <v>523</v>
      </c>
      <c r="AJ41" s="5346"/>
      <c r="AK41" s="5390"/>
      <c r="AL41" s="5393"/>
      <c r="AM41" s="5244"/>
    </row>
    <row r="42" spans="1:44" s="4866" customFormat="1" ht="11.25" hidden="1" customHeight="1">
      <c r="A42" s="1149"/>
      <c r="B42" s="1149"/>
      <c r="C42" s="1149"/>
      <c r="D42" s="1149"/>
      <c r="E42" s="1149"/>
      <c r="F42" s="1149"/>
      <c r="G42" s="1149"/>
      <c r="H42" s="1149"/>
      <c r="I42" s="1149"/>
      <c r="J42" s="1149"/>
      <c r="K42" s="1149"/>
      <c r="L42" s="1190"/>
      <c r="M42" s="1826"/>
      <c r="N42" s="1826"/>
      <c r="O42" s="1826"/>
      <c r="P42" s="1129"/>
      <c r="Q42" s="1130"/>
      <c r="R42" s="1137">
        <v>1</v>
      </c>
      <c r="S42" s="1160" t="s">
        <v>129</v>
      </c>
      <c r="T42" s="1138" t="s">
        <v>100</v>
      </c>
      <c r="U42" s="1128" t="str">
        <f ca="1">OFFSET(U42,0,-1)</f>
        <v>2</v>
      </c>
      <c r="V42" s="1817">
        <f ca="1">OFFSET(V42,0,-1)+1</f>
        <v>3</v>
      </c>
      <c r="W42" s="1817"/>
      <c r="X42" s="1817">
        <f ca="1">OFFSET(X42,0,-1)+1</f>
        <v>1</v>
      </c>
      <c r="Y42" s="1817">
        <f ca="1">OFFSET(Y42,0,-1)+1</f>
        <v>2</v>
      </c>
      <c r="Z42" s="1817">
        <f ca="1">OFFSET(Z42,0,-1)+1</f>
        <v>3</v>
      </c>
      <c r="AA42" s="5383">
        <f ca="1">OFFSET(AA42,0,-1)+1</f>
        <v>4</v>
      </c>
      <c r="AB42" s="5383"/>
      <c r="AC42" s="1817">
        <f ca="1">OFFSET(AC42,0,-2)+1</f>
        <v>5</v>
      </c>
      <c r="AD42" s="1817">
        <f ca="1">OFFSET(AD42,0,-1)+1</f>
        <v>6</v>
      </c>
      <c r="AE42" s="1817"/>
      <c r="AF42" s="1817">
        <f ca="1">OFFSET(AF42,0,-1)+1</f>
        <v>1</v>
      </c>
      <c r="AG42" s="1817">
        <f ca="1">OFFSET(AG42,0,-1)+1</f>
        <v>2</v>
      </c>
      <c r="AH42" s="1817">
        <f ca="1">OFFSET(AH42,0,-1)+1</f>
        <v>3</v>
      </c>
      <c r="AI42" s="5383">
        <f ca="1">OFFSET(AI42,0,-1)+1</f>
        <v>4</v>
      </c>
      <c r="AJ42" s="5383"/>
      <c r="AK42" s="1817">
        <f ca="1">OFFSET(AK42,0,-2)+1</f>
        <v>5</v>
      </c>
      <c r="AL42" s="1128">
        <f ca="1">OFFSET(AL42,0,-1)</f>
        <v>5</v>
      </c>
      <c r="AM42" s="1817">
        <f ca="1">OFFSET(AM42,0,-1)+1</f>
        <v>6</v>
      </c>
      <c r="AN42" s="1500"/>
      <c r="AO42" s="1500"/>
      <c r="AP42" s="1500"/>
      <c r="AQ42" s="1500"/>
      <c r="AR42" s="1500"/>
    </row>
    <row r="43" spans="1:44" ht="21" customHeight="1">
      <c r="A43" s="1150" t="s">
        <v>227</v>
      </c>
      <c r="B43" s="1150"/>
      <c r="C43" s="1150"/>
      <c r="D43" s="1150"/>
      <c r="E43" s="5400">
        <v>1</v>
      </c>
      <c r="F43" s="1150"/>
      <c r="G43" s="1150"/>
      <c r="H43" s="1150"/>
      <c r="I43" s="1150"/>
      <c r="J43" s="1150"/>
      <c r="K43" s="1150"/>
      <c r="L43" s="1190"/>
      <c r="M43" s="1477"/>
      <c r="N43" s="1477"/>
      <c r="O43" s="1477"/>
      <c r="P43" s="1459"/>
      <c r="Q43" s="277"/>
      <c r="R43" s="272"/>
      <c r="S43" s="1819">
        <f>INDEX(PT_DIFFERENTIATION_NUM_NTAR,MATCH(A43,PT_DIFFERENTIATION_NTAR_ID,0))</f>
        <v>0</v>
      </c>
      <c r="T43" s="1397" t="s">
        <v>141</v>
      </c>
      <c r="U43" s="218"/>
      <c r="V43" s="5362"/>
      <c r="W43" s="5363"/>
      <c r="X43" s="5363"/>
      <c r="Y43" s="5363"/>
      <c r="Z43" s="5363"/>
      <c r="AA43" s="5363"/>
      <c r="AB43" s="5363"/>
      <c r="AC43" s="5364"/>
      <c r="AD43" s="5362" t="str">
        <f>INDEX(PT_DIFFERENTIATION_NTAR,MATCH(A43,PT_DIFFERENTIATION_NTAR_ID,0))</f>
        <v/>
      </c>
      <c r="AE43" s="5363"/>
      <c r="AF43" s="5363"/>
      <c r="AG43" s="5363"/>
      <c r="AH43" s="5363"/>
      <c r="AI43" s="5363"/>
      <c r="AJ43" s="5363"/>
      <c r="AK43" s="5363"/>
      <c r="AL43" s="5364"/>
      <c r="AM43" s="11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488"/>
      <c r="AP43" s="1488" t="str">
        <f t="shared" ref="AP43:AP57" si="1">IF(T43="","",T43)</f>
        <v>Наименование тарифа</v>
      </c>
      <c r="AQ43" s="1488"/>
      <c r="AR43" s="1488"/>
    </row>
    <row r="44" spans="1:44" ht="21" customHeight="1">
      <c r="A44" s="1150" t="s">
        <v>227</v>
      </c>
      <c r="B44" s="1150" t="s">
        <v>228</v>
      </c>
      <c r="C44" s="1150"/>
      <c r="D44" s="1150"/>
      <c r="E44" s="5401"/>
      <c r="F44" s="5400">
        <v>1</v>
      </c>
      <c r="G44" s="1150"/>
      <c r="H44" s="1150"/>
      <c r="I44" s="1150"/>
      <c r="J44" s="1150"/>
      <c r="K44" s="1150"/>
      <c r="L44" s="1190"/>
      <c r="M44" s="1477"/>
      <c r="N44" s="1477"/>
      <c r="O44" s="1477"/>
      <c r="P44" s="1801"/>
      <c r="Q44" s="269"/>
      <c r="R44" s="270"/>
      <c r="S44" s="1819" t="str">
        <f>INDEX(PT_DIFFERENTIATION_NUM_TER,MATCH(B44,PT_DIFFERENTIATION_TER_ID,0))</f>
        <v>.</v>
      </c>
      <c r="T44" s="1394" t="s">
        <v>475</v>
      </c>
      <c r="U44" s="218"/>
      <c r="V44" s="5362"/>
      <c r="W44" s="5363"/>
      <c r="X44" s="5363"/>
      <c r="Y44" s="5363"/>
      <c r="Z44" s="5363"/>
      <c r="AA44" s="5363"/>
      <c r="AB44" s="5363"/>
      <c r="AC44" s="5364"/>
      <c r="AD44" s="5362" t="str">
        <f>INDEX(PT_DIFFERENTIATION_TER,MATCH(B44,PT_DIFFERENTIATION_TER_ID,0))</f>
        <v/>
      </c>
      <c r="AE44" s="5363"/>
      <c r="AF44" s="5363"/>
      <c r="AG44" s="5363"/>
      <c r="AH44" s="5363"/>
      <c r="AI44" s="5363"/>
      <c r="AJ44" s="5363"/>
      <c r="AK44" s="5363"/>
      <c r="AL44" s="5364"/>
      <c r="AM44" s="1141" t="s">
        <v>476</v>
      </c>
      <c r="AO44" s="1488"/>
      <c r="AP44" s="1488" t="str">
        <f t="shared" si="1"/>
        <v>Территория действия тарифа</v>
      </c>
      <c r="AQ44" s="1488"/>
      <c r="AR44" s="1488"/>
    </row>
    <row r="45" spans="1:44" ht="23.25" customHeight="1">
      <c r="A45" s="1150" t="s">
        <v>227</v>
      </c>
      <c r="B45" s="1150" t="s">
        <v>228</v>
      </c>
      <c r="C45" s="1150" t="s">
        <v>229</v>
      </c>
      <c r="D45" s="1150"/>
      <c r="E45" s="5401"/>
      <c r="F45" s="5401"/>
      <c r="G45" s="5400">
        <v>1</v>
      </c>
      <c r="H45" s="1150"/>
      <c r="I45" s="1150"/>
      <c r="J45" s="1150"/>
      <c r="K45" s="1150"/>
      <c r="L45" s="1190"/>
      <c r="M45" s="1477"/>
      <c r="N45" s="1477"/>
      <c r="O45" s="1477"/>
      <c r="P45" s="271"/>
      <c r="Q45" s="269"/>
      <c r="R45" s="270"/>
      <c r="S45" s="1819" t="str">
        <f>INDEX(PT_DIFFERENTIATION_NUM_CS,MATCH(C45,PT_DIFFERENTIATION_CS_ID,0))</f>
        <v>..</v>
      </c>
      <c r="T45" s="227" t="s">
        <v>477</v>
      </c>
      <c r="U45" s="218"/>
      <c r="V45" s="5362"/>
      <c r="W45" s="5363"/>
      <c r="X45" s="5363"/>
      <c r="Y45" s="5363"/>
      <c r="Z45" s="5363"/>
      <c r="AA45" s="5363"/>
      <c r="AB45" s="5363"/>
      <c r="AC45" s="5364"/>
      <c r="AD45" s="5362" t="str">
        <f>INDEX(PT_DIFFERENTIATION_CS,MATCH(C45,PT_DIFFERENTIATION_CS_ID,0))</f>
        <v/>
      </c>
      <c r="AE45" s="5363"/>
      <c r="AF45" s="5363"/>
      <c r="AG45" s="5363"/>
      <c r="AH45" s="5363"/>
      <c r="AI45" s="5363"/>
      <c r="AJ45" s="5363"/>
      <c r="AK45" s="5363"/>
      <c r="AL45" s="5364"/>
      <c r="AM45" s="1141" t="s">
        <v>478</v>
      </c>
      <c r="AO45" s="1488"/>
      <c r="AP45" s="1488" t="str">
        <f t="shared" si="1"/>
        <v xml:space="preserve">Наименование системы теплоснабжения </v>
      </c>
      <c r="AQ45" s="1488"/>
      <c r="AR45" s="1488"/>
    </row>
    <row r="46" spans="1:44" ht="21" customHeight="1">
      <c r="A46" s="1150" t="s">
        <v>227</v>
      </c>
      <c r="B46" s="1150" t="s">
        <v>228</v>
      </c>
      <c r="C46" s="1150" t="s">
        <v>229</v>
      </c>
      <c r="D46" s="1150" t="s">
        <v>230</v>
      </c>
      <c r="E46" s="5401"/>
      <c r="F46" s="5401"/>
      <c r="G46" s="5401"/>
      <c r="H46" s="5400">
        <v>1</v>
      </c>
      <c r="I46" s="1150"/>
      <c r="J46" s="1150"/>
      <c r="K46" s="1150"/>
      <c r="L46" s="1190"/>
      <c r="M46" s="1477"/>
      <c r="N46" s="1477"/>
      <c r="O46" s="1477"/>
      <c r="P46" s="271"/>
      <c r="Q46" s="269"/>
      <c r="R46" s="270"/>
      <c r="S46" s="1819" t="str">
        <f>INDEX(PT_DIFFERENTIATION_NUM_IST_TE,MATCH(D46,PT_DIFFERENTIATION_IST_TE_ID,0))</f>
        <v>...</v>
      </c>
      <c r="T46" s="228" t="s">
        <v>479</v>
      </c>
      <c r="U46" s="218"/>
      <c r="V46" s="5362"/>
      <c r="W46" s="5363"/>
      <c r="X46" s="5363"/>
      <c r="Y46" s="5363"/>
      <c r="Z46" s="5363"/>
      <c r="AA46" s="5363"/>
      <c r="AB46" s="5363"/>
      <c r="AC46" s="5364"/>
      <c r="AD46" s="5362" t="str">
        <f>INDEX(PT_DIFFERENTIATION_IST_TE,MATCH(D46,PT_DIFFERENTIATION_IST_TE_ID,0))</f>
        <v/>
      </c>
      <c r="AE46" s="5363"/>
      <c r="AF46" s="5363"/>
      <c r="AG46" s="5363"/>
      <c r="AH46" s="5363"/>
      <c r="AI46" s="5363"/>
      <c r="AJ46" s="5363"/>
      <c r="AK46" s="5363"/>
      <c r="AL46" s="5364"/>
      <c r="AM46" s="1141" t="s">
        <v>480</v>
      </c>
      <c r="AO46" s="1488"/>
      <c r="AP46" s="1488" t="str">
        <f t="shared" si="1"/>
        <v xml:space="preserve">Источник тепловой энергии  </v>
      </c>
      <c r="AQ46" s="1488"/>
      <c r="AR46" s="1488"/>
    </row>
    <row r="47" spans="1:44" ht="47.25" customHeight="1">
      <c r="A47" s="1150" t="s">
        <v>227</v>
      </c>
      <c r="B47" s="1150" t="s">
        <v>228</v>
      </c>
      <c r="C47" s="1150" t="s">
        <v>229</v>
      </c>
      <c r="D47" s="1150" t="s">
        <v>230</v>
      </c>
      <c r="E47" s="5401"/>
      <c r="F47" s="5401"/>
      <c r="G47" s="5401"/>
      <c r="H47" s="5401"/>
      <c r="I47" s="5244" t="str">
        <f>S46&amp;".1"</f>
        <v>....1</v>
      </c>
      <c r="J47" s="1150"/>
      <c r="K47" s="1150"/>
      <c r="L47" s="1190" t="s">
        <v>481</v>
      </c>
      <c r="P47" s="5375">
        <v>1</v>
      </c>
      <c r="Q47" s="1815"/>
      <c r="R47" s="273"/>
      <c r="S47" s="1819" t="str">
        <f>$I47</f>
        <v>....1</v>
      </c>
      <c r="T47" s="203" t="s">
        <v>482</v>
      </c>
      <c r="U47" s="218"/>
      <c r="V47" s="5365"/>
      <c r="W47" s="5366"/>
      <c r="X47" s="5366"/>
      <c r="Y47" s="5366"/>
      <c r="Z47" s="5366"/>
      <c r="AA47" s="5366"/>
      <c r="AB47" s="5366"/>
      <c r="AC47" s="5367"/>
      <c r="AD47" s="5365"/>
      <c r="AE47" s="5366"/>
      <c r="AF47" s="5366"/>
      <c r="AG47" s="5366"/>
      <c r="AH47" s="5366"/>
      <c r="AI47" s="5366"/>
      <c r="AJ47" s="5366"/>
      <c r="AK47" s="5366"/>
      <c r="AL47" s="5367"/>
      <c r="AM47" s="1141" t="s">
        <v>483</v>
      </c>
      <c r="AO47" s="1488"/>
      <c r="AP47" s="1488" t="str">
        <f t="shared" si="1"/>
        <v>Схема подключения теплопотребляющей установки к коллектору источника тепловой энергии</v>
      </c>
      <c r="AQ47" s="1488"/>
      <c r="AR47" s="1488"/>
    </row>
    <row r="48" spans="1:44" ht="21" customHeight="1">
      <c r="A48" s="1150" t="s">
        <v>227</v>
      </c>
      <c r="B48" s="1150" t="s">
        <v>228</v>
      </c>
      <c r="C48" s="1150" t="s">
        <v>229</v>
      </c>
      <c r="D48" s="1150" t="s">
        <v>230</v>
      </c>
      <c r="E48" s="5401"/>
      <c r="F48" s="5401"/>
      <c r="G48" s="5401"/>
      <c r="H48" s="5401"/>
      <c r="I48" s="5215"/>
      <c r="J48" s="5244" t="str">
        <f>I47&amp;".1"</f>
        <v>....1.1</v>
      </c>
      <c r="K48" s="1150"/>
      <c r="L48" s="1190" t="s">
        <v>484</v>
      </c>
      <c r="P48" s="5375"/>
      <c r="Q48" s="5375">
        <v>1</v>
      </c>
      <c r="R48" s="274"/>
      <c r="S48" s="1819" t="str">
        <f>$J48</f>
        <v>....1.1</v>
      </c>
      <c r="T48" s="204" t="s">
        <v>485</v>
      </c>
      <c r="U48" s="218"/>
      <c r="V48" s="5365"/>
      <c r="W48" s="5366"/>
      <c r="X48" s="5366"/>
      <c r="Y48" s="5366"/>
      <c r="Z48" s="5366"/>
      <c r="AA48" s="5366"/>
      <c r="AB48" s="5366"/>
      <c r="AC48" s="5367"/>
      <c r="AD48" s="5365"/>
      <c r="AE48" s="5366"/>
      <c r="AF48" s="5366"/>
      <c r="AG48" s="5366"/>
      <c r="AH48" s="5366"/>
      <c r="AI48" s="5366"/>
      <c r="AJ48" s="5366"/>
      <c r="AK48" s="5366"/>
      <c r="AL48" s="5367"/>
      <c r="AM48" s="1141" t="s">
        <v>486</v>
      </c>
      <c r="AO48" s="1488"/>
      <c r="AP48" s="1488" t="str">
        <f t="shared" si="1"/>
        <v>Группа потребителей</v>
      </c>
      <c r="AQ48" s="1488"/>
      <c r="AR48" s="1488"/>
    </row>
    <row r="49" spans="1:44" ht="21" customHeight="1">
      <c r="A49" s="1150" t="s">
        <v>227</v>
      </c>
      <c r="B49" s="1150" t="s">
        <v>228</v>
      </c>
      <c r="C49" s="1150" t="s">
        <v>229</v>
      </c>
      <c r="D49" s="1150" t="s">
        <v>230</v>
      </c>
      <c r="E49" s="5401"/>
      <c r="F49" s="5401"/>
      <c r="G49" s="5401"/>
      <c r="H49" s="5401"/>
      <c r="I49" s="5215"/>
      <c r="J49" s="5215"/>
      <c r="K49" s="5244" t="str">
        <f>J48&amp;".1"</f>
        <v>....1.1.1</v>
      </c>
      <c r="L49" s="1190" t="s">
        <v>487</v>
      </c>
      <c r="P49" s="5375"/>
      <c r="Q49" s="5375"/>
      <c r="R49" s="274">
        <v>1</v>
      </c>
      <c r="S49" s="1819" t="str">
        <f>$K49</f>
        <v>....1.1.1</v>
      </c>
      <c r="T49" s="1226"/>
      <c r="U49" s="218"/>
      <c r="V49" s="650"/>
      <c r="W49" s="243"/>
      <c r="X49" s="650"/>
      <c r="Y49" s="1140"/>
      <c r="Z49" s="5379"/>
      <c r="AA49" s="5225" t="s">
        <v>64</v>
      </c>
      <c r="AB49" s="5379"/>
      <c r="AC49" s="5225" t="s">
        <v>64</v>
      </c>
      <c r="AD49" s="650"/>
      <c r="AE49" s="243"/>
      <c r="AF49" s="650"/>
      <c r="AG49" s="1140"/>
      <c r="AH49" s="5379"/>
      <c r="AI49" s="5225" t="s">
        <v>64</v>
      </c>
      <c r="AJ49" s="5398"/>
      <c r="AK49" s="5225" t="s">
        <v>64</v>
      </c>
      <c r="AL49" s="1227"/>
      <c r="AM49" s="5371" t="s">
        <v>488</v>
      </c>
      <c r="AN49" s="1500" t="e">
        <f ca="1">STRCHECKDATE(V50:AL50)</f>
        <v>#NAME?</v>
      </c>
      <c r="AO49" s="1488"/>
      <c r="AP49" s="1488" t="str">
        <f t="shared" si="1"/>
        <v/>
      </c>
      <c r="AQ49" s="1488"/>
      <c r="AR49" s="1488"/>
    </row>
    <row r="50" spans="1:44" ht="0.75" customHeight="1">
      <c r="A50" s="1150" t="s">
        <v>227</v>
      </c>
      <c r="B50" s="1150" t="s">
        <v>228</v>
      </c>
      <c r="C50" s="1150" t="s">
        <v>229</v>
      </c>
      <c r="D50" s="1150" t="s">
        <v>230</v>
      </c>
      <c r="E50" s="5401"/>
      <c r="F50" s="5401"/>
      <c r="G50" s="5401"/>
      <c r="H50" s="5401"/>
      <c r="I50" s="5215"/>
      <c r="J50" s="5215"/>
      <c r="K50" s="5244"/>
      <c r="L50" s="1190"/>
      <c r="P50" s="5375"/>
      <c r="Q50" s="5375"/>
      <c r="R50" s="274"/>
      <c r="S50" s="1828"/>
      <c r="T50" s="218"/>
      <c r="U50" s="218"/>
      <c r="V50" s="243"/>
      <c r="W50" s="243"/>
      <c r="X50" s="243"/>
      <c r="Y50" s="246" t="str">
        <f>Z49&amp;"-"&amp;AB49</f>
        <v>-</v>
      </c>
      <c r="Z50" s="5380"/>
      <c r="AA50" s="5225"/>
      <c r="AB50" s="5380"/>
      <c r="AC50" s="5225"/>
      <c r="AD50" s="243"/>
      <c r="AE50" s="243"/>
      <c r="AF50" s="243"/>
      <c r="AG50" s="246" t="str">
        <f>AH49&amp;"-"&amp;AJ49</f>
        <v>-</v>
      </c>
      <c r="AH50" s="5380"/>
      <c r="AI50" s="5225"/>
      <c r="AJ50" s="5399"/>
      <c r="AK50" s="5225"/>
      <c r="AL50" s="1228"/>
      <c r="AM50" s="5372"/>
      <c r="AO50" s="1488"/>
      <c r="AP50" s="1488" t="str">
        <f t="shared" si="1"/>
        <v/>
      </c>
      <c r="AQ50" s="1488"/>
      <c r="AR50" s="1488"/>
    </row>
    <row r="51" spans="1:44" ht="11.25" customHeight="1">
      <c r="A51" s="1150" t="s">
        <v>227</v>
      </c>
      <c r="B51" s="1150" t="s">
        <v>228</v>
      </c>
      <c r="C51" s="1150" t="s">
        <v>229</v>
      </c>
      <c r="D51" s="1150" t="s">
        <v>230</v>
      </c>
      <c r="E51" s="5401"/>
      <c r="F51" s="5401"/>
      <c r="G51" s="5401"/>
      <c r="H51" s="5401"/>
      <c r="I51" s="5215"/>
      <c r="J51" s="5244"/>
      <c r="K51" s="1150"/>
      <c r="L51" s="1190"/>
      <c r="P51" s="5375"/>
      <c r="Q51" s="5375"/>
      <c r="R51" s="273"/>
      <c r="S51" s="1161"/>
      <c r="T51" s="206" t="s">
        <v>489</v>
      </c>
      <c r="U51" s="504"/>
      <c r="V51" s="504"/>
      <c r="W51" s="504"/>
      <c r="X51" s="504"/>
      <c r="Y51" s="504"/>
      <c r="Z51" s="504"/>
      <c r="AA51" s="504"/>
      <c r="AB51" s="504"/>
      <c r="AC51" s="504"/>
      <c r="AD51" s="504"/>
      <c r="AE51" s="504"/>
      <c r="AF51" s="504"/>
      <c r="AG51" s="504"/>
      <c r="AH51" s="504"/>
      <c r="AI51" s="504"/>
      <c r="AJ51" s="504"/>
      <c r="AK51" s="504"/>
      <c r="AL51" s="242"/>
      <c r="AM51" s="5373"/>
      <c r="AO51" s="1488"/>
      <c r="AP51" s="1488" t="str">
        <f t="shared" si="1"/>
        <v>Добавить вид теплоносителя (параметры теплоносителя)</v>
      </c>
      <c r="AQ51" s="1488"/>
      <c r="AR51" s="1488"/>
    </row>
    <row r="52" spans="1:44" ht="11.25" customHeight="1">
      <c r="A52" s="1150" t="s">
        <v>227</v>
      </c>
      <c r="B52" s="1150" t="s">
        <v>228</v>
      </c>
      <c r="C52" s="1150" t="s">
        <v>229</v>
      </c>
      <c r="D52" s="1150" t="s">
        <v>230</v>
      </c>
      <c r="E52" s="5401"/>
      <c r="F52" s="5401"/>
      <c r="G52" s="5401"/>
      <c r="H52" s="5401"/>
      <c r="I52" s="5244"/>
      <c r="J52" s="1150"/>
      <c r="K52" s="1150"/>
      <c r="L52" s="1190"/>
      <c r="P52" s="5375"/>
      <c r="Q52" s="1815"/>
      <c r="R52" s="273"/>
      <c r="S52" s="1161"/>
      <c r="T52" s="205" t="s">
        <v>490</v>
      </c>
      <c r="U52" s="504"/>
      <c r="V52" s="504"/>
      <c r="W52" s="504"/>
      <c r="X52" s="504"/>
      <c r="Y52" s="504"/>
      <c r="Z52" s="504"/>
      <c r="AA52" s="504"/>
      <c r="AB52" s="504"/>
      <c r="AC52" s="282"/>
      <c r="AD52" s="504"/>
      <c r="AE52" s="504"/>
      <c r="AF52" s="504"/>
      <c r="AG52" s="504"/>
      <c r="AH52" s="504"/>
      <c r="AI52" s="504"/>
      <c r="AJ52" s="504"/>
      <c r="AK52" s="282"/>
      <c r="AL52" s="504"/>
      <c r="AM52" s="221"/>
      <c r="AO52" s="1488"/>
      <c r="AP52" s="1488" t="str">
        <f t="shared" si="1"/>
        <v>Добавить группу потребителей</v>
      </c>
      <c r="AQ52" s="1488"/>
      <c r="AR52" s="1488"/>
    </row>
    <row r="53" spans="1:44" ht="14.25" customHeight="1">
      <c r="A53" s="1150" t="s">
        <v>227</v>
      </c>
      <c r="B53" s="1150" t="s">
        <v>228</v>
      </c>
      <c r="C53" s="1150" t="s">
        <v>229</v>
      </c>
      <c r="D53" s="1150" t="s">
        <v>230</v>
      </c>
      <c r="E53" s="5401"/>
      <c r="F53" s="5401"/>
      <c r="G53" s="5401"/>
      <c r="H53" s="5400"/>
      <c r="I53" s="1150"/>
      <c r="J53" s="1150"/>
      <c r="K53" s="1150"/>
      <c r="L53" s="1190"/>
      <c r="M53" s="1477"/>
      <c r="N53" s="1477"/>
      <c r="O53" s="1499"/>
      <c r="P53" s="277"/>
      <c r="Q53" s="291"/>
      <c r="R53" s="272"/>
      <c r="S53" s="1161"/>
      <c r="T53" s="281" t="s">
        <v>491</v>
      </c>
      <c r="U53" s="504"/>
      <c r="V53" s="504"/>
      <c r="W53" s="504"/>
      <c r="X53" s="504"/>
      <c r="Y53" s="504"/>
      <c r="Z53" s="504"/>
      <c r="AA53" s="504"/>
      <c r="AB53" s="504"/>
      <c r="AC53" s="282"/>
      <c r="AD53" s="504"/>
      <c r="AE53" s="504"/>
      <c r="AF53" s="504"/>
      <c r="AG53" s="504"/>
      <c r="AH53" s="504"/>
      <c r="AI53" s="504"/>
      <c r="AJ53" s="504"/>
      <c r="AK53" s="282"/>
      <c r="AL53" s="504"/>
      <c r="AM53" s="221"/>
      <c r="AO53" s="1488"/>
      <c r="AP53" s="1488" t="str">
        <f t="shared" si="1"/>
        <v>Добавить схему подключения</v>
      </c>
      <c r="AQ53" s="1488"/>
      <c r="AR53" s="1488"/>
    </row>
    <row r="54" spans="1:44" s="4864" customFormat="1" ht="0.75" customHeight="1">
      <c r="A54" s="1253" t="s">
        <v>227</v>
      </c>
      <c r="B54" s="1253" t="s">
        <v>228</v>
      </c>
      <c r="C54" s="1253" t="s">
        <v>229</v>
      </c>
      <c r="D54" s="1252"/>
      <c r="E54" s="5401"/>
      <c r="F54" s="5401"/>
      <c r="G54" s="5400"/>
      <c r="H54" s="1252"/>
      <c r="I54" s="1252"/>
      <c r="J54" s="1252"/>
      <c r="K54" s="1252"/>
      <c r="L54" s="1255"/>
      <c r="M54" s="1256"/>
      <c r="N54" s="1256"/>
      <c r="O54" s="268"/>
      <c r="P54" s="1196"/>
      <c r="Q54" s="1197"/>
      <c r="R54" s="1196"/>
      <c r="S54" s="1202"/>
      <c r="T54" s="1205" t="s">
        <v>492</v>
      </c>
      <c r="U54" s="1204"/>
      <c r="V54" s="1204"/>
      <c r="W54" s="1204"/>
      <c r="X54" s="1204"/>
      <c r="Y54" s="1204"/>
      <c r="Z54" s="1204"/>
      <c r="AA54" s="1204"/>
      <c r="AB54" s="1204"/>
      <c r="AC54" s="1204"/>
      <c r="AD54" s="1204"/>
      <c r="AE54" s="1204"/>
      <c r="AF54" s="1204"/>
      <c r="AG54" s="1204"/>
      <c r="AH54" s="1204"/>
      <c r="AI54" s="1204"/>
      <c r="AJ54" s="1204"/>
      <c r="AK54" s="1204"/>
      <c r="AL54" s="1204"/>
      <c r="AM54" s="1204"/>
      <c r="AO54" s="1134"/>
      <c r="AP54" s="1134" t="str">
        <f t="shared" si="1"/>
        <v>Добавить источник для дифференциации</v>
      </c>
      <c r="AQ54" s="1134"/>
      <c r="AR54" s="1134"/>
    </row>
    <row r="55" spans="1:44" s="4864" customFormat="1" ht="0.75" customHeight="1">
      <c r="A55" s="1253" t="s">
        <v>227</v>
      </c>
      <c r="B55" s="1253" t="s">
        <v>228</v>
      </c>
      <c r="C55" s="1252"/>
      <c r="D55" s="1252"/>
      <c r="E55" s="5401"/>
      <c r="F55" s="5400"/>
      <c r="G55" s="1252"/>
      <c r="H55" s="1252"/>
      <c r="I55" s="1252"/>
      <c r="J55" s="1252"/>
      <c r="K55" s="1252"/>
      <c r="L55" s="1255"/>
      <c r="M55" s="1257"/>
      <c r="N55" s="1257"/>
      <c r="O55" s="268"/>
      <c r="P55" s="1196"/>
      <c r="Q55" s="1197"/>
      <c r="R55" s="1196"/>
      <c r="S55" s="1202"/>
      <c r="T55" s="1205" t="s">
        <v>271</v>
      </c>
      <c r="U55" s="1204"/>
      <c r="V55" s="1204"/>
      <c r="W55" s="1204"/>
      <c r="X55" s="1204"/>
      <c r="Y55" s="1204"/>
      <c r="Z55" s="1204"/>
      <c r="AA55" s="1204"/>
      <c r="AB55" s="1204"/>
      <c r="AC55" s="1204"/>
      <c r="AD55" s="1204"/>
      <c r="AE55" s="1204"/>
      <c r="AF55" s="1204"/>
      <c r="AG55" s="1204"/>
      <c r="AH55" s="1204"/>
      <c r="AI55" s="1204"/>
      <c r="AJ55" s="1204"/>
      <c r="AK55" s="1204"/>
      <c r="AL55" s="1204"/>
      <c r="AM55" s="1204"/>
      <c r="AO55" s="1134"/>
      <c r="AP55" s="1134" t="str">
        <f t="shared" si="1"/>
        <v>Добавить централизованную систему для дифференциации</v>
      </c>
      <c r="AQ55" s="1134"/>
      <c r="AR55" s="1134"/>
    </row>
    <row r="56" spans="1:44" s="4867" customFormat="1" ht="0.75" customHeight="1">
      <c r="A56" s="1253" t="s">
        <v>227</v>
      </c>
      <c r="B56" s="1253"/>
      <c r="C56" s="1253"/>
      <c r="D56" s="1253"/>
      <c r="E56" s="5400"/>
      <c r="F56" s="1253"/>
      <c r="G56" s="1253"/>
      <c r="H56" s="1253"/>
      <c r="I56" s="1253"/>
      <c r="J56" s="1253"/>
      <c r="K56" s="1253"/>
      <c r="L56" s="1259"/>
      <c r="M56" s="1257"/>
      <c r="N56" s="1257"/>
      <c r="O56" s="268"/>
      <c r="P56" s="296"/>
      <c r="Q56" s="1223"/>
      <c r="R56" s="296"/>
      <c r="S56" s="1202"/>
      <c r="T56" s="1205" t="s">
        <v>330</v>
      </c>
      <c r="U56" s="1204"/>
      <c r="V56" s="1204"/>
      <c r="W56" s="1204"/>
      <c r="X56" s="1204"/>
      <c r="Y56" s="1204"/>
      <c r="Z56" s="1204"/>
      <c r="AA56" s="1204"/>
      <c r="AB56" s="1204"/>
      <c r="AC56" s="1204"/>
      <c r="AD56" s="1204"/>
      <c r="AE56" s="1204"/>
      <c r="AF56" s="1204"/>
      <c r="AG56" s="1204"/>
      <c r="AH56" s="1204"/>
      <c r="AI56" s="1204"/>
      <c r="AJ56" s="1204"/>
      <c r="AK56" s="1204"/>
      <c r="AL56" s="1204"/>
      <c r="AM56" s="1204"/>
      <c r="AO56" s="1488"/>
      <c r="AP56" s="1488" t="str">
        <f t="shared" si="1"/>
        <v>Добавить территорию для дифференциации</v>
      </c>
      <c r="AQ56" s="1488"/>
      <c r="AR56" s="1488"/>
    </row>
    <row r="57" spans="1:44" s="4864" customFormat="1" ht="0.75" customHeight="1">
      <c r="A57" s="1252"/>
      <c r="B57" s="1252"/>
      <c r="C57" s="1252"/>
      <c r="D57" s="1252"/>
      <c r="E57" s="1253"/>
      <c r="F57" s="1252"/>
      <c r="G57" s="1252"/>
      <c r="H57" s="1252"/>
      <c r="I57" s="1252"/>
      <c r="J57" s="1252"/>
      <c r="K57" s="1252"/>
      <c r="L57" s="1255"/>
      <c r="M57" s="1257"/>
      <c r="N57" s="1257"/>
      <c r="O57" s="268"/>
      <c r="P57" s="1196"/>
      <c r="Q57" s="1197"/>
      <c r="R57" s="1196"/>
      <c r="S57" s="1202"/>
      <c r="T57" s="1205" t="s">
        <v>331</v>
      </c>
      <c r="U57" s="1204"/>
      <c r="V57" s="1204"/>
      <c r="W57" s="1204"/>
      <c r="X57" s="1204"/>
      <c r="Y57" s="1204"/>
      <c r="Z57" s="1204"/>
      <c r="AA57" s="1204"/>
      <c r="AB57" s="1204"/>
      <c r="AC57" s="1204"/>
      <c r="AD57" s="1204"/>
      <c r="AE57" s="1204"/>
      <c r="AF57" s="1204"/>
      <c r="AG57" s="1204"/>
      <c r="AH57" s="1204"/>
      <c r="AI57" s="1204"/>
      <c r="AJ57" s="1204"/>
      <c r="AK57" s="1204"/>
      <c r="AL57" s="1204"/>
      <c r="AM57" s="1204"/>
      <c r="AO57" s="1134"/>
      <c r="AP57" s="1134" t="str">
        <f t="shared" si="1"/>
        <v>Добавить наименование тарифа</v>
      </c>
      <c r="AQ57" s="1134"/>
      <c r="AR57" s="1134"/>
    </row>
    <row r="58" spans="1:44" ht="11.25" customHeight="1">
      <c r="M58" s="1495"/>
      <c r="N58" s="1495"/>
      <c r="O58" s="1499"/>
      <c r="P58" s="1495"/>
      <c r="Q58" s="1495"/>
      <c r="R58" s="1495"/>
      <c r="S58" s="1495"/>
      <c r="AN58" s="1495"/>
      <c r="AO58" s="1495"/>
      <c r="AP58" s="1495"/>
      <c r="AQ58" s="1495"/>
      <c r="AR58" s="1495"/>
    </row>
    <row r="59" spans="1:44" ht="27" customHeight="1">
      <c r="O59" s="1499"/>
      <c r="S59" s="1136"/>
      <c r="T59" s="5396"/>
      <c r="U59" s="5396"/>
      <c r="V59" s="5396"/>
      <c r="W59" s="5396"/>
      <c r="X59" s="5396"/>
      <c r="Y59" s="5396"/>
      <c r="Z59" s="5396"/>
      <c r="AA59" s="5396"/>
      <c r="AB59" s="5396"/>
      <c r="AC59" s="5396"/>
      <c r="AD59" s="5396"/>
      <c r="AE59" s="5396"/>
      <c r="AF59" s="5396"/>
      <c r="AG59" s="5396"/>
      <c r="AH59" s="5396"/>
      <c r="AI59" s="5396"/>
      <c r="AJ59" s="5396"/>
      <c r="AK59" s="5396"/>
      <c r="AL59" s="5396"/>
      <c r="AM59" s="5396"/>
    </row>
    <row r="60" spans="1:44" ht="62.25" customHeight="1">
      <c r="O60" s="1499"/>
      <c r="T60" s="5396"/>
      <c r="U60" s="5396"/>
      <c r="V60" s="5396"/>
      <c r="W60" s="5396"/>
      <c r="X60" s="5396"/>
      <c r="Y60" s="5396"/>
      <c r="Z60" s="5396"/>
      <c r="AA60" s="5396"/>
      <c r="AB60" s="5396"/>
      <c r="AC60" s="5396"/>
      <c r="AD60" s="5396"/>
      <c r="AE60" s="5396"/>
      <c r="AF60" s="5396"/>
      <c r="AG60" s="5396"/>
      <c r="AH60" s="5396"/>
      <c r="AI60" s="5396"/>
      <c r="AJ60" s="5396"/>
      <c r="AK60" s="5396"/>
      <c r="AL60" s="5396"/>
      <c r="AM60" s="5396"/>
    </row>
    <row r="61" spans="1:44" ht="14.25" customHeight="1">
      <c r="O61" s="1499"/>
    </row>
    <row r="62" spans="1:44" ht="18" customHeight="1">
      <c r="O62" s="1499"/>
      <c r="S62" s="1136"/>
      <c r="T62" s="5396"/>
      <c r="U62" s="5396"/>
      <c r="V62" s="5396"/>
      <c r="W62" s="5396"/>
      <c r="X62" s="5396"/>
      <c r="Y62" s="5396"/>
      <c r="Z62" s="5396"/>
      <c r="AA62" s="5396"/>
      <c r="AB62" s="5396"/>
      <c r="AC62" s="5396"/>
      <c r="AD62" s="5396"/>
      <c r="AE62" s="5396"/>
      <c r="AF62" s="5396"/>
      <c r="AG62" s="5396"/>
      <c r="AH62" s="5396"/>
      <c r="AI62" s="5396"/>
      <c r="AJ62" s="5396"/>
      <c r="AK62" s="5396"/>
      <c r="AL62" s="5396"/>
      <c r="AM62" s="5396"/>
    </row>
    <row r="63" spans="1:44" ht="18" customHeight="1">
      <c r="O63" s="1499"/>
      <c r="T63" s="5396"/>
      <c r="U63" s="5396"/>
      <c r="V63" s="5396"/>
      <c r="W63" s="5396"/>
      <c r="X63" s="5396"/>
      <c r="Y63" s="5396"/>
      <c r="Z63" s="5396"/>
      <c r="AA63" s="5396"/>
      <c r="AB63" s="5396"/>
      <c r="AC63" s="5396"/>
      <c r="AD63" s="5396"/>
      <c r="AE63" s="5396"/>
      <c r="AF63" s="5396"/>
      <c r="AG63" s="5396"/>
      <c r="AH63" s="5396"/>
      <c r="AI63" s="5396"/>
      <c r="AJ63" s="5396"/>
      <c r="AK63" s="5396"/>
      <c r="AL63" s="5396"/>
      <c r="AM63" s="5396"/>
    </row>
    <row r="64" spans="1:44" ht="27.75" customHeight="1">
      <c r="O64" s="1499"/>
      <c r="S64" s="1136"/>
      <c r="T64" s="5396"/>
      <c r="U64" s="5396"/>
      <c r="V64" s="5396"/>
      <c r="W64" s="5396"/>
      <c r="X64" s="5396"/>
      <c r="Y64" s="5396"/>
      <c r="Z64" s="5396"/>
      <c r="AA64" s="5396"/>
      <c r="AB64" s="5396"/>
      <c r="AC64" s="5396"/>
      <c r="AD64" s="5396"/>
      <c r="AE64" s="5396"/>
      <c r="AF64" s="5396"/>
      <c r="AG64" s="5396"/>
      <c r="AH64" s="5396"/>
      <c r="AI64" s="5396"/>
      <c r="AJ64" s="5396"/>
      <c r="AK64" s="5396"/>
      <c r="AL64" s="5396"/>
      <c r="AM64" s="5396"/>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4868" hidden="1"/>
    <col min="2" max="2" width="11" style="4868" hidden="1" customWidth="1"/>
    <col min="3" max="3" width="10.5703125" style="4868" hidden="1"/>
    <col min="4" max="4" width="11.85546875" style="4868" hidden="1" customWidth="1"/>
    <col min="5" max="5" width="10" style="4868" hidden="1" customWidth="1"/>
    <col min="6" max="6" width="8.7109375" style="4868" hidden="1" customWidth="1"/>
    <col min="7" max="7" width="7.5703125" style="4868" hidden="1" customWidth="1"/>
    <col min="8" max="8" width="11.42578125" style="4868" hidden="1" customWidth="1"/>
    <col min="9" max="9" width="12" style="4868" hidden="1" customWidth="1"/>
    <col min="10" max="10" width="9.85546875" style="4868" hidden="1" customWidth="1"/>
    <col min="11" max="11" width="11.42578125" style="4868" hidden="1" customWidth="1"/>
    <col min="12" max="12" width="19.140625" style="4869" hidden="1" customWidth="1"/>
    <col min="13" max="14" width="12.28515625" style="4870" hidden="1" customWidth="1"/>
    <col min="15" max="15" width="23.42578125" style="4870" hidden="1" customWidth="1"/>
    <col min="16" max="16" width="3.7109375" style="4870" customWidth="1"/>
    <col min="17" max="18" width="3.7109375" style="4860" customWidth="1"/>
    <col min="19" max="19" width="12.7109375" style="4861" customWidth="1"/>
    <col min="20" max="20" width="32" style="4868" customWidth="1"/>
    <col min="21" max="21" width="0.140625" style="4868" customWidth="1"/>
    <col min="22" max="22" width="24.7109375" style="4868" hidden="1" customWidth="1"/>
    <col min="23" max="23" width="0.140625" style="4868" hidden="1" customWidth="1"/>
    <col min="24" max="25" width="24.7109375" style="4868" hidden="1" customWidth="1"/>
    <col min="26" max="26" width="11.7109375" style="4868" hidden="1" customWidth="1"/>
    <col min="27" max="27" width="3.7109375" style="4868" hidden="1" customWidth="1"/>
    <col min="28" max="28" width="11.7109375" style="4868" hidden="1" customWidth="1"/>
    <col min="29" max="29" width="8.5703125" style="4868" hidden="1" customWidth="1"/>
    <col min="30" max="30" width="24.7109375" style="4868" customWidth="1"/>
    <col min="31" max="31" width="0.140625" style="4868" customWidth="1"/>
    <col min="32" max="33" width="24.7109375" style="4868" customWidth="1"/>
    <col min="34" max="34" width="11.7109375" style="4868" customWidth="1"/>
    <col min="35" max="35" width="3.7109375" style="4868" customWidth="1"/>
    <col min="36" max="36" width="11.7109375" style="4868" customWidth="1"/>
    <col min="37" max="37" width="8.5703125" style="4868" hidden="1" customWidth="1"/>
    <col min="38" max="38" width="4.7109375" style="4868" customWidth="1"/>
    <col min="39" max="39" width="115.7109375" style="4868" customWidth="1"/>
    <col min="40" max="41" width="10.5703125" style="4867"/>
    <col min="42" max="42" width="11.140625" style="4867" customWidth="1"/>
    <col min="43" max="44" width="10.5703125" style="4867"/>
  </cols>
  <sheetData>
    <row r="1" spans="1:44" ht="14.25" hidden="1" customHeight="1"/>
    <row r="2" spans="1:44" ht="21" hidden="1" customHeight="1">
      <c r="A2" s="1150"/>
      <c r="B2" s="1150"/>
      <c r="C2" s="1150"/>
      <c r="D2" s="1150"/>
      <c r="E2" s="5400">
        <v>1</v>
      </c>
      <c r="F2" s="1150"/>
      <c r="G2" s="1150"/>
      <c r="H2" s="1150"/>
      <c r="I2" s="1150"/>
      <c r="J2" s="1150"/>
      <c r="K2" s="1150"/>
      <c r="L2" s="1190"/>
      <c r="M2" s="1477"/>
      <c r="N2" s="1477"/>
      <c r="O2" s="1477"/>
      <c r="P2" s="1459"/>
      <c r="Q2" s="277"/>
      <c r="R2" s="272"/>
      <c r="S2" s="1819" t="e">
        <f>INDEX(PT_DIFFERENTIATION_NUM_NTAR,MATCH(A2,PT_DIFFERENTIATION_NTAR_ID,0))</f>
        <v>#N/A</v>
      </c>
      <c r="T2" s="1397" t="s">
        <v>141</v>
      </c>
      <c r="U2" s="218"/>
      <c r="V2" s="5362"/>
      <c r="W2" s="5363"/>
      <c r="X2" s="5363"/>
      <c r="Y2" s="5363"/>
      <c r="Z2" s="5363"/>
      <c r="AA2" s="5363"/>
      <c r="AB2" s="5363"/>
      <c r="AC2" s="5364"/>
      <c r="AD2" s="5362" t="e">
        <f>INDEX(PT_DIFFERENTIATION_NTAR,MATCH(A2,PT_DIFFERENTIATION_NTAR_ID,0))</f>
        <v>#N/A</v>
      </c>
      <c r="AE2" s="5363"/>
      <c r="AF2" s="5363"/>
      <c r="AG2" s="5363"/>
      <c r="AH2" s="5363"/>
      <c r="AI2" s="5363"/>
      <c r="AJ2" s="5363"/>
      <c r="AK2" s="5363"/>
      <c r="AL2" s="5364"/>
      <c r="AM2" s="1141" t="s">
        <v>474</v>
      </c>
      <c r="AO2" s="1488"/>
      <c r="AP2" s="1488" t="str">
        <f t="shared" ref="AP2:AP15" si="0">IF(T2="","",T2)</f>
        <v>Наименование тарифа</v>
      </c>
      <c r="AQ2" s="1488"/>
      <c r="AR2" s="1488"/>
    </row>
    <row r="3" spans="1:44" ht="21" hidden="1" customHeight="1">
      <c r="A3" s="1150"/>
      <c r="B3" s="1150"/>
      <c r="C3" s="1150"/>
      <c r="D3" s="1150"/>
      <c r="E3" s="5401"/>
      <c r="F3" s="5400">
        <v>1</v>
      </c>
      <c r="G3" s="1150"/>
      <c r="H3" s="1150"/>
      <c r="I3" s="1150"/>
      <c r="J3" s="1150"/>
      <c r="K3" s="1150"/>
      <c r="L3" s="1190"/>
      <c r="M3" s="1477"/>
      <c r="N3" s="1477"/>
      <c r="O3" s="1477"/>
      <c r="P3" s="1801"/>
      <c r="Q3" s="269"/>
      <c r="R3" s="270"/>
      <c r="S3" s="1819" t="e">
        <f>INDEX(PT_DIFFERENTIATION_NUM_TER,MATCH(B3,PT_DIFFERENTIATION_TER_ID,0))</f>
        <v>#N/A</v>
      </c>
      <c r="T3" s="1394" t="s">
        <v>475</v>
      </c>
      <c r="U3" s="218"/>
      <c r="V3" s="5362"/>
      <c r="W3" s="5363"/>
      <c r="X3" s="5363"/>
      <c r="Y3" s="5363"/>
      <c r="Z3" s="5363"/>
      <c r="AA3" s="5363"/>
      <c r="AB3" s="5363"/>
      <c r="AC3" s="5364"/>
      <c r="AD3" s="5362" t="e">
        <f>INDEX(PT_DIFFERENTIATION_TER,MATCH(B3,PT_DIFFERENTIATION_TER_ID,0))</f>
        <v>#N/A</v>
      </c>
      <c r="AE3" s="5363"/>
      <c r="AF3" s="5363"/>
      <c r="AG3" s="5363"/>
      <c r="AH3" s="5363"/>
      <c r="AI3" s="5363"/>
      <c r="AJ3" s="5363"/>
      <c r="AK3" s="5363"/>
      <c r="AL3" s="5364"/>
      <c r="AM3" s="1141" t="s">
        <v>476</v>
      </c>
      <c r="AO3" s="1488"/>
      <c r="AP3" s="1488" t="str">
        <f t="shared" si="0"/>
        <v>Территория действия тарифа</v>
      </c>
      <c r="AQ3" s="1488"/>
      <c r="AR3" s="1488"/>
    </row>
    <row r="4" spans="1:44" ht="23.25" hidden="1" customHeight="1">
      <c r="A4" s="1150"/>
      <c r="B4" s="1150"/>
      <c r="C4" s="1150"/>
      <c r="D4" s="1150"/>
      <c r="E4" s="5401"/>
      <c r="F4" s="5401"/>
      <c r="G4" s="5400">
        <v>1</v>
      </c>
      <c r="H4" s="1150"/>
      <c r="I4" s="1150"/>
      <c r="J4" s="1150"/>
      <c r="K4" s="1150"/>
      <c r="L4" s="1190"/>
      <c r="M4" s="1477"/>
      <c r="N4" s="1477"/>
      <c r="O4" s="1477"/>
      <c r="P4" s="271"/>
      <c r="Q4" s="269"/>
      <c r="R4" s="270"/>
      <c r="S4" s="1819" t="e">
        <f>INDEX(PT_DIFFERENTIATION_NUM_CS,MATCH(C4,PT_DIFFERENTIATION_CS_ID,0))</f>
        <v>#N/A</v>
      </c>
      <c r="T4" s="227" t="s">
        <v>477</v>
      </c>
      <c r="U4" s="218"/>
      <c r="V4" s="5362"/>
      <c r="W4" s="5363"/>
      <c r="X4" s="5363"/>
      <c r="Y4" s="5363"/>
      <c r="Z4" s="5363"/>
      <c r="AA4" s="5363"/>
      <c r="AB4" s="5363"/>
      <c r="AC4" s="5364"/>
      <c r="AD4" s="5362" t="e">
        <f>INDEX(PT_DIFFERENTIATION_CS,MATCH(C4,PT_DIFFERENTIATION_CS_ID,0))</f>
        <v>#N/A</v>
      </c>
      <c r="AE4" s="5363"/>
      <c r="AF4" s="5363"/>
      <c r="AG4" s="5363"/>
      <c r="AH4" s="5363"/>
      <c r="AI4" s="5363"/>
      <c r="AJ4" s="5363"/>
      <c r="AK4" s="5363"/>
      <c r="AL4" s="5364"/>
      <c r="AM4" s="1141" t="s">
        <v>478</v>
      </c>
      <c r="AO4" s="1488"/>
      <c r="AP4" s="1488" t="str">
        <f t="shared" si="0"/>
        <v xml:space="preserve">Наименование системы теплоснабжения </v>
      </c>
      <c r="AQ4" s="1488"/>
      <c r="AR4" s="1488"/>
    </row>
    <row r="5" spans="1:44" ht="21" hidden="1" customHeight="1">
      <c r="A5" s="1150"/>
      <c r="B5" s="1150"/>
      <c r="C5" s="1150"/>
      <c r="D5" s="1150"/>
      <c r="E5" s="5401"/>
      <c r="F5" s="5401"/>
      <c r="G5" s="5401"/>
      <c r="H5" s="5400">
        <v>1</v>
      </c>
      <c r="I5" s="1150"/>
      <c r="J5" s="1150"/>
      <c r="K5" s="1150"/>
      <c r="L5" s="1190"/>
      <c r="M5" s="1477"/>
      <c r="N5" s="1477"/>
      <c r="O5" s="1477"/>
      <c r="P5" s="271"/>
      <c r="Q5" s="269"/>
      <c r="R5" s="270"/>
      <c r="S5" s="1819" t="e">
        <f>INDEX(PT_DIFFERENTIATION_NUM_IST_TE,MATCH(D5,PT_DIFFERENTIATION_IST_TE_ID,0))</f>
        <v>#N/A</v>
      </c>
      <c r="T5" s="228" t="s">
        <v>479</v>
      </c>
      <c r="U5" s="218"/>
      <c r="V5" s="5362"/>
      <c r="W5" s="5363"/>
      <c r="X5" s="5363"/>
      <c r="Y5" s="5363"/>
      <c r="Z5" s="5363"/>
      <c r="AA5" s="5363"/>
      <c r="AB5" s="5363"/>
      <c r="AC5" s="5364"/>
      <c r="AD5" s="5362" t="e">
        <f>INDEX(PT_DIFFERENTIATION_IST_TE,MATCH(D5,PT_DIFFERENTIATION_IST_TE_ID,0))</f>
        <v>#N/A</v>
      </c>
      <c r="AE5" s="5363"/>
      <c r="AF5" s="5363"/>
      <c r="AG5" s="5363"/>
      <c r="AH5" s="5363"/>
      <c r="AI5" s="5363"/>
      <c r="AJ5" s="5363"/>
      <c r="AK5" s="5363"/>
      <c r="AL5" s="5364"/>
      <c r="AM5" s="1141" t="s">
        <v>480</v>
      </c>
      <c r="AO5" s="1488"/>
      <c r="AP5" s="1488" t="str">
        <f t="shared" si="0"/>
        <v xml:space="preserve">Источник тепловой энергии  </v>
      </c>
      <c r="AQ5" s="1488"/>
      <c r="AR5" s="1488"/>
    </row>
    <row r="6" spans="1:44" ht="47.25" hidden="1" customHeight="1">
      <c r="A6" s="1150"/>
      <c r="B6" s="1150"/>
      <c r="C6" s="1150"/>
      <c r="D6" s="1150"/>
      <c r="E6" s="5401"/>
      <c r="F6" s="5401"/>
      <c r="G6" s="5401"/>
      <c r="H6" s="5401"/>
      <c r="I6" s="5244" t="e">
        <f>S5&amp;".1"</f>
        <v>#N/A</v>
      </c>
      <c r="J6" s="1150"/>
      <c r="K6" s="1150"/>
      <c r="L6" s="1190" t="s">
        <v>481</v>
      </c>
      <c r="M6" s="1499"/>
      <c r="P6" s="5375">
        <v>1</v>
      </c>
      <c r="Q6" s="1815"/>
      <c r="R6" s="273"/>
      <c r="S6" s="1819" t="e">
        <f>$I6</f>
        <v>#N/A</v>
      </c>
      <c r="T6" s="203" t="s">
        <v>482</v>
      </c>
      <c r="U6" s="218"/>
      <c r="V6" s="5365"/>
      <c r="W6" s="5366"/>
      <c r="X6" s="5366"/>
      <c r="Y6" s="5366"/>
      <c r="Z6" s="5366"/>
      <c r="AA6" s="5366"/>
      <c r="AB6" s="5366"/>
      <c r="AC6" s="5367"/>
      <c r="AD6" s="5365"/>
      <c r="AE6" s="5366"/>
      <c r="AF6" s="5366"/>
      <c r="AG6" s="5366"/>
      <c r="AH6" s="5366"/>
      <c r="AI6" s="5366"/>
      <c r="AJ6" s="5366"/>
      <c r="AK6" s="5366"/>
      <c r="AL6" s="5367"/>
      <c r="AM6" s="1141" t="s">
        <v>483</v>
      </c>
      <c r="AO6" s="1488"/>
      <c r="AP6" s="1488" t="str">
        <f t="shared" si="0"/>
        <v>Схема подключения теплопотребляющей установки к коллектору источника тепловой энергии</v>
      </c>
      <c r="AQ6" s="1488"/>
      <c r="AR6" s="1488"/>
    </row>
    <row r="7" spans="1:44" ht="21" hidden="1" customHeight="1">
      <c r="A7" s="1150"/>
      <c r="B7" s="1150"/>
      <c r="C7" s="1150"/>
      <c r="D7" s="1150"/>
      <c r="E7" s="5401"/>
      <c r="F7" s="5401"/>
      <c r="G7" s="5401"/>
      <c r="H7" s="5401"/>
      <c r="I7" s="5215"/>
      <c r="J7" s="5244" t="e">
        <f>I6&amp;".1"</f>
        <v>#N/A</v>
      </c>
      <c r="K7" s="1150"/>
      <c r="L7" s="1190" t="s">
        <v>484</v>
      </c>
      <c r="M7" s="1499"/>
      <c r="N7" s="1495"/>
      <c r="P7" s="5375"/>
      <c r="Q7" s="5375">
        <v>1</v>
      </c>
      <c r="R7" s="274"/>
      <c r="S7" s="1819" t="e">
        <f>$J7</f>
        <v>#N/A</v>
      </c>
      <c r="T7" s="204" t="s">
        <v>485</v>
      </c>
      <c r="U7" s="218"/>
      <c r="V7" s="5365"/>
      <c r="W7" s="5366"/>
      <c r="X7" s="5366"/>
      <c r="Y7" s="5366"/>
      <c r="Z7" s="5366"/>
      <c r="AA7" s="5366"/>
      <c r="AB7" s="5366"/>
      <c r="AC7" s="5367"/>
      <c r="AD7" s="5365"/>
      <c r="AE7" s="5366"/>
      <c r="AF7" s="5366"/>
      <c r="AG7" s="5366"/>
      <c r="AH7" s="5366"/>
      <c r="AI7" s="5366"/>
      <c r="AJ7" s="5366"/>
      <c r="AK7" s="5366"/>
      <c r="AL7" s="5367"/>
      <c r="AM7" s="1141" t="s">
        <v>486</v>
      </c>
      <c r="AO7" s="1488"/>
      <c r="AP7" s="1488" t="str">
        <f t="shared" si="0"/>
        <v>Группа потребителей</v>
      </c>
      <c r="AQ7" s="1488"/>
      <c r="AR7" s="1488"/>
    </row>
    <row r="8" spans="1:44" ht="21" hidden="1" customHeight="1">
      <c r="A8" s="1150"/>
      <c r="B8" s="1150"/>
      <c r="C8" s="1150"/>
      <c r="D8" s="1150"/>
      <c r="E8" s="5401"/>
      <c r="F8" s="5401"/>
      <c r="G8" s="5401"/>
      <c r="H8" s="5401"/>
      <c r="I8" s="5215"/>
      <c r="J8" s="5215"/>
      <c r="K8" s="5244" t="e">
        <f>J7&amp;".1"</f>
        <v>#N/A</v>
      </c>
      <c r="L8" s="1190" t="s">
        <v>487</v>
      </c>
      <c r="M8" s="1499"/>
      <c r="N8" s="1495"/>
      <c r="O8" s="1495"/>
      <c r="P8" s="5375"/>
      <c r="Q8" s="5375"/>
      <c r="R8" s="274">
        <v>1</v>
      </c>
      <c r="S8" s="1819" t="e">
        <f>$K8</f>
        <v>#N/A</v>
      </c>
      <c r="T8" s="1226"/>
      <c r="U8" s="218"/>
      <c r="V8" s="650"/>
      <c r="W8" s="243"/>
      <c r="X8" s="650"/>
      <c r="Y8" s="1140"/>
      <c r="Z8" s="5379"/>
      <c r="AA8" s="5225" t="s">
        <v>64</v>
      </c>
      <c r="AB8" s="5379"/>
      <c r="AC8" s="5225" t="s">
        <v>64</v>
      </c>
      <c r="AD8" s="650"/>
      <c r="AE8" s="243"/>
      <c r="AF8" s="650"/>
      <c r="AG8" s="1140"/>
      <c r="AH8" s="5379"/>
      <c r="AI8" s="5225" t="s">
        <v>64</v>
      </c>
      <c r="AJ8" s="5379"/>
      <c r="AK8" s="5225" t="s">
        <v>64</v>
      </c>
      <c r="AL8" s="243"/>
      <c r="AM8" s="5371" t="s">
        <v>488</v>
      </c>
      <c r="AN8" s="1500" t="e">
        <f ca="1">STRCHECKDATE(V9:AL9)</f>
        <v>#NAME?</v>
      </c>
      <c r="AO8" s="1488"/>
      <c r="AP8" s="1488" t="str">
        <f t="shared" si="0"/>
        <v/>
      </c>
      <c r="AQ8" s="1488"/>
      <c r="AR8" s="1488"/>
    </row>
    <row r="9" spans="1:44" ht="0.75" hidden="1" customHeight="1">
      <c r="A9" s="1150"/>
      <c r="B9" s="1150"/>
      <c r="C9" s="1150"/>
      <c r="D9" s="1150"/>
      <c r="E9" s="5401"/>
      <c r="F9" s="5401"/>
      <c r="G9" s="5401"/>
      <c r="H9" s="5401"/>
      <c r="I9" s="5215"/>
      <c r="J9" s="5215"/>
      <c r="K9" s="5244"/>
      <c r="L9" s="1190"/>
      <c r="M9" s="1499"/>
      <c r="N9" s="1495"/>
      <c r="O9" s="1495"/>
      <c r="P9" s="5375"/>
      <c r="Q9" s="5375"/>
      <c r="R9" s="274"/>
      <c r="S9" s="1828"/>
      <c r="T9" s="218"/>
      <c r="U9" s="218"/>
      <c r="V9" s="243"/>
      <c r="W9" s="243"/>
      <c r="X9" s="243"/>
      <c r="Y9" s="246" t="str">
        <f>Z8&amp;"-"&amp;AB8</f>
        <v>-</v>
      </c>
      <c r="Z9" s="5380"/>
      <c r="AA9" s="5225"/>
      <c r="AB9" s="5380"/>
      <c r="AC9" s="5225"/>
      <c r="AD9" s="243"/>
      <c r="AE9" s="243"/>
      <c r="AF9" s="243"/>
      <c r="AG9" s="246" t="str">
        <f>AH8&amp;"-"&amp;AJ8</f>
        <v>-</v>
      </c>
      <c r="AH9" s="5380"/>
      <c r="AI9" s="5225"/>
      <c r="AJ9" s="5380"/>
      <c r="AK9" s="5225"/>
      <c r="AL9" s="243"/>
      <c r="AM9" s="5372"/>
      <c r="AO9" s="1488"/>
      <c r="AP9" s="1488" t="str">
        <f t="shared" si="0"/>
        <v/>
      </c>
      <c r="AQ9" s="1488"/>
      <c r="AR9" s="1488"/>
    </row>
    <row r="10" spans="1:44" ht="15" hidden="1" customHeight="1">
      <c r="A10" s="1150"/>
      <c r="B10" s="1150"/>
      <c r="C10" s="1150"/>
      <c r="D10" s="1150"/>
      <c r="E10" s="5401"/>
      <c r="F10" s="5401"/>
      <c r="G10" s="5401"/>
      <c r="H10" s="5401"/>
      <c r="I10" s="5215"/>
      <c r="J10" s="5244"/>
      <c r="K10" s="1150"/>
      <c r="L10" s="1190"/>
      <c r="M10" s="1499"/>
      <c r="N10" s="1495"/>
      <c r="P10" s="5375"/>
      <c r="Q10" s="5375"/>
      <c r="R10" s="273"/>
      <c r="S10" s="1161"/>
      <c r="T10" s="206" t="s">
        <v>489</v>
      </c>
      <c r="U10" s="504"/>
      <c r="V10" s="504"/>
      <c r="W10" s="504"/>
      <c r="X10" s="504"/>
      <c r="Y10" s="504"/>
      <c r="Z10" s="504"/>
      <c r="AA10" s="504"/>
      <c r="AB10" s="504"/>
      <c r="AC10" s="504"/>
      <c r="AD10" s="504"/>
      <c r="AE10" s="504"/>
      <c r="AF10" s="504"/>
      <c r="AG10" s="504"/>
      <c r="AH10" s="504"/>
      <c r="AI10" s="504"/>
      <c r="AJ10" s="504"/>
      <c r="AK10" s="504"/>
      <c r="AL10" s="242"/>
      <c r="AM10" s="5373"/>
      <c r="AO10" s="1488"/>
      <c r="AP10" s="1488" t="str">
        <f t="shared" si="0"/>
        <v>Добавить вид теплоносителя (параметры теплоносителя)</v>
      </c>
      <c r="AQ10" s="1488"/>
      <c r="AR10" s="1488"/>
    </row>
    <row r="11" spans="1:44" ht="15" hidden="1" customHeight="1">
      <c r="A11" s="1150"/>
      <c r="B11" s="1150"/>
      <c r="C11" s="1150"/>
      <c r="D11" s="1150"/>
      <c r="E11" s="5401"/>
      <c r="F11" s="5401"/>
      <c r="G11" s="5401"/>
      <c r="H11" s="5401"/>
      <c r="I11" s="5244"/>
      <c r="J11" s="1150"/>
      <c r="K11" s="1150"/>
      <c r="L11" s="1190"/>
      <c r="M11" s="1499"/>
      <c r="P11" s="5375"/>
      <c r="Q11" s="1815"/>
      <c r="R11" s="273"/>
      <c r="S11" s="1161"/>
      <c r="T11" s="205" t="s">
        <v>490</v>
      </c>
      <c r="U11" s="504"/>
      <c r="V11" s="504"/>
      <c r="W11" s="504"/>
      <c r="X11" s="504"/>
      <c r="Y11" s="504"/>
      <c r="Z11" s="504"/>
      <c r="AA11" s="504"/>
      <c r="AB11" s="504"/>
      <c r="AC11" s="282"/>
      <c r="AD11" s="504"/>
      <c r="AE11" s="504"/>
      <c r="AF11" s="504"/>
      <c r="AG11" s="504"/>
      <c r="AH11" s="504"/>
      <c r="AI11" s="504"/>
      <c r="AJ11" s="504"/>
      <c r="AK11" s="282"/>
      <c r="AL11" s="504"/>
      <c r="AM11" s="221"/>
      <c r="AO11" s="1488"/>
      <c r="AP11" s="1488" t="str">
        <f t="shared" si="0"/>
        <v>Добавить группу потребителей</v>
      </c>
      <c r="AQ11" s="1488"/>
      <c r="AR11" s="1488"/>
    </row>
    <row r="12" spans="1:44" ht="14.25" hidden="1" customHeight="1">
      <c r="A12" s="1150"/>
      <c r="B12" s="1150"/>
      <c r="C12" s="1150"/>
      <c r="D12" s="1150"/>
      <c r="E12" s="5401"/>
      <c r="F12" s="5401"/>
      <c r="G12" s="5401"/>
      <c r="H12" s="5400"/>
      <c r="I12" s="1150"/>
      <c r="J12" s="1150"/>
      <c r="K12" s="1150"/>
      <c r="L12" s="1190"/>
      <c r="M12" s="1477"/>
      <c r="N12" s="1477"/>
      <c r="O12" s="1499"/>
      <c r="P12" s="277"/>
      <c r="Q12" s="291"/>
      <c r="R12" s="272"/>
      <c r="S12" s="1161"/>
      <c r="T12" s="281" t="s">
        <v>491</v>
      </c>
      <c r="U12" s="504"/>
      <c r="V12" s="504"/>
      <c r="W12" s="504"/>
      <c r="X12" s="504"/>
      <c r="Y12" s="504"/>
      <c r="Z12" s="504"/>
      <c r="AA12" s="504"/>
      <c r="AB12" s="504"/>
      <c r="AC12" s="282"/>
      <c r="AD12" s="504"/>
      <c r="AE12" s="504"/>
      <c r="AF12" s="504"/>
      <c r="AG12" s="504"/>
      <c r="AH12" s="504"/>
      <c r="AI12" s="504"/>
      <c r="AJ12" s="504"/>
      <c r="AK12" s="282"/>
      <c r="AL12" s="504"/>
      <c r="AM12" s="221"/>
      <c r="AO12" s="1488"/>
      <c r="AP12" s="1488" t="str">
        <f t="shared" si="0"/>
        <v>Добавить схему подключения</v>
      </c>
      <c r="AQ12" s="1488"/>
      <c r="AR12" s="1488"/>
    </row>
    <row r="13" spans="1:44" s="4864" customFormat="1" ht="0.75" hidden="1" customHeight="1">
      <c r="A13" s="1836"/>
      <c r="B13" s="1836"/>
      <c r="C13" s="1836"/>
      <c r="D13" s="1836"/>
      <c r="E13" s="5401"/>
      <c r="F13" s="5401"/>
      <c r="G13" s="5400"/>
      <c r="H13" s="1836"/>
      <c r="I13" s="1836"/>
      <c r="J13" s="1836"/>
      <c r="K13" s="1836"/>
      <c r="L13" s="1258"/>
      <c r="M13" s="1477"/>
      <c r="N13" s="1477"/>
      <c r="O13" s="1499"/>
      <c r="P13" s="1196"/>
      <c r="Q13" s="1197"/>
      <c r="R13" s="1196"/>
      <c r="S13" s="1198"/>
      <c r="T13" s="1199" t="s">
        <v>492</v>
      </c>
      <c r="U13" s="1200"/>
      <c r="V13" s="1200"/>
      <c r="W13" s="1200"/>
      <c r="X13" s="1200"/>
      <c r="Y13" s="1200"/>
      <c r="Z13" s="1200"/>
      <c r="AA13" s="1200"/>
      <c r="AB13" s="1200"/>
      <c r="AC13" s="1200"/>
      <c r="AD13" s="1200"/>
      <c r="AE13" s="1200"/>
      <c r="AF13" s="1200"/>
      <c r="AG13" s="1200"/>
      <c r="AH13" s="1200"/>
      <c r="AI13" s="1200"/>
      <c r="AJ13" s="1200"/>
      <c r="AK13" s="1200"/>
      <c r="AL13" s="1200"/>
      <c r="AM13" s="1200"/>
      <c r="AO13" s="1134"/>
      <c r="AP13" s="1134" t="str">
        <f t="shared" si="0"/>
        <v>Добавить источник для дифференциации</v>
      </c>
      <c r="AQ13" s="1134"/>
      <c r="AR13" s="1134"/>
    </row>
    <row r="14" spans="1:44" s="4864" customFormat="1" ht="0.75" hidden="1" customHeight="1">
      <c r="A14" s="1836"/>
      <c r="B14" s="1836"/>
      <c r="C14" s="1836"/>
      <c r="D14" s="1836"/>
      <c r="E14" s="5401"/>
      <c r="F14" s="5400"/>
      <c r="G14" s="1836"/>
      <c r="H14" s="1836"/>
      <c r="I14" s="1836"/>
      <c r="J14" s="1836"/>
      <c r="K14" s="1836"/>
      <c r="L14" s="1258"/>
      <c r="M14" s="1837"/>
      <c r="N14" s="1837"/>
      <c r="O14" s="1499"/>
      <c r="P14" s="1196"/>
      <c r="Q14" s="1197"/>
      <c r="R14" s="1196"/>
      <c r="S14" s="1202"/>
      <c r="T14" s="1203" t="s">
        <v>271</v>
      </c>
      <c r="U14" s="1204"/>
      <c r="V14" s="1204"/>
      <c r="W14" s="1204"/>
      <c r="X14" s="1204"/>
      <c r="Y14" s="1204"/>
      <c r="Z14" s="1204"/>
      <c r="AA14" s="1204"/>
      <c r="AB14" s="1204"/>
      <c r="AC14" s="1204"/>
      <c r="AD14" s="1204"/>
      <c r="AE14" s="1204"/>
      <c r="AF14" s="1204"/>
      <c r="AG14" s="1204"/>
      <c r="AH14" s="1204"/>
      <c r="AI14" s="1204"/>
      <c r="AJ14" s="1204"/>
      <c r="AK14" s="1204"/>
      <c r="AL14" s="1204"/>
      <c r="AM14" s="1204"/>
      <c r="AO14" s="1134"/>
      <c r="AP14" s="1134" t="str">
        <f t="shared" si="0"/>
        <v>Добавить централизованную систему для дифференциации</v>
      </c>
      <c r="AQ14" s="1134"/>
      <c r="AR14" s="1134"/>
    </row>
    <row r="15" spans="1:44" s="4864" customFormat="1" ht="0.75" hidden="1" customHeight="1">
      <c r="A15" s="1836"/>
      <c r="B15" s="1836"/>
      <c r="C15" s="1836"/>
      <c r="D15" s="1836"/>
      <c r="E15" s="5400"/>
      <c r="F15" s="1836"/>
      <c r="G15" s="1836"/>
      <c r="H15" s="1836"/>
      <c r="I15" s="1836"/>
      <c r="J15" s="1836"/>
      <c r="K15" s="1836"/>
      <c r="L15" s="1258"/>
      <c r="M15" s="1837"/>
      <c r="N15" s="1837"/>
      <c r="O15" s="1499"/>
      <c r="P15" s="1196"/>
      <c r="Q15" s="1197"/>
      <c r="R15" s="1196"/>
      <c r="S15" s="1202"/>
      <c r="T15" s="1205" t="s">
        <v>330</v>
      </c>
      <c r="U15" s="1204"/>
      <c r="V15" s="1204"/>
      <c r="W15" s="1204"/>
      <c r="X15" s="1204"/>
      <c r="Y15" s="1204"/>
      <c r="Z15" s="1204"/>
      <c r="AA15" s="1204"/>
      <c r="AB15" s="1204"/>
      <c r="AC15" s="1204"/>
      <c r="AD15" s="1204"/>
      <c r="AE15" s="1204"/>
      <c r="AF15" s="1204"/>
      <c r="AG15" s="1204"/>
      <c r="AH15" s="1204"/>
      <c r="AI15" s="1204"/>
      <c r="AJ15" s="1204"/>
      <c r="AK15" s="1204"/>
      <c r="AL15" s="1204"/>
      <c r="AM15" s="1204"/>
      <c r="AO15" s="1134"/>
      <c r="AP15" s="1134" t="str">
        <f t="shared" si="0"/>
        <v>Добавить территорию для дифференциации</v>
      </c>
      <c r="AQ15" s="1134"/>
      <c r="AR15" s="1134"/>
    </row>
    <row r="16" spans="1:44" ht="14.25" hidden="1" customHeight="1"/>
    <row r="17" spans="1:44" ht="14.25" hidden="1" customHeight="1">
      <c r="AD17" s="1238"/>
      <c r="AE17" s="1238"/>
      <c r="AF17" s="1238"/>
      <c r="AG17" s="1239"/>
      <c r="AH17" s="5381"/>
      <c r="AI17" s="5382" t="s">
        <v>64</v>
      </c>
      <c r="AJ17" s="5381"/>
      <c r="AK17" s="5382" t="s">
        <v>64</v>
      </c>
    </row>
    <row r="18" spans="1:44" ht="14.25" hidden="1" customHeight="1">
      <c r="AD18" s="1238"/>
      <c r="AE18" s="1238"/>
      <c r="AF18" s="1238"/>
      <c r="AG18" s="246" t="str">
        <f>AH17&amp;"-"&amp;AJ17</f>
        <v>-</v>
      </c>
      <c r="AH18" s="5382"/>
      <c r="AI18" s="5382"/>
      <c r="AJ18" s="5382"/>
      <c r="AK18" s="5382"/>
    </row>
    <row r="19" spans="1:44" ht="14.25" hidden="1" customHeight="1"/>
    <row r="20" spans="1:44" s="4865" customFormat="1" ht="14.25" hidden="1" customHeight="1">
      <c r="A20" s="1495"/>
      <c r="B20" s="1495"/>
      <c r="C20" s="1495"/>
      <c r="D20" s="1495"/>
      <c r="E20" s="1495"/>
      <c r="F20" s="1495"/>
      <c r="G20" s="1495"/>
      <c r="H20" s="1495"/>
      <c r="I20" s="1495"/>
      <c r="J20" s="1495"/>
      <c r="K20" s="1495"/>
      <c r="L20" s="1800"/>
      <c r="M20" s="1826"/>
      <c r="N20" s="1826"/>
      <c r="O20" s="1224" t="s">
        <v>493</v>
      </c>
      <c r="P20" s="1240"/>
      <c r="Q20" s="1249"/>
      <c r="R20" s="1249"/>
      <c r="S20" s="630"/>
      <c r="Z20" s="1245"/>
      <c r="AB20" s="1245"/>
      <c r="AH20" s="1245"/>
      <c r="AJ20" s="1245"/>
      <c r="AN20" s="1500"/>
      <c r="AO20" s="1500"/>
      <c r="AP20" s="1500"/>
      <c r="AQ20" s="1500"/>
      <c r="AR20" s="1500"/>
    </row>
    <row r="21" spans="1:44" s="4865" customFormat="1" ht="14.25" hidden="1" customHeight="1">
      <c r="A21" s="1495"/>
      <c r="B21" s="1495"/>
      <c r="C21" s="1495"/>
      <c r="D21" s="1495"/>
      <c r="E21" s="1495"/>
      <c r="F21" s="1495"/>
      <c r="G21" s="1495"/>
      <c r="H21" s="1495"/>
      <c r="I21" s="1495"/>
      <c r="J21" s="1495"/>
      <c r="K21" s="1495"/>
      <c r="L21" s="1800"/>
      <c r="M21" s="1826"/>
      <c r="N21" s="1826"/>
      <c r="O21" s="1826"/>
      <c r="P21" s="1240"/>
      <c r="Q21" s="1249"/>
      <c r="R21" s="1249"/>
      <c r="S21" s="630"/>
      <c r="AN21" s="1500"/>
      <c r="AO21" s="1500"/>
      <c r="AP21" s="1500"/>
      <c r="AQ21" s="1500"/>
      <c r="AR21" s="1500"/>
    </row>
    <row r="22" spans="1:44" s="4865" customFormat="1" ht="14.25" hidden="1" customHeight="1">
      <c r="A22" s="1495"/>
      <c r="B22" s="1495"/>
      <c r="C22" s="1495"/>
      <c r="D22" s="1495"/>
      <c r="E22" s="1495"/>
      <c r="F22" s="1495"/>
      <c r="G22" s="1495"/>
      <c r="H22" s="1495"/>
      <c r="I22" s="1495"/>
      <c r="J22" s="1495"/>
      <c r="K22" s="1495"/>
      <c r="L22" s="1800"/>
      <c r="M22" s="1826"/>
      <c r="N22" s="1826"/>
      <c r="O22" s="1190" t="s">
        <v>494</v>
      </c>
      <c r="P22" s="1240"/>
      <c r="Q22" s="1249"/>
      <c r="R22" s="1249"/>
      <c r="S22" s="630"/>
      <c r="T22" s="1244" t="s">
        <v>495</v>
      </c>
      <c r="AA22" s="500" t="s">
        <v>496</v>
      </c>
      <c r="AC22" s="500" t="s">
        <v>497</v>
      </c>
      <c r="AD22" s="1244" t="s">
        <v>495</v>
      </c>
      <c r="AI22" s="500" t="s">
        <v>498</v>
      </c>
      <c r="AK22" s="500" t="s">
        <v>497</v>
      </c>
      <c r="AN22" s="1500"/>
      <c r="AO22" s="1500"/>
      <c r="AP22" s="1500"/>
      <c r="AQ22" s="1500"/>
      <c r="AR22" s="1500"/>
    </row>
    <row r="23" spans="1:44" ht="14.25" hidden="1" customHeight="1">
      <c r="O23" s="1190"/>
    </row>
    <row r="24" spans="1:44" ht="14.25" hidden="1" customHeight="1">
      <c r="O24" s="1190"/>
    </row>
    <row r="25" spans="1:44" ht="14.25" customHeight="1">
      <c r="Q25" s="292"/>
      <c r="R25" s="292"/>
      <c r="S25" s="1158"/>
      <c r="T25" s="367"/>
      <c r="U25" s="367"/>
      <c r="V25" s="1499"/>
      <c r="W25" s="1499"/>
      <c r="X25" s="1499"/>
      <c r="Y25" s="1499"/>
      <c r="Z25" s="1499"/>
      <c r="AA25" s="1499"/>
      <c r="AB25" s="1499"/>
      <c r="AC25" s="1499"/>
      <c r="AD25" s="1499"/>
      <c r="AE25" s="1499"/>
      <c r="AF25" s="1499"/>
      <c r="AG25" s="1499"/>
      <c r="AH25" s="1499"/>
      <c r="AI25" s="1499"/>
      <c r="AJ25" s="1499"/>
      <c r="AK25" s="1499"/>
    </row>
    <row r="26" spans="1:44" ht="14.25" customHeight="1">
      <c r="Q26" s="292"/>
      <c r="R26" s="292"/>
      <c r="S26" s="53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60"/>
      <c r="U26" s="5360"/>
      <c r="V26" s="5360"/>
      <c r="W26" s="5360"/>
      <c r="X26" s="5360"/>
      <c r="Y26" s="5360"/>
      <c r="Z26" s="5360"/>
      <c r="AA26" s="5360"/>
      <c r="AB26" s="5360"/>
      <c r="AC26" s="5360"/>
      <c r="AD26" s="5360"/>
      <c r="AE26" s="5360"/>
      <c r="AF26" s="5360"/>
      <c r="AG26" s="5360"/>
      <c r="AH26" s="5360"/>
      <c r="AI26" s="5360"/>
      <c r="AJ26" s="5360"/>
      <c r="AK26" s="1126"/>
    </row>
    <row r="27" spans="1:44" ht="14.25" customHeight="1">
      <c r="Q27" s="292"/>
      <c r="R27" s="292"/>
      <c r="S27" s="5308" t="str">
        <f>IF(org=0,"Не определено",org)</f>
        <v>ООО «Газпром теплоэнерго МО»</v>
      </c>
      <c r="T27" s="5308"/>
      <c r="U27" s="5308"/>
      <c r="V27" s="5308"/>
      <c r="W27" s="5308"/>
      <c r="X27" s="5308"/>
      <c r="Y27" s="5308"/>
      <c r="Z27" s="5308"/>
      <c r="AA27" s="5308"/>
      <c r="AB27" s="5308"/>
      <c r="AC27" s="5308"/>
      <c r="AD27" s="5308"/>
      <c r="AE27" s="5308"/>
      <c r="AF27" s="5308"/>
      <c r="AG27" s="5308"/>
      <c r="AH27" s="5308"/>
      <c r="AI27" s="5308"/>
      <c r="AJ27" s="5308"/>
      <c r="AK27" s="1126"/>
    </row>
    <row r="28" spans="1:44" ht="14.25" hidden="1" customHeight="1">
      <c r="Q28" s="292"/>
      <c r="R28" s="292"/>
      <c r="S28" s="1158"/>
      <c r="T28" s="367"/>
      <c r="U28" s="367"/>
      <c r="V28" s="240"/>
      <c r="W28" s="240"/>
      <c r="X28" s="240"/>
      <c r="Y28" s="240"/>
      <c r="Z28" s="240"/>
      <c r="AA28" s="240"/>
      <c r="AB28" s="240"/>
      <c r="AC28" s="240"/>
      <c r="AD28" s="240"/>
      <c r="AE28" s="240"/>
      <c r="AF28" s="240"/>
      <c r="AG28" s="240"/>
      <c r="AH28" s="240"/>
      <c r="AI28" s="240"/>
      <c r="AJ28" s="240"/>
      <c r="AK28" s="240"/>
      <c r="AL28" s="1499"/>
    </row>
    <row r="29" spans="1:44" s="4855" customFormat="1" ht="25.5" hidden="1" customHeight="1">
      <c r="A29" s="1131"/>
      <c r="B29" s="1131"/>
      <c r="C29" s="1131"/>
      <c r="D29" s="1131"/>
      <c r="E29" s="1131"/>
      <c r="F29" s="1131"/>
      <c r="G29" s="1131"/>
      <c r="H29" s="1131"/>
      <c r="I29" s="1131"/>
      <c r="J29" s="1131"/>
      <c r="K29" s="1131"/>
      <c r="L29" s="1258"/>
      <c r="M29" s="1131"/>
      <c r="N29" s="1131"/>
      <c r="O29" s="1131"/>
      <c r="S29" s="5368" t="s">
        <v>38</v>
      </c>
      <c r="T29" s="5368"/>
      <c r="U29" s="1250"/>
      <c r="V29" s="5369" t="str">
        <f>IF(TITLE_NAME_OR_PR_CHANGE="",IF(TITLE_NAME_OR_PR="","",TITLE_NAME_OR_PR),TITLE_NAME_OR_PR_CHANGE)</f>
        <v>Комитет по ценам и тарифам Московской области</v>
      </c>
      <c r="W29" s="5369"/>
      <c r="X29" s="5369"/>
      <c r="Y29" s="5369"/>
      <c r="Z29" s="5369"/>
      <c r="AA29" s="5369"/>
      <c r="AB29" s="5369"/>
      <c r="AC29" s="1499"/>
      <c r="AD29" s="5369" t="str">
        <f>IF(TITLE_NAME_OR_PR_CHANGE="",IF(TITLE_NAME_OR_PR="","",TITLE_NAME_OR_PR),TITLE_NAME_OR_PR_CHANGE)</f>
        <v>Комитет по ценам и тарифам Московской области</v>
      </c>
      <c r="AE29" s="5369"/>
      <c r="AF29" s="5369"/>
      <c r="AG29" s="5369"/>
      <c r="AH29" s="5369"/>
      <c r="AI29" s="5369"/>
      <c r="AJ29" s="5369"/>
      <c r="AK29" s="1499"/>
      <c r="AL29" s="1499"/>
      <c r="AM29" s="199"/>
      <c r="AN29" s="284"/>
      <c r="AO29" s="284"/>
      <c r="AP29" s="284"/>
      <c r="AQ29" s="284"/>
      <c r="AR29" s="284"/>
    </row>
    <row r="30" spans="1:44" s="4855" customFormat="1" ht="18.75" hidden="1" customHeight="1">
      <c r="A30" s="1131"/>
      <c r="B30" s="1131"/>
      <c r="C30" s="1131"/>
      <c r="D30" s="1131"/>
      <c r="E30" s="1131"/>
      <c r="F30" s="1131"/>
      <c r="G30" s="1131"/>
      <c r="H30" s="1131"/>
      <c r="I30" s="1131"/>
      <c r="J30" s="1131"/>
      <c r="K30" s="1131"/>
      <c r="L30" s="1258"/>
      <c r="M30" s="1131"/>
      <c r="N30" s="1131"/>
      <c r="O30" s="1131"/>
      <c r="S30" s="5368" t="s">
        <v>499</v>
      </c>
      <c r="T30" s="5368"/>
      <c r="U30" s="1250"/>
      <c r="V30" s="5378">
        <f>IF(TITLE_DATE_PR_CHANGE="",IF(TITLE_DATE_PR="","",TITLE_DATE_PR),TITLE_DATE_PR_CHANGE)</f>
        <v>45280</v>
      </c>
      <c r="W30" s="5378"/>
      <c r="X30" s="5378"/>
      <c r="Y30" s="5378"/>
      <c r="Z30" s="5378"/>
      <c r="AA30" s="5378"/>
      <c r="AB30" s="5378"/>
      <c r="AC30" s="1499"/>
      <c r="AD30" s="5378">
        <f>IF(TITLE_DATE_PR_CHANGE="",IF(TITLE_DATE_PR="","",TITLE_DATE_PR),TITLE_DATE_PR_CHANGE)</f>
        <v>45280</v>
      </c>
      <c r="AE30" s="5378"/>
      <c r="AF30" s="5378"/>
      <c r="AG30" s="5378"/>
      <c r="AH30" s="5378"/>
      <c r="AI30" s="5378"/>
      <c r="AJ30" s="5378"/>
      <c r="AK30" s="1499"/>
      <c r="AL30" s="1499"/>
      <c r="AM30" s="199"/>
      <c r="AN30" s="284"/>
      <c r="AO30" s="284"/>
      <c r="AP30" s="284"/>
      <c r="AQ30" s="284"/>
      <c r="AR30" s="284"/>
    </row>
    <row r="31" spans="1:44" s="4855" customFormat="1" ht="18.75" hidden="1" customHeight="1">
      <c r="A31" s="1131"/>
      <c r="B31" s="1131"/>
      <c r="C31" s="1131"/>
      <c r="D31" s="1131"/>
      <c r="E31" s="1131"/>
      <c r="F31" s="1131"/>
      <c r="G31" s="1131"/>
      <c r="H31" s="1131"/>
      <c r="I31" s="1131"/>
      <c r="J31" s="1131"/>
      <c r="K31" s="1131"/>
      <c r="L31" s="1258"/>
      <c r="M31" s="1131"/>
      <c r="N31" s="1131"/>
      <c r="O31" s="1131"/>
      <c r="S31" s="5368" t="s">
        <v>500</v>
      </c>
      <c r="T31" s="5368"/>
      <c r="U31" s="1250"/>
      <c r="V31" s="5369" t="str">
        <f>IF(TITLE_NUMBER_PR_CHANGE="",IF(TITLE_NUMBER_PR="","",TITLE_NUMBER_PR),TITLE_NUMBER_PR_CHANGE)</f>
        <v>317-Р</v>
      </c>
      <c r="W31" s="5369"/>
      <c r="X31" s="5369"/>
      <c r="Y31" s="5369"/>
      <c r="Z31" s="5369"/>
      <c r="AA31" s="5369"/>
      <c r="AB31" s="5369"/>
      <c r="AC31" s="1499"/>
      <c r="AD31" s="5369" t="str">
        <f>IF(TITLE_NUMBER_PR_CHANGE="",IF(TITLE_NUMBER_PR="","",TITLE_NUMBER_PR),TITLE_NUMBER_PR_CHANGE)</f>
        <v>317-Р</v>
      </c>
      <c r="AE31" s="5369"/>
      <c r="AF31" s="5369"/>
      <c r="AG31" s="5369"/>
      <c r="AH31" s="5369"/>
      <c r="AI31" s="5369"/>
      <c r="AJ31" s="5369"/>
      <c r="AK31" s="1499"/>
      <c r="AL31" s="1499"/>
      <c r="AM31" s="199"/>
      <c r="AN31" s="284"/>
      <c r="AO31" s="284"/>
      <c r="AP31" s="284"/>
      <c r="AQ31" s="284"/>
      <c r="AR31" s="284"/>
    </row>
    <row r="32" spans="1:44" s="4855" customFormat="1" ht="18.75" hidden="1" customHeight="1">
      <c r="A32" s="1131"/>
      <c r="B32" s="1131"/>
      <c r="C32" s="1131"/>
      <c r="D32" s="1131"/>
      <c r="E32" s="1131"/>
      <c r="F32" s="1131"/>
      <c r="G32" s="1131"/>
      <c r="H32" s="1131"/>
      <c r="I32" s="1131"/>
      <c r="J32" s="1131"/>
      <c r="K32" s="1131"/>
      <c r="L32" s="1258"/>
      <c r="M32" s="1131"/>
      <c r="N32" s="1131"/>
      <c r="O32" s="1131"/>
      <c r="S32" s="5368" t="s">
        <v>40</v>
      </c>
      <c r="T32" s="5368"/>
      <c r="U32" s="1250"/>
      <c r="V32" s="5369" t="str">
        <f>IF(TITLE_IST_PUB_CHANGE="",IF(TITLE_IST_PUB="","",TITLE_IST_PUB),TITLE_IST_PUB_CHANGE)</f>
        <v>https://ktc.mosreg.ru/dokumenty/normotvorchestvo/rasporyazheniya/gosudarstvennoe-regulirovanie-tarifov-na-teplovuyu-energiyu-raspor/29-12-2023-16-47-50-rasporyazhenie-komiteta-po-tsenam-i-tarifam-moskov</v>
      </c>
      <c r="W32" s="5369"/>
      <c r="X32" s="5369"/>
      <c r="Y32" s="5369"/>
      <c r="Z32" s="5369"/>
      <c r="AA32" s="5369"/>
      <c r="AB32" s="5369"/>
      <c r="AC32" s="1499"/>
      <c r="AD32" s="5369" t="str">
        <f>IF(TITLE_IST_PUB_CHANGE="",IF(TITLE_IST_PUB="","",TITLE_IST_PUB),TITLE_IST_PUB_CHANGE)</f>
        <v>https://ktc.mosreg.ru/dokumenty/normotvorchestvo/rasporyazheniya/gosudarstvennoe-regulirovanie-tarifov-na-teplovuyu-energiyu-raspor/29-12-2023-16-47-50-rasporyazhenie-komiteta-po-tsenam-i-tarifam-moskov</v>
      </c>
      <c r="AE32" s="5369"/>
      <c r="AF32" s="5369"/>
      <c r="AG32" s="5369"/>
      <c r="AH32" s="5369"/>
      <c r="AI32" s="5369"/>
      <c r="AJ32" s="5369"/>
      <c r="AK32" s="1499"/>
      <c r="AL32" s="1499"/>
      <c r="AM32" s="199"/>
      <c r="AN32" s="284"/>
      <c r="AO32" s="284"/>
      <c r="AP32" s="284"/>
      <c r="AQ32" s="284"/>
      <c r="AR32" s="284"/>
    </row>
    <row r="33" spans="1:44" ht="14.25" hidden="1" customHeight="1">
      <c r="Q33" s="292"/>
      <c r="R33" s="292"/>
      <c r="S33" s="1158"/>
      <c r="T33" s="367"/>
      <c r="U33" s="367"/>
      <c r="V33" s="240"/>
      <c r="W33" s="240"/>
      <c r="X33" s="240"/>
      <c r="Y33" s="240"/>
      <c r="Z33" s="240"/>
      <c r="AA33" s="240"/>
      <c r="AB33" s="240"/>
      <c r="AC33" s="240"/>
      <c r="AD33" s="240"/>
      <c r="AE33" s="240"/>
      <c r="AF33" s="240"/>
      <c r="AG33" s="240"/>
      <c r="AH33" s="240"/>
      <c r="AI33" s="240"/>
      <c r="AJ33" s="240"/>
      <c r="AK33" s="240"/>
      <c r="AL33" s="1499"/>
    </row>
    <row r="34" spans="1:44" s="4855" customFormat="1" ht="18.75" hidden="1" customHeight="1">
      <c r="A34" s="1131"/>
      <c r="B34" s="1131"/>
      <c r="C34" s="1131"/>
      <c r="D34" s="1131"/>
      <c r="E34" s="1131"/>
      <c r="F34" s="1131"/>
      <c r="G34" s="1131"/>
      <c r="H34" s="1131"/>
      <c r="I34" s="1131"/>
      <c r="J34" s="1131"/>
      <c r="K34" s="1131"/>
      <c r="L34" s="1258"/>
      <c r="M34" s="1131"/>
      <c r="N34" s="1131"/>
      <c r="O34" s="1131"/>
      <c r="S34" s="5368" t="s">
        <v>501</v>
      </c>
      <c r="T34" s="5368"/>
      <c r="U34" s="1250"/>
      <c r="V34" s="5378">
        <f>IF(TITLE_DATE_PR_CHANGE="",IF(TITLE_DATE_PR="","",TITLE_DATE_PR),TITLE_DATE_PR_CHANGE)</f>
        <v>45280</v>
      </c>
      <c r="W34" s="5378"/>
      <c r="X34" s="5378"/>
      <c r="Y34" s="5378"/>
      <c r="Z34" s="5378"/>
      <c r="AA34" s="5378"/>
      <c r="AB34" s="5378"/>
      <c r="AC34" s="1499"/>
      <c r="AD34" s="5378">
        <f>IF(TITLE_DATE_PR_CHANGE="",IF(TITLE_DATE_PR="","",TITLE_DATE_PR),TITLE_DATE_PR_CHANGE)</f>
        <v>45280</v>
      </c>
      <c r="AE34" s="5378"/>
      <c r="AF34" s="5378"/>
      <c r="AG34" s="5378"/>
      <c r="AH34" s="5378"/>
      <c r="AI34" s="5378"/>
      <c r="AJ34" s="5378"/>
      <c r="AK34" s="1499"/>
      <c r="AL34" s="1499"/>
      <c r="AM34" s="199"/>
      <c r="AN34" s="284"/>
      <c r="AO34" s="284"/>
      <c r="AP34" s="284"/>
      <c r="AQ34" s="284"/>
      <c r="AR34" s="284"/>
    </row>
    <row r="35" spans="1:44" s="4855" customFormat="1" ht="18.75" hidden="1" customHeight="1">
      <c r="A35" s="1131"/>
      <c r="B35" s="1131"/>
      <c r="C35" s="1131"/>
      <c r="D35" s="1131"/>
      <c r="E35" s="1131"/>
      <c r="F35" s="1131"/>
      <c r="G35" s="1131"/>
      <c r="H35" s="1131"/>
      <c r="I35" s="1131"/>
      <c r="J35" s="1131"/>
      <c r="K35" s="1131"/>
      <c r="L35" s="1258"/>
      <c r="M35" s="1131"/>
      <c r="N35" s="1131"/>
      <c r="O35" s="1131"/>
      <c r="S35" s="5368" t="s">
        <v>502</v>
      </c>
      <c r="T35" s="5368"/>
      <c r="U35" s="1250"/>
      <c r="V35" s="5369" t="str">
        <f>IF(TITLE_NUMBER_PR_CHANGE="",IF(TITLE_NUMBER_PR="","",TITLE_NUMBER_PR),TITLE_NUMBER_PR_CHANGE)</f>
        <v>317-Р</v>
      </c>
      <c r="W35" s="5369"/>
      <c r="X35" s="5369"/>
      <c r="Y35" s="5369"/>
      <c r="Z35" s="5369"/>
      <c r="AA35" s="5369"/>
      <c r="AB35" s="5369"/>
      <c r="AC35" s="1499"/>
      <c r="AD35" s="5369" t="str">
        <f>IF(TITLE_NUMBER_PR_CHANGE="",IF(TITLE_NUMBER_PR="","",TITLE_NUMBER_PR),TITLE_NUMBER_PR_CHANGE)</f>
        <v>317-Р</v>
      </c>
      <c r="AE35" s="5369"/>
      <c r="AF35" s="5369"/>
      <c r="AG35" s="5369"/>
      <c r="AH35" s="5369"/>
      <c r="AI35" s="5369"/>
      <c r="AJ35" s="5369"/>
      <c r="AK35" s="1499"/>
      <c r="AL35" s="1499"/>
      <c r="AM35" s="199"/>
      <c r="AN35" s="284"/>
      <c r="AO35" s="284"/>
      <c r="AP35" s="284"/>
      <c r="AQ35" s="284"/>
      <c r="AR35" s="284"/>
    </row>
    <row r="36" spans="1:44" s="4855" customFormat="1" ht="0" hidden="1" customHeight="1">
      <c r="A36" s="1131"/>
      <c r="B36" s="1131"/>
      <c r="C36" s="1131"/>
      <c r="D36" s="1131"/>
      <c r="E36" s="1131"/>
      <c r="F36" s="1131"/>
      <c r="G36" s="1131"/>
      <c r="H36" s="1131"/>
      <c r="I36" s="1131"/>
      <c r="J36" s="1131"/>
      <c r="K36" s="1131"/>
      <c r="L36" s="1258"/>
      <c r="M36" s="1131"/>
      <c r="N36" s="1131"/>
      <c r="O36" s="1131"/>
      <c r="S36" s="1499"/>
      <c r="T36" s="1499"/>
      <c r="U36" s="1831"/>
      <c r="V36" s="1499"/>
      <c r="W36" s="1499"/>
      <c r="X36" s="1499"/>
      <c r="Y36" s="1499"/>
      <c r="Z36" s="1499"/>
      <c r="AA36" s="1499"/>
      <c r="AB36" s="1499"/>
      <c r="AC36" s="1506" t="s">
        <v>503</v>
      </c>
      <c r="AD36" s="1499"/>
      <c r="AE36" s="1499"/>
      <c r="AF36" s="1499"/>
      <c r="AG36" s="1499"/>
      <c r="AH36" s="1499"/>
      <c r="AI36" s="1499"/>
      <c r="AJ36" s="1499"/>
      <c r="AK36" s="1506" t="s">
        <v>503</v>
      </c>
      <c r="AN36" s="284"/>
      <c r="AO36" s="284"/>
      <c r="AP36" s="284"/>
      <c r="AQ36" s="284"/>
      <c r="AR36" s="284"/>
    </row>
    <row r="37" spans="1:44" ht="14.25" customHeight="1">
      <c r="Q37" s="292"/>
      <c r="R37" s="292"/>
      <c r="S37" s="1158"/>
      <c r="T37" s="367"/>
      <c r="U37" s="1127"/>
      <c r="V37" s="5370"/>
      <c r="W37" s="5370"/>
      <c r="X37" s="5370"/>
      <c r="Y37" s="5370"/>
      <c r="Z37" s="5370"/>
      <c r="AA37" s="5370"/>
      <c r="AB37" s="5370"/>
      <c r="AC37" s="5370"/>
      <c r="AD37" s="5370"/>
      <c r="AE37" s="5370"/>
      <c r="AF37" s="5370"/>
      <c r="AG37" s="5370"/>
      <c r="AH37" s="5370"/>
      <c r="AI37" s="5370"/>
      <c r="AJ37" s="5370"/>
      <c r="AK37" s="5370"/>
    </row>
    <row r="38" spans="1:44" ht="14.25" customHeight="1">
      <c r="Q38" s="292"/>
      <c r="R38" s="292"/>
      <c r="S38" s="5244" t="s">
        <v>378</v>
      </c>
      <c r="T38" s="5244"/>
      <c r="U38" s="5244"/>
      <c r="V38" s="5244"/>
      <c r="W38" s="5244"/>
      <c r="X38" s="5244"/>
      <c r="Y38" s="5244"/>
      <c r="Z38" s="5244"/>
      <c r="AA38" s="5244"/>
      <c r="AB38" s="5244"/>
      <c r="AC38" s="5244"/>
      <c r="AD38" s="5244"/>
      <c r="AE38" s="5244"/>
      <c r="AF38" s="5244"/>
      <c r="AG38" s="5244"/>
      <c r="AH38" s="5244"/>
      <c r="AI38" s="5244"/>
      <c r="AJ38" s="5244"/>
      <c r="AK38" s="5244"/>
      <c r="AL38" s="5244"/>
      <c r="AM38" s="5244" t="s">
        <v>379</v>
      </c>
    </row>
    <row r="39" spans="1:44" ht="14.25" customHeight="1">
      <c r="Q39" s="292"/>
      <c r="R39" s="292"/>
      <c r="S39" s="5384" t="s">
        <v>85</v>
      </c>
      <c r="T39" s="5336" t="s">
        <v>504</v>
      </c>
      <c r="U39" s="255"/>
      <c r="V39" s="5385" t="s">
        <v>505</v>
      </c>
      <c r="W39" s="5386"/>
      <c r="X39" s="5386"/>
      <c r="Y39" s="5386"/>
      <c r="Z39" s="5386"/>
      <c r="AA39" s="5386"/>
      <c r="AB39" s="5387"/>
      <c r="AC39" s="5388" t="s">
        <v>506</v>
      </c>
      <c r="AD39" s="5385" t="s">
        <v>505</v>
      </c>
      <c r="AE39" s="5386"/>
      <c r="AF39" s="5386"/>
      <c r="AG39" s="5386"/>
      <c r="AH39" s="5386"/>
      <c r="AI39" s="5386"/>
      <c r="AJ39" s="5387"/>
      <c r="AK39" s="5388" t="s">
        <v>507</v>
      </c>
      <c r="AL39" s="5391" t="s">
        <v>508</v>
      </c>
      <c r="AM39" s="5244"/>
    </row>
    <row r="40" spans="1:44" ht="33.75" customHeight="1">
      <c r="Q40" s="292"/>
      <c r="R40" s="292"/>
      <c r="S40" s="5384"/>
      <c r="T40" s="5336"/>
      <c r="U40" s="920"/>
      <c r="V40" s="5307" t="s">
        <v>509</v>
      </c>
      <c r="W40" s="5394" t="s">
        <v>510</v>
      </c>
      <c r="X40" s="5215" t="s">
        <v>511</v>
      </c>
      <c r="Y40" s="5214"/>
      <c r="Z40" s="5215" t="s">
        <v>524</v>
      </c>
      <c r="AA40" s="5220"/>
      <c r="AB40" s="5214"/>
      <c r="AC40" s="5389"/>
      <c r="AD40" s="5307" t="s">
        <v>509</v>
      </c>
      <c r="AE40" s="5394" t="s">
        <v>510</v>
      </c>
      <c r="AF40" s="5215" t="s">
        <v>511</v>
      </c>
      <c r="AG40" s="5214"/>
      <c r="AH40" s="5215" t="s">
        <v>512</v>
      </c>
      <c r="AI40" s="5220"/>
      <c r="AJ40" s="5214"/>
      <c r="AK40" s="5389"/>
      <c r="AL40" s="5392"/>
      <c r="AM40" s="5244"/>
    </row>
    <row r="41" spans="1:44" ht="33.75" customHeight="1">
      <c r="A41" s="1149"/>
      <c r="B41" s="1149" t="s">
        <v>153</v>
      </c>
      <c r="C41" s="1149" t="s">
        <v>154</v>
      </c>
      <c r="D41" s="1149" t="s">
        <v>155</v>
      </c>
      <c r="E41" s="1190" t="s">
        <v>513</v>
      </c>
      <c r="F41" s="1190" t="s">
        <v>514</v>
      </c>
      <c r="G41" s="1190" t="s">
        <v>515</v>
      </c>
      <c r="H41" s="1190" t="s">
        <v>516</v>
      </c>
      <c r="I41" s="1190" t="s">
        <v>517</v>
      </c>
      <c r="J41" s="1190" t="s">
        <v>518</v>
      </c>
      <c r="K41" s="1190" t="s">
        <v>519</v>
      </c>
      <c r="L41" s="1190" t="s">
        <v>494</v>
      </c>
      <c r="Q41" s="292"/>
      <c r="R41" s="292"/>
      <c r="S41" s="5384"/>
      <c r="T41" s="5336"/>
      <c r="U41" s="220"/>
      <c r="V41" s="5355"/>
      <c r="W41" s="5395"/>
      <c r="X41" s="1799" t="s">
        <v>520</v>
      </c>
      <c r="Y41" s="1799" t="s">
        <v>521</v>
      </c>
      <c r="Z41" s="1799" t="s">
        <v>522</v>
      </c>
      <c r="AA41" s="5344" t="s">
        <v>523</v>
      </c>
      <c r="AB41" s="5346"/>
      <c r="AC41" s="5390"/>
      <c r="AD41" s="5355"/>
      <c r="AE41" s="5395"/>
      <c r="AF41" s="1799" t="s">
        <v>520</v>
      </c>
      <c r="AG41" s="1799" t="s">
        <v>521</v>
      </c>
      <c r="AH41" s="1799" t="s">
        <v>522</v>
      </c>
      <c r="AI41" s="5344" t="s">
        <v>523</v>
      </c>
      <c r="AJ41" s="5346"/>
      <c r="AK41" s="5390"/>
      <c r="AL41" s="5393"/>
      <c r="AM41" s="5244"/>
    </row>
    <row r="42" spans="1:44" s="4866" customFormat="1" ht="11.25" hidden="1" customHeight="1">
      <c r="A42" s="1149"/>
      <c r="B42" s="1149"/>
      <c r="C42" s="1149"/>
      <c r="D42" s="1149"/>
      <c r="E42" s="1149"/>
      <c r="F42" s="1149"/>
      <c r="G42" s="1149"/>
      <c r="H42" s="1149"/>
      <c r="I42" s="1149"/>
      <c r="J42" s="1149"/>
      <c r="K42" s="1149"/>
      <c r="L42" s="1190"/>
      <c r="M42" s="1826"/>
      <c r="N42" s="1826"/>
      <c r="O42" s="1826"/>
      <c r="P42" s="1129"/>
      <c r="Q42" s="1130"/>
      <c r="R42" s="1137">
        <v>1</v>
      </c>
      <c r="S42" s="1160" t="s">
        <v>129</v>
      </c>
      <c r="T42" s="1138" t="s">
        <v>100</v>
      </c>
      <c r="U42" s="1128" t="str">
        <f ca="1">OFFSET(U42,0,-1)</f>
        <v>2</v>
      </c>
      <c r="V42" s="1817">
        <f ca="1">OFFSET(V42,0,-1)+1</f>
        <v>3</v>
      </c>
      <c r="W42" s="1817"/>
      <c r="X42" s="1817">
        <f ca="1">OFFSET(X42,0,-1)+1</f>
        <v>1</v>
      </c>
      <c r="Y42" s="1817">
        <f ca="1">OFFSET(Y42,0,-1)+1</f>
        <v>2</v>
      </c>
      <c r="Z42" s="1817">
        <f ca="1">OFFSET(Z42,0,-1)+1</f>
        <v>3</v>
      </c>
      <c r="AA42" s="5383">
        <f ca="1">OFFSET(AA42,0,-1)+1</f>
        <v>4</v>
      </c>
      <c r="AB42" s="5383"/>
      <c r="AC42" s="1817">
        <f ca="1">OFFSET(AC42,0,-2)+1</f>
        <v>5</v>
      </c>
      <c r="AD42" s="1817">
        <f ca="1">OFFSET(AD42,0,-1)+1</f>
        <v>6</v>
      </c>
      <c r="AE42" s="1817"/>
      <c r="AF42" s="1817">
        <f ca="1">OFFSET(AF42,0,-1)+1</f>
        <v>1</v>
      </c>
      <c r="AG42" s="1817">
        <f ca="1">OFFSET(AG42,0,-1)+1</f>
        <v>2</v>
      </c>
      <c r="AH42" s="1817">
        <f ca="1">OFFSET(AH42,0,-1)+1</f>
        <v>3</v>
      </c>
      <c r="AI42" s="5383">
        <f ca="1">OFFSET(AI42,0,-1)+1</f>
        <v>4</v>
      </c>
      <c r="AJ42" s="5383"/>
      <c r="AK42" s="1817">
        <f ca="1">OFFSET(AK42,0,-2)+1</f>
        <v>5</v>
      </c>
      <c r="AL42" s="1128">
        <f ca="1">OFFSET(AL42,0,-1)</f>
        <v>5</v>
      </c>
      <c r="AM42" s="1817">
        <f ca="1">OFFSET(AM42,0,-1)+1</f>
        <v>6</v>
      </c>
      <c r="AN42" s="1500"/>
      <c r="AO42" s="1500"/>
      <c r="AP42" s="1500"/>
      <c r="AQ42" s="1500"/>
      <c r="AR42" s="1500"/>
    </row>
    <row r="43" spans="1:44" ht="21" customHeight="1">
      <c r="A43" s="1150" t="s">
        <v>227</v>
      </c>
      <c r="B43" s="1150"/>
      <c r="C43" s="1150"/>
      <c r="D43" s="1150"/>
      <c r="E43" s="5400">
        <v>1</v>
      </c>
      <c r="F43" s="1150"/>
      <c r="G43" s="1150"/>
      <c r="H43" s="1150"/>
      <c r="I43" s="1150"/>
      <c r="J43" s="1150"/>
      <c r="K43" s="1150"/>
      <c r="L43" s="1190"/>
      <c r="M43" s="1477"/>
      <c r="N43" s="1477"/>
      <c r="O43" s="1477"/>
      <c r="P43" s="1459"/>
      <c r="Q43" s="277"/>
      <c r="R43" s="272"/>
      <c r="S43" s="1819">
        <f>INDEX(PT_DIFFERENTIATION_NUM_NTAR,MATCH(A43,PT_DIFFERENTIATION_NTAR_ID,0))</f>
        <v>0</v>
      </c>
      <c r="T43" s="1397" t="s">
        <v>141</v>
      </c>
      <c r="U43" s="218"/>
      <c r="V43" s="5362"/>
      <c r="W43" s="5363"/>
      <c r="X43" s="5363"/>
      <c r="Y43" s="5363"/>
      <c r="Z43" s="5363"/>
      <c r="AA43" s="5363"/>
      <c r="AB43" s="5363"/>
      <c r="AC43" s="5364"/>
      <c r="AD43" s="5362" t="str">
        <f>INDEX(PT_DIFFERENTIATION_NTAR,MATCH(A43,PT_DIFFERENTIATION_NTAR_ID,0))</f>
        <v/>
      </c>
      <c r="AE43" s="5363"/>
      <c r="AF43" s="5363"/>
      <c r="AG43" s="5363"/>
      <c r="AH43" s="5363"/>
      <c r="AI43" s="5363"/>
      <c r="AJ43" s="5363"/>
      <c r="AK43" s="5363"/>
      <c r="AL43" s="5364"/>
      <c r="AM43" s="11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488"/>
      <c r="AP43" s="1488" t="str">
        <f t="shared" ref="AP43:AP57" si="1">IF(T43="","",T43)</f>
        <v>Наименование тарифа</v>
      </c>
      <c r="AQ43" s="1488"/>
      <c r="AR43" s="1488"/>
    </row>
    <row r="44" spans="1:44" ht="21" customHeight="1">
      <c r="A44" s="1150" t="s">
        <v>227</v>
      </c>
      <c r="B44" s="1150" t="s">
        <v>228</v>
      </c>
      <c r="C44" s="1150"/>
      <c r="D44" s="1150"/>
      <c r="E44" s="5401"/>
      <c r="F44" s="5400">
        <v>1</v>
      </c>
      <c r="G44" s="1150"/>
      <c r="H44" s="1150"/>
      <c r="I44" s="1150"/>
      <c r="J44" s="1150"/>
      <c r="K44" s="1150"/>
      <c r="L44" s="1190"/>
      <c r="M44" s="1477"/>
      <c r="N44" s="1477"/>
      <c r="O44" s="1477"/>
      <c r="P44" s="1801"/>
      <c r="Q44" s="269"/>
      <c r="R44" s="270"/>
      <c r="S44" s="1819" t="str">
        <f>INDEX(PT_DIFFERENTIATION_NUM_TER,MATCH(B44,PT_DIFFERENTIATION_TER_ID,0))</f>
        <v>.</v>
      </c>
      <c r="T44" s="1394" t="s">
        <v>475</v>
      </c>
      <c r="U44" s="218"/>
      <c r="V44" s="5362"/>
      <c r="W44" s="5363"/>
      <c r="X44" s="5363"/>
      <c r="Y44" s="5363"/>
      <c r="Z44" s="5363"/>
      <c r="AA44" s="5363"/>
      <c r="AB44" s="5363"/>
      <c r="AC44" s="5364"/>
      <c r="AD44" s="5362" t="str">
        <f>INDEX(PT_DIFFERENTIATION_TER,MATCH(B44,PT_DIFFERENTIATION_TER_ID,0))</f>
        <v/>
      </c>
      <c r="AE44" s="5363"/>
      <c r="AF44" s="5363"/>
      <c r="AG44" s="5363"/>
      <c r="AH44" s="5363"/>
      <c r="AI44" s="5363"/>
      <c r="AJ44" s="5363"/>
      <c r="AK44" s="5363"/>
      <c r="AL44" s="5364"/>
      <c r="AM44" s="1141" t="s">
        <v>476</v>
      </c>
      <c r="AO44" s="1488"/>
      <c r="AP44" s="1488" t="str">
        <f t="shared" si="1"/>
        <v>Территория действия тарифа</v>
      </c>
      <c r="AQ44" s="1488"/>
      <c r="AR44" s="1488"/>
    </row>
    <row r="45" spans="1:44" ht="23.25" customHeight="1">
      <c r="A45" s="1150" t="s">
        <v>227</v>
      </c>
      <c r="B45" s="1150" t="s">
        <v>228</v>
      </c>
      <c r="C45" s="1150" t="s">
        <v>229</v>
      </c>
      <c r="D45" s="1150"/>
      <c r="E45" s="5401"/>
      <c r="F45" s="5401"/>
      <c r="G45" s="5400">
        <v>1</v>
      </c>
      <c r="H45" s="1150"/>
      <c r="I45" s="1150"/>
      <c r="J45" s="1150"/>
      <c r="K45" s="1150"/>
      <c r="L45" s="1190"/>
      <c r="M45" s="1477"/>
      <c r="N45" s="1477"/>
      <c r="O45" s="1477"/>
      <c r="P45" s="271"/>
      <c r="Q45" s="269"/>
      <c r="R45" s="270"/>
      <c r="S45" s="1819" t="str">
        <f>INDEX(PT_DIFFERENTIATION_NUM_CS,MATCH(C45,PT_DIFFERENTIATION_CS_ID,0))</f>
        <v>..</v>
      </c>
      <c r="T45" s="227" t="s">
        <v>477</v>
      </c>
      <c r="U45" s="218"/>
      <c r="V45" s="5362"/>
      <c r="W45" s="5363"/>
      <c r="X45" s="5363"/>
      <c r="Y45" s="5363"/>
      <c r="Z45" s="5363"/>
      <c r="AA45" s="5363"/>
      <c r="AB45" s="5363"/>
      <c r="AC45" s="5364"/>
      <c r="AD45" s="5362" t="str">
        <f>INDEX(PT_DIFFERENTIATION_CS,MATCH(C45,PT_DIFFERENTIATION_CS_ID,0))</f>
        <v/>
      </c>
      <c r="AE45" s="5363"/>
      <c r="AF45" s="5363"/>
      <c r="AG45" s="5363"/>
      <c r="AH45" s="5363"/>
      <c r="AI45" s="5363"/>
      <c r="AJ45" s="5363"/>
      <c r="AK45" s="5363"/>
      <c r="AL45" s="5364"/>
      <c r="AM45" s="1141" t="s">
        <v>478</v>
      </c>
      <c r="AO45" s="1488"/>
      <c r="AP45" s="1488" t="str">
        <f t="shared" si="1"/>
        <v xml:space="preserve">Наименование системы теплоснабжения </v>
      </c>
      <c r="AQ45" s="1488"/>
      <c r="AR45" s="1488"/>
    </row>
    <row r="46" spans="1:44" ht="21" customHeight="1">
      <c r="A46" s="1150" t="s">
        <v>227</v>
      </c>
      <c r="B46" s="1150" t="s">
        <v>228</v>
      </c>
      <c r="C46" s="1150" t="s">
        <v>229</v>
      </c>
      <c r="D46" s="1150" t="s">
        <v>230</v>
      </c>
      <c r="E46" s="5401"/>
      <c r="F46" s="5401"/>
      <c r="G46" s="5401"/>
      <c r="H46" s="5400">
        <v>1</v>
      </c>
      <c r="I46" s="1150"/>
      <c r="J46" s="1150"/>
      <c r="K46" s="1150"/>
      <c r="L46" s="1190"/>
      <c r="M46" s="1477"/>
      <c r="N46" s="1477"/>
      <c r="O46" s="1477"/>
      <c r="P46" s="271"/>
      <c r="Q46" s="269"/>
      <c r="R46" s="270"/>
      <c r="S46" s="1819" t="str">
        <f>INDEX(PT_DIFFERENTIATION_NUM_IST_TE,MATCH(D46,PT_DIFFERENTIATION_IST_TE_ID,0))</f>
        <v>...</v>
      </c>
      <c r="T46" s="228" t="s">
        <v>479</v>
      </c>
      <c r="U46" s="218"/>
      <c r="V46" s="5362"/>
      <c r="W46" s="5363"/>
      <c r="X46" s="5363"/>
      <c r="Y46" s="5363"/>
      <c r="Z46" s="5363"/>
      <c r="AA46" s="5363"/>
      <c r="AB46" s="5363"/>
      <c r="AC46" s="5364"/>
      <c r="AD46" s="5362" t="str">
        <f>INDEX(PT_DIFFERENTIATION_IST_TE,MATCH(D46,PT_DIFFERENTIATION_IST_TE_ID,0))</f>
        <v/>
      </c>
      <c r="AE46" s="5363"/>
      <c r="AF46" s="5363"/>
      <c r="AG46" s="5363"/>
      <c r="AH46" s="5363"/>
      <c r="AI46" s="5363"/>
      <c r="AJ46" s="5363"/>
      <c r="AK46" s="5363"/>
      <c r="AL46" s="5364"/>
      <c r="AM46" s="1141" t="s">
        <v>480</v>
      </c>
      <c r="AO46" s="1488"/>
      <c r="AP46" s="1488" t="str">
        <f t="shared" si="1"/>
        <v xml:space="preserve">Источник тепловой энергии  </v>
      </c>
      <c r="AQ46" s="1488"/>
      <c r="AR46" s="1488"/>
    </row>
    <row r="47" spans="1:44" ht="47.25" customHeight="1">
      <c r="A47" s="1150" t="s">
        <v>227</v>
      </c>
      <c r="B47" s="1150" t="s">
        <v>228</v>
      </c>
      <c r="C47" s="1150" t="s">
        <v>229</v>
      </c>
      <c r="D47" s="1150" t="s">
        <v>230</v>
      </c>
      <c r="E47" s="5401"/>
      <c r="F47" s="5401"/>
      <c r="G47" s="5401"/>
      <c r="H47" s="5401"/>
      <c r="I47" s="5244" t="str">
        <f>S46&amp;".1"</f>
        <v>....1</v>
      </c>
      <c r="J47" s="1150"/>
      <c r="K47" s="1150"/>
      <c r="L47" s="1190" t="s">
        <v>481</v>
      </c>
      <c r="P47" s="5375">
        <v>1</v>
      </c>
      <c r="Q47" s="1815"/>
      <c r="R47" s="273"/>
      <c r="S47" s="1819" t="str">
        <f>$I47</f>
        <v>....1</v>
      </c>
      <c r="T47" s="203" t="s">
        <v>482</v>
      </c>
      <c r="U47" s="218"/>
      <c r="V47" s="5365"/>
      <c r="W47" s="5366"/>
      <c r="X47" s="5366"/>
      <c r="Y47" s="5366"/>
      <c r="Z47" s="5366"/>
      <c r="AA47" s="5366"/>
      <c r="AB47" s="5366"/>
      <c r="AC47" s="5367"/>
      <c r="AD47" s="5365"/>
      <c r="AE47" s="5366"/>
      <c r="AF47" s="5366"/>
      <c r="AG47" s="5366"/>
      <c r="AH47" s="5366"/>
      <c r="AI47" s="5366"/>
      <c r="AJ47" s="5366"/>
      <c r="AK47" s="5366"/>
      <c r="AL47" s="5367"/>
      <c r="AM47" s="1141" t="s">
        <v>483</v>
      </c>
      <c r="AO47" s="1488"/>
      <c r="AP47" s="1488" t="str">
        <f t="shared" si="1"/>
        <v>Схема подключения теплопотребляющей установки к коллектору источника тепловой энергии</v>
      </c>
      <c r="AQ47" s="1488"/>
      <c r="AR47" s="1488"/>
    </row>
    <row r="48" spans="1:44" ht="21" customHeight="1">
      <c r="A48" s="1150" t="s">
        <v>227</v>
      </c>
      <c r="B48" s="1150" t="s">
        <v>228</v>
      </c>
      <c r="C48" s="1150" t="s">
        <v>229</v>
      </c>
      <c r="D48" s="1150" t="s">
        <v>230</v>
      </c>
      <c r="E48" s="5401"/>
      <c r="F48" s="5401"/>
      <c r="G48" s="5401"/>
      <c r="H48" s="5401"/>
      <c r="I48" s="5215"/>
      <c r="J48" s="5244" t="str">
        <f>I47&amp;".1"</f>
        <v>....1.1</v>
      </c>
      <c r="K48" s="1150"/>
      <c r="L48" s="1190" t="s">
        <v>484</v>
      </c>
      <c r="P48" s="5375"/>
      <c r="Q48" s="5375">
        <v>1</v>
      </c>
      <c r="R48" s="274"/>
      <c r="S48" s="1819" t="str">
        <f>$J48</f>
        <v>....1.1</v>
      </c>
      <c r="T48" s="204" t="s">
        <v>485</v>
      </c>
      <c r="U48" s="218"/>
      <c r="V48" s="5365"/>
      <c r="W48" s="5366"/>
      <c r="X48" s="5366"/>
      <c r="Y48" s="5366"/>
      <c r="Z48" s="5366"/>
      <c r="AA48" s="5366"/>
      <c r="AB48" s="5366"/>
      <c r="AC48" s="5367"/>
      <c r="AD48" s="5365"/>
      <c r="AE48" s="5366"/>
      <c r="AF48" s="5366"/>
      <c r="AG48" s="5366"/>
      <c r="AH48" s="5366"/>
      <c r="AI48" s="5366"/>
      <c r="AJ48" s="5366"/>
      <c r="AK48" s="5366"/>
      <c r="AL48" s="5367"/>
      <c r="AM48" s="1141" t="s">
        <v>486</v>
      </c>
      <c r="AO48" s="1488"/>
      <c r="AP48" s="1488" t="str">
        <f t="shared" si="1"/>
        <v>Группа потребителей</v>
      </c>
      <c r="AQ48" s="1488"/>
      <c r="AR48" s="1488"/>
    </row>
    <row r="49" spans="1:44" ht="21" customHeight="1">
      <c r="A49" s="1150" t="s">
        <v>227</v>
      </c>
      <c r="B49" s="1150" t="s">
        <v>228</v>
      </c>
      <c r="C49" s="1150" t="s">
        <v>229</v>
      </c>
      <c r="D49" s="1150" t="s">
        <v>230</v>
      </c>
      <c r="E49" s="5401"/>
      <c r="F49" s="5401"/>
      <c r="G49" s="5401"/>
      <c r="H49" s="5401"/>
      <c r="I49" s="5215"/>
      <c r="J49" s="5215"/>
      <c r="K49" s="5244" t="str">
        <f>J48&amp;".1"</f>
        <v>....1.1.1</v>
      </c>
      <c r="L49" s="1190" t="s">
        <v>487</v>
      </c>
      <c r="P49" s="5375"/>
      <c r="Q49" s="5375"/>
      <c r="R49" s="274">
        <v>1</v>
      </c>
      <c r="S49" s="1819" t="str">
        <f>$K49</f>
        <v>....1.1.1</v>
      </c>
      <c r="T49" s="1226"/>
      <c r="U49" s="218"/>
      <c r="V49" s="650"/>
      <c r="W49" s="243"/>
      <c r="X49" s="650"/>
      <c r="Y49" s="1140"/>
      <c r="Z49" s="5379"/>
      <c r="AA49" s="5225" t="s">
        <v>64</v>
      </c>
      <c r="AB49" s="5379"/>
      <c r="AC49" s="5225" t="s">
        <v>64</v>
      </c>
      <c r="AD49" s="650"/>
      <c r="AE49" s="243"/>
      <c r="AF49" s="650"/>
      <c r="AG49" s="1140"/>
      <c r="AH49" s="5379"/>
      <c r="AI49" s="5225" t="s">
        <v>64</v>
      </c>
      <c r="AJ49" s="5398"/>
      <c r="AK49" s="5225" t="s">
        <v>64</v>
      </c>
      <c r="AL49" s="1227"/>
      <c r="AM49" s="5371" t="s">
        <v>488</v>
      </c>
      <c r="AN49" s="1500" t="e">
        <f ca="1">STRCHECKDATE(V50:AL50)</f>
        <v>#NAME?</v>
      </c>
      <c r="AO49" s="1488"/>
      <c r="AP49" s="1488" t="str">
        <f t="shared" si="1"/>
        <v/>
      </c>
      <c r="AQ49" s="1488"/>
      <c r="AR49" s="1488"/>
    </row>
    <row r="50" spans="1:44" ht="0.75" customHeight="1">
      <c r="A50" s="1150" t="s">
        <v>227</v>
      </c>
      <c r="B50" s="1150" t="s">
        <v>228</v>
      </c>
      <c r="C50" s="1150" t="s">
        <v>229</v>
      </c>
      <c r="D50" s="1150" t="s">
        <v>230</v>
      </c>
      <c r="E50" s="5401"/>
      <c r="F50" s="5401"/>
      <c r="G50" s="5401"/>
      <c r="H50" s="5401"/>
      <c r="I50" s="5215"/>
      <c r="J50" s="5215"/>
      <c r="K50" s="5244"/>
      <c r="L50" s="1190"/>
      <c r="P50" s="5375"/>
      <c r="Q50" s="5375"/>
      <c r="R50" s="274"/>
      <c r="S50" s="1828"/>
      <c r="T50" s="218"/>
      <c r="U50" s="218"/>
      <c r="V50" s="243"/>
      <c r="W50" s="243"/>
      <c r="X50" s="243"/>
      <c r="Y50" s="246" t="str">
        <f>Z49&amp;"-"&amp;AB49</f>
        <v>-</v>
      </c>
      <c r="Z50" s="5380"/>
      <c r="AA50" s="5225"/>
      <c r="AB50" s="5380"/>
      <c r="AC50" s="5225"/>
      <c r="AD50" s="243"/>
      <c r="AE50" s="243"/>
      <c r="AF50" s="243"/>
      <c r="AG50" s="246" t="str">
        <f>AH49&amp;"-"&amp;AJ49</f>
        <v>-</v>
      </c>
      <c r="AH50" s="5380"/>
      <c r="AI50" s="5225"/>
      <c r="AJ50" s="5399"/>
      <c r="AK50" s="5225"/>
      <c r="AL50" s="1228"/>
      <c r="AM50" s="5372"/>
      <c r="AO50" s="1488"/>
      <c r="AP50" s="1488" t="str">
        <f t="shared" si="1"/>
        <v/>
      </c>
      <c r="AQ50" s="1488"/>
      <c r="AR50" s="1488"/>
    </row>
    <row r="51" spans="1:44" ht="11.25" customHeight="1">
      <c r="A51" s="1150" t="s">
        <v>227</v>
      </c>
      <c r="B51" s="1150" t="s">
        <v>228</v>
      </c>
      <c r="C51" s="1150" t="s">
        <v>229</v>
      </c>
      <c r="D51" s="1150" t="s">
        <v>230</v>
      </c>
      <c r="E51" s="5401"/>
      <c r="F51" s="5401"/>
      <c r="G51" s="5401"/>
      <c r="H51" s="5401"/>
      <c r="I51" s="5215"/>
      <c r="J51" s="5244"/>
      <c r="K51" s="1150"/>
      <c r="L51" s="1190"/>
      <c r="P51" s="5375"/>
      <c r="Q51" s="5375"/>
      <c r="R51" s="273"/>
      <c r="S51" s="1161"/>
      <c r="T51" s="206" t="s">
        <v>489</v>
      </c>
      <c r="U51" s="504"/>
      <c r="V51" s="504"/>
      <c r="W51" s="504"/>
      <c r="X51" s="504"/>
      <c r="Y51" s="504"/>
      <c r="Z51" s="504"/>
      <c r="AA51" s="504"/>
      <c r="AB51" s="504"/>
      <c r="AC51" s="504"/>
      <c r="AD51" s="504"/>
      <c r="AE51" s="504"/>
      <c r="AF51" s="504"/>
      <c r="AG51" s="504"/>
      <c r="AH51" s="504"/>
      <c r="AI51" s="504"/>
      <c r="AJ51" s="504"/>
      <c r="AK51" s="504"/>
      <c r="AL51" s="242"/>
      <c r="AM51" s="5373"/>
      <c r="AO51" s="1488"/>
      <c r="AP51" s="1488" t="str">
        <f t="shared" si="1"/>
        <v>Добавить вид теплоносителя (параметры теплоносителя)</v>
      </c>
      <c r="AQ51" s="1488"/>
      <c r="AR51" s="1488"/>
    </row>
    <row r="52" spans="1:44" ht="11.25" customHeight="1">
      <c r="A52" s="1150" t="s">
        <v>227</v>
      </c>
      <c r="B52" s="1150" t="s">
        <v>228</v>
      </c>
      <c r="C52" s="1150" t="s">
        <v>229</v>
      </c>
      <c r="D52" s="1150" t="s">
        <v>230</v>
      </c>
      <c r="E52" s="5401"/>
      <c r="F52" s="5401"/>
      <c r="G52" s="5401"/>
      <c r="H52" s="5401"/>
      <c r="I52" s="5244"/>
      <c r="J52" s="1150"/>
      <c r="K52" s="1150"/>
      <c r="L52" s="1190"/>
      <c r="P52" s="5375"/>
      <c r="Q52" s="1815"/>
      <c r="R52" s="273"/>
      <c r="S52" s="1161"/>
      <c r="T52" s="205" t="s">
        <v>490</v>
      </c>
      <c r="U52" s="504"/>
      <c r="V52" s="504"/>
      <c r="W52" s="504"/>
      <c r="X52" s="504"/>
      <c r="Y52" s="504"/>
      <c r="Z52" s="504"/>
      <c r="AA52" s="504"/>
      <c r="AB52" s="504"/>
      <c r="AC52" s="282"/>
      <c r="AD52" s="504"/>
      <c r="AE52" s="504"/>
      <c r="AF52" s="504"/>
      <c r="AG52" s="504"/>
      <c r="AH52" s="504"/>
      <c r="AI52" s="504"/>
      <c r="AJ52" s="504"/>
      <c r="AK52" s="282"/>
      <c r="AL52" s="504"/>
      <c r="AM52" s="221"/>
      <c r="AO52" s="1488"/>
      <c r="AP52" s="1488" t="str">
        <f t="shared" si="1"/>
        <v>Добавить группу потребителей</v>
      </c>
      <c r="AQ52" s="1488"/>
      <c r="AR52" s="1488"/>
    </row>
    <row r="53" spans="1:44" ht="14.25" customHeight="1">
      <c r="A53" s="1150" t="s">
        <v>227</v>
      </c>
      <c r="B53" s="1150" t="s">
        <v>228</v>
      </c>
      <c r="C53" s="1150" t="s">
        <v>229</v>
      </c>
      <c r="D53" s="1150" t="s">
        <v>230</v>
      </c>
      <c r="E53" s="5401"/>
      <c r="F53" s="5401"/>
      <c r="G53" s="5401"/>
      <c r="H53" s="5400"/>
      <c r="I53" s="1150"/>
      <c r="J53" s="1150"/>
      <c r="K53" s="1150"/>
      <c r="L53" s="1190"/>
      <c r="M53" s="1477"/>
      <c r="N53" s="1477"/>
      <c r="O53" s="1499"/>
      <c r="P53" s="277"/>
      <c r="Q53" s="291"/>
      <c r="R53" s="272"/>
      <c r="S53" s="1161"/>
      <c r="T53" s="281" t="s">
        <v>491</v>
      </c>
      <c r="U53" s="504"/>
      <c r="V53" s="504"/>
      <c r="W53" s="504"/>
      <c r="X53" s="504"/>
      <c r="Y53" s="504"/>
      <c r="Z53" s="504"/>
      <c r="AA53" s="504"/>
      <c r="AB53" s="504"/>
      <c r="AC53" s="282"/>
      <c r="AD53" s="504"/>
      <c r="AE53" s="504"/>
      <c r="AF53" s="504"/>
      <c r="AG53" s="504"/>
      <c r="AH53" s="504"/>
      <c r="AI53" s="504"/>
      <c r="AJ53" s="504"/>
      <c r="AK53" s="282"/>
      <c r="AL53" s="504"/>
      <c r="AM53" s="221"/>
      <c r="AO53" s="1488"/>
      <c r="AP53" s="1488" t="str">
        <f t="shared" si="1"/>
        <v>Добавить схему подключения</v>
      </c>
      <c r="AQ53" s="1488"/>
      <c r="AR53" s="1488"/>
    </row>
    <row r="54" spans="1:44" s="4864" customFormat="1" ht="0.75" customHeight="1">
      <c r="A54" s="1150" t="s">
        <v>227</v>
      </c>
      <c r="B54" s="1150" t="s">
        <v>228</v>
      </c>
      <c r="C54" s="1150" t="s">
        <v>229</v>
      </c>
      <c r="D54" s="1836"/>
      <c r="E54" s="5401"/>
      <c r="F54" s="5401"/>
      <c r="G54" s="5400"/>
      <c r="H54" s="1836"/>
      <c r="I54" s="1836"/>
      <c r="J54" s="1836"/>
      <c r="K54" s="1836"/>
      <c r="L54" s="1258"/>
      <c r="M54" s="1477"/>
      <c r="N54" s="1477"/>
      <c r="O54" s="1499"/>
      <c r="P54" s="1196"/>
      <c r="Q54" s="1197"/>
      <c r="R54" s="1196"/>
      <c r="S54" s="1202"/>
      <c r="T54" s="1205" t="s">
        <v>492</v>
      </c>
      <c r="U54" s="1204"/>
      <c r="V54" s="1204"/>
      <c r="W54" s="1204"/>
      <c r="X54" s="1204"/>
      <c r="Y54" s="1204"/>
      <c r="Z54" s="1204"/>
      <c r="AA54" s="1204"/>
      <c r="AB54" s="1204"/>
      <c r="AC54" s="1204"/>
      <c r="AD54" s="1204"/>
      <c r="AE54" s="1204"/>
      <c r="AF54" s="1204"/>
      <c r="AG54" s="1204"/>
      <c r="AH54" s="1204"/>
      <c r="AI54" s="1204"/>
      <c r="AJ54" s="1204"/>
      <c r="AK54" s="1204"/>
      <c r="AL54" s="1204"/>
      <c r="AM54" s="1204"/>
      <c r="AO54" s="1134"/>
      <c r="AP54" s="1134" t="str">
        <f t="shared" si="1"/>
        <v>Добавить источник для дифференциации</v>
      </c>
      <c r="AQ54" s="1134"/>
      <c r="AR54" s="1134"/>
    </row>
    <row r="55" spans="1:44" s="4864" customFormat="1" ht="0.75" customHeight="1">
      <c r="A55" s="1150" t="s">
        <v>227</v>
      </c>
      <c r="B55" s="1150" t="s">
        <v>228</v>
      </c>
      <c r="C55" s="1836"/>
      <c r="D55" s="1836"/>
      <c r="E55" s="5401"/>
      <c r="F55" s="5400"/>
      <c r="G55" s="1836"/>
      <c r="H55" s="1836"/>
      <c r="I55" s="1836"/>
      <c r="J55" s="1836"/>
      <c r="K55" s="1836"/>
      <c r="L55" s="1258"/>
      <c r="M55" s="1837"/>
      <c r="N55" s="1837"/>
      <c r="O55" s="1499"/>
      <c r="P55" s="1196"/>
      <c r="Q55" s="1197"/>
      <c r="R55" s="1196"/>
      <c r="S55" s="1202"/>
      <c r="T55" s="1205" t="s">
        <v>271</v>
      </c>
      <c r="U55" s="1204"/>
      <c r="V55" s="1204"/>
      <c r="W55" s="1204"/>
      <c r="X55" s="1204"/>
      <c r="Y55" s="1204"/>
      <c r="Z55" s="1204"/>
      <c r="AA55" s="1204"/>
      <c r="AB55" s="1204"/>
      <c r="AC55" s="1204"/>
      <c r="AD55" s="1204"/>
      <c r="AE55" s="1204"/>
      <c r="AF55" s="1204"/>
      <c r="AG55" s="1204"/>
      <c r="AH55" s="1204"/>
      <c r="AI55" s="1204"/>
      <c r="AJ55" s="1204"/>
      <c r="AK55" s="1204"/>
      <c r="AL55" s="1204"/>
      <c r="AM55" s="1204"/>
      <c r="AO55" s="1134"/>
      <c r="AP55" s="1134" t="str">
        <f t="shared" si="1"/>
        <v>Добавить централизованную систему для дифференциации</v>
      </c>
      <c r="AQ55" s="1134"/>
      <c r="AR55" s="1134"/>
    </row>
    <row r="56" spans="1:44" s="4867" customFormat="1" ht="0.75" customHeight="1">
      <c r="A56" s="1150" t="s">
        <v>227</v>
      </c>
      <c r="B56" s="1150"/>
      <c r="C56" s="1150"/>
      <c r="D56" s="1150"/>
      <c r="E56" s="5400"/>
      <c r="F56" s="1150"/>
      <c r="G56" s="1150"/>
      <c r="H56" s="1150"/>
      <c r="I56" s="1150"/>
      <c r="J56" s="1150"/>
      <c r="K56" s="1150"/>
      <c r="L56" s="1190"/>
      <c r="M56" s="1837"/>
      <c r="N56" s="1837"/>
      <c r="O56" s="1499"/>
      <c r="P56" s="296"/>
      <c r="Q56" s="1223"/>
      <c r="R56" s="296"/>
      <c r="S56" s="1202"/>
      <c r="T56" s="1205" t="s">
        <v>330</v>
      </c>
      <c r="U56" s="1204"/>
      <c r="V56" s="1204"/>
      <c r="W56" s="1204"/>
      <c r="X56" s="1204"/>
      <c r="Y56" s="1204"/>
      <c r="Z56" s="1204"/>
      <c r="AA56" s="1204"/>
      <c r="AB56" s="1204"/>
      <c r="AC56" s="1204"/>
      <c r="AD56" s="1204"/>
      <c r="AE56" s="1204"/>
      <c r="AF56" s="1204"/>
      <c r="AG56" s="1204"/>
      <c r="AH56" s="1204"/>
      <c r="AI56" s="1204"/>
      <c r="AJ56" s="1204"/>
      <c r="AK56" s="1204"/>
      <c r="AL56" s="1204"/>
      <c r="AM56" s="1204"/>
      <c r="AO56" s="1488"/>
      <c r="AP56" s="1488" t="str">
        <f t="shared" si="1"/>
        <v>Добавить территорию для дифференциации</v>
      </c>
      <c r="AQ56" s="1488"/>
      <c r="AR56" s="1488"/>
    </row>
    <row r="57" spans="1:44" s="4864" customFormat="1" ht="0.75" customHeight="1">
      <c r="A57" s="1836"/>
      <c r="B57" s="1836"/>
      <c r="C57" s="1836"/>
      <c r="D57" s="1836"/>
      <c r="E57" s="1150"/>
      <c r="F57" s="1836"/>
      <c r="G57" s="1836"/>
      <c r="H57" s="1836"/>
      <c r="I57" s="1836"/>
      <c r="J57" s="1836"/>
      <c r="K57" s="1836"/>
      <c r="L57" s="1258"/>
      <c r="M57" s="1837"/>
      <c r="N57" s="1837"/>
      <c r="O57" s="1499"/>
      <c r="P57" s="1196"/>
      <c r="Q57" s="1197"/>
      <c r="R57" s="1196"/>
      <c r="S57" s="1202"/>
      <c r="T57" s="1205" t="s">
        <v>331</v>
      </c>
      <c r="U57" s="1204"/>
      <c r="V57" s="1204"/>
      <c r="W57" s="1204"/>
      <c r="X57" s="1204"/>
      <c r="Y57" s="1204"/>
      <c r="Z57" s="1204"/>
      <c r="AA57" s="1204"/>
      <c r="AB57" s="1204"/>
      <c r="AC57" s="1204"/>
      <c r="AD57" s="1204"/>
      <c r="AE57" s="1204"/>
      <c r="AF57" s="1204"/>
      <c r="AG57" s="1204"/>
      <c r="AH57" s="1204"/>
      <c r="AI57" s="1204"/>
      <c r="AJ57" s="1204"/>
      <c r="AK57" s="1204"/>
      <c r="AL57" s="1204"/>
      <c r="AM57" s="1204"/>
      <c r="AO57" s="1134"/>
      <c r="AP57" s="1134" t="str">
        <f t="shared" si="1"/>
        <v>Добавить наименование тарифа</v>
      </c>
      <c r="AQ57" s="1134"/>
      <c r="AR57" s="1134"/>
    </row>
    <row r="58" spans="1:44" ht="11.25" customHeight="1">
      <c r="M58" s="1495"/>
      <c r="N58" s="1495"/>
      <c r="O58" s="1499"/>
      <c r="P58" s="1495"/>
      <c r="Q58" s="1495"/>
      <c r="R58" s="1495"/>
      <c r="S58" s="1495"/>
      <c r="AN58" s="1495"/>
      <c r="AO58" s="1495"/>
      <c r="AP58" s="1495"/>
      <c r="AQ58" s="1495"/>
      <c r="AR58" s="1495"/>
    </row>
    <row r="59" spans="1:44" ht="27" customHeight="1">
      <c r="O59" s="1499"/>
      <c r="S59" s="1136"/>
      <c r="T59" s="5396"/>
      <c r="U59" s="5396"/>
      <c r="V59" s="5396"/>
      <c r="W59" s="5396"/>
      <c r="X59" s="5396"/>
      <c r="Y59" s="5396"/>
      <c r="Z59" s="5396"/>
      <c r="AA59" s="5396"/>
      <c r="AB59" s="5396"/>
      <c r="AC59" s="5396"/>
      <c r="AD59" s="5396"/>
      <c r="AE59" s="5396"/>
      <c r="AF59" s="5396"/>
      <c r="AG59" s="5396"/>
      <c r="AH59" s="5396"/>
      <c r="AI59" s="5396"/>
      <c r="AJ59" s="5396"/>
      <c r="AK59" s="5396"/>
      <c r="AL59" s="5396"/>
      <c r="AM59" s="5396"/>
    </row>
    <row r="60" spans="1:44" ht="62.25" customHeight="1">
      <c r="O60" s="1499"/>
      <c r="T60" s="5396"/>
      <c r="U60" s="5396"/>
      <c r="V60" s="5396"/>
      <c r="W60" s="5396"/>
      <c r="X60" s="5396"/>
      <c r="Y60" s="5396"/>
      <c r="Z60" s="5396"/>
      <c r="AA60" s="5396"/>
      <c r="AB60" s="5396"/>
      <c r="AC60" s="5396"/>
      <c r="AD60" s="5396"/>
      <c r="AE60" s="5396"/>
      <c r="AF60" s="5396"/>
      <c r="AG60" s="5396"/>
      <c r="AH60" s="5396"/>
      <c r="AI60" s="5396"/>
      <c r="AJ60" s="5396"/>
      <c r="AK60" s="5396"/>
      <c r="AL60" s="5396"/>
      <c r="AM60" s="5396"/>
    </row>
    <row r="61" spans="1:44" ht="14.25" customHeight="1">
      <c r="O61" s="1499"/>
    </row>
    <row r="62" spans="1:44" ht="18" customHeight="1">
      <c r="O62" s="1499"/>
      <c r="S62" s="1136"/>
      <c r="T62" s="5396"/>
      <c r="U62" s="5396"/>
      <c r="V62" s="5396"/>
      <c r="W62" s="5396"/>
      <c r="X62" s="5396"/>
      <c r="Y62" s="5396"/>
      <c r="Z62" s="5396"/>
      <c r="AA62" s="5396"/>
      <c r="AB62" s="5396"/>
      <c r="AC62" s="5396"/>
      <c r="AD62" s="5396"/>
      <c r="AE62" s="5396"/>
      <c r="AF62" s="5396"/>
      <c r="AG62" s="5396"/>
      <c r="AH62" s="5396"/>
      <c r="AI62" s="5396"/>
      <c r="AJ62" s="5396"/>
      <c r="AK62" s="5396"/>
      <c r="AL62" s="5396"/>
      <c r="AM62" s="5396"/>
    </row>
    <row r="63" spans="1:44" ht="18" customHeight="1">
      <c r="O63" s="1499"/>
      <c r="T63" s="5396"/>
      <c r="U63" s="5396"/>
      <c r="V63" s="5396"/>
      <c r="W63" s="5396"/>
      <c r="X63" s="5396"/>
      <c r="Y63" s="5396"/>
      <c r="Z63" s="5396"/>
      <c r="AA63" s="5396"/>
      <c r="AB63" s="5396"/>
      <c r="AC63" s="5396"/>
      <c r="AD63" s="5396"/>
      <c r="AE63" s="5396"/>
      <c r="AF63" s="5396"/>
      <c r="AG63" s="5396"/>
      <c r="AH63" s="5396"/>
      <c r="AI63" s="5396"/>
      <c r="AJ63" s="5396"/>
      <c r="AK63" s="5396"/>
      <c r="AL63" s="5396"/>
      <c r="AM63" s="5396"/>
    </row>
    <row r="64" spans="1:44" ht="27.75" customHeight="1">
      <c r="O64" s="1499"/>
      <c r="S64" s="1136"/>
      <c r="T64" s="5396"/>
      <c r="U64" s="5396"/>
      <c r="V64" s="5396"/>
      <c r="W64" s="5396"/>
      <c r="X64" s="5396"/>
      <c r="Y64" s="5396"/>
      <c r="Z64" s="5396"/>
      <c r="AA64" s="5396"/>
      <c r="AB64" s="5396"/>
      <c r="AC64" s="5396"/>
      <c r="AD64" s="5396"/>
      <c r="AE64" s="5396"/>
      <c r="AF64" s="5396"/>
      <c r="AG64" s="5396"/>
      <c r="AH64" s="5396"/>
      <c r="AI64" s="5396"/>
      <c r="AJ64" s="5396"/>
      <c r="AK64" s="5396"/>
      <c r="AL64" s="5396"/>
      <c r="AM64" s="5396"/>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2" style="4854" hidden="1" customWidth="1"/>
    <col min="10" max="10" width="9.85546875" style="4854" hidden="1" customWidth="1"/>
    <col min="11" max="11" width="11.42578125" style="4854" hidden="1" customWidth="1"/>
    <col min="12" max="12" width="19.140625" style="4857" hidden="1" customWidth="1"/>
    <col min="13" max="14" width="12.28515625" style="4858" hidden="1" customWidth="1"/>
    <col min="15" max="15" width="23.42578125" style="4858" hidden="1" customWidth="1"/>
    <col min="16" max="16" width="3.7109375" style="4863" customWidth="1"/>
    <col min="17" max="18" width="3.7109375" style="4860" customWidth="1"/>
    <col min="19" max="19" width="12.7109375" style="4861" customWidth="1"/>
    <col min="20" max="20" width="32" style="4862" customWidth="1"/>
    <col min="21" max="21" width="0.7109375" style="4862" hidden="1" customWidth="1"/>
    <col min="22" max="22" width="1.7109375" style="4862" hidden="1" customWidth="1"/>
    <col min="23" max="23" width="24.7109375" style="4862" hidden="1" customWidth="1"/>
    <col min="24" max="25" width="0.140625" style="4862" hidden="1" customWidth="1"/>
    <col min="26" max="26" width="11.7109375" style="4862" hidden="1" customWidth="1"/>
    <col min="27" max="27" width="3.7109375" style="4862" hidden="1" customWidth="1"/>
    <col min="28" max="28" width="11.7109375" style="4862" hidden="1" customWidth="1"/>
    <col min="29" max="29" width="8.5703125" style="4862" hidden="1" customWidth="1"/>
    <col min="30" max="30" width="0.140625" style="4862" customWidth="1"/>
    <col min="31" max="31" width="24.7109375" style="4862" customWidth="1"/>
    <col min="32" max="33" width="0.140625" style="4862" customWidth="1"/>
    <col min="34" max="34" width="11.7109375" style="4862" customWidth="1"/>
    <col min="35" max="35" width="3.7109375" style="4862" customWidth="1"/>
    <col min="36" max="36" width="11.7109375" style="4862" customWidth="1"/>
    <col min="37" max="37" width="8.5703125" style="4862" hidden="1" customWidth="1"/>
    <col min="38" max="38" width="4.7109375" style="4862" customWidth="1"/>
    <col min="39" max="39" width="115.7109375" style="4862" customWidth="1"/>
    <col min="40" max="41" width="10.5703125" style="4856"/>
    <col min="42" max="42" width="11.140625" style="4856" customWidth="1"/>
    <col min="43" max="44" width="10.5703125" style="4856"/>
  </cols>
  <sheetData>
    <row r="1" spans="1:44" ht="14.25" hidden="1" customHeight="1">
      <c r="Y1" s="245"/>
      <c r="Z1" s="245"/>
      <c r="AG1" s="245"/>
      <c r="AH1" s="245"/>
    </row>
    <row r="2" spans="1:44" ht="21" hidden="1" customHeight="1">
      <c r="A2" s="1241"/>
      <c r="B2" s="1241"/>
      <c r="C2" s="1241"/>
      <c r="D2" s="1241"/>
      <c r="E2" s="5376">
        <v>1</v>
      </c>
      <c r="F2" s="1241"/>
      <c r="G2" s="1241"/>
      <c r="H2" s="1241"/>
      <c r="I2" s="1241"/>
      <c r="J2" s="1241"/>
      <c r="K2" s="1241"/>
      <c r="L2" s="1242"/>
      <c r="M2" s="1243"/>
      <c r="N2" s="1243"/>
      <c r="O2" s="1243"/>
      <c r="P2" s="278"/>
      <c r="Q2" s="277"/>
      <c r="R2" s="272"/>
      <c r="S2" s="1215" t="e">
        <f>INDEX(PT_DIFFERENTIATION_NUM_NTAR,MATCH(A2,PT_DIFFERENTIATION_NTAR_ID,0))</f>
        <v>#N/A</v>
      </c>
      <c r="T2" s="216" t="s">
        <v>141</v>
      </c>
      <c r="U2" s="218"/>
      <c r="V2" s="5362"/>
      <c r="W2" s="5363"/>
      <c r="X2" s="5363"/>
      <c r="Y2" s="5363"/>
      <c r="Z2" s="5363"/>
      <c r="AA2" s="5363"/>
      <c r="AB2" s="5363"/>
      <c r="AC2" s="5364"/>
      <c r="AD2" s="5362" t="e">
        <f>INDEX(PT_DIFFERENTIATION_NTAR,MATCH(A2,PT_DIFFERENTIATION_NTAR_ID,0))</f>
        <v>#N/A</v>
      </c>
      <c r="AE2" s="5363"/>
      <c r="AF2" s="5363"/>
      <c r="AG2" s="5363"/>
      <c r="AH2" s="5363"/>
      <c r="AI2" s="5363"/>
      <c r="AJ2" s="5363"/>
      <c r="AK2" s="5363"/>
      <c r="AL2" s="5364"/>
      <c r="AM2" s="1141" t="s">
        <v>474</v>
      </c>
      <c r="AO2" s="408"/>
      <c r="AP2" s="408" t="str">
        <f t="shared" ref="AP2:AP15" si="0">IF(T2="","",T2)</f>
        <v>Наименование тарифа</v>
      </c>
      <c r="AQ2" s="408"/>
      <c r="AR2" s="408"/>
    </row>
    <row r="3" spans="1:44" ht="21" hidden="1" customHeight="1">
      <c r="A3" s="1241"/>
      <c r="B3" s="1241"/>
      <c r="C3" s="1241"/>
      <c r="D3" s="1241"/>
      <c r="E3" s="5377"/>
      <c r="F3" s="5376">
        <v>1</v>
      </c>
      <c r="G3" s="1241"/>
      <c r="H3" s="1241"/>
      <c r="I3" s="1241"/>
      <c r="J3" s="1241"/>
      <c r="K3" s="1241"/>
      <c r="L3" s="1242"/>
      <c r="M3" s="1243"/>
      <c r="N3" s="1243"/>
      <c r="O3" s="1243"/>
      <c r="P3" s="1211"/>
      <c r="Q3" s="269"/>
      <c r="R3" s="270"/>
      <c r="S3" s="1215" t="e">
        <f>INDEX(PT_DIFFERENTIATION_NUM_TER,MATCH(B3,PT_DIFFERENTIATION_TER_ID,0))</f>
        <v>#N/A</v>
      </c>
      <c r="T3" s="226" t="s">
        <v>475</v>
      </c>
      <c r="U3" s="218"/>
      <c r="V3" s="5362"/>
      <c r="W3" s="5363"/>
      <c r="X3" s="5363"/>
      <c r="Y3" s="5363"/>
      <c r="Z3" s="5363"/>
      <c r="AA3" s="5363"/>
      <c r="AB3" s="5363"/>
      <c r="AC3" s="5364"/>
      <c r="AD3" s="5362" t="e">
        <f>INDEX(PT_DIFFERENTIATION_TER,MATCH(B3,PT_DIFFERENTIATION_TER_ID,0))</f>
        <v>#N/A</v>
      </c>
      <c r="AE3" s="5363"/>
      <c r="AF3" s="5363"/>
      <c r="AG3" s="5363"/>
      <c r="AH3" s="5363"/>
      <c r="AI3" s="5363"/>
      <c r="AJ3" s="5363"/>
      <c r="AK3" s="5363"/>
      <c r="AL3" s="5364"/>
      <c r="AM3" s="1141" t="s">
        <v>476</v>
      </c>
      <c r="AO3" s="408"/>
      <c r="AP3" s="408" t="str">
        <f t="shared" si="0"/>
        <v>Территория действия тарифа</v>
      </c>
      <c r="AQ3" s="408"/>
      <c r="AR3" s="408"/>
    </row>
    <row r="4" spans="1:44" ht="23.25" hidden="1" customHeight="1">
      <c r="A4" s="1241"/>
      <c r="B4" s="1241"/>
      <c r="C4" s="1241"/>
      <c r="D4" s="1241"/>
      <c r="E4" s="5377"/>
      <c r="F4" s="5377"/>
      <c r="G4" s="5376">
        <v>1</v>
      </c>
      <c r="H4" s="1241"/>
      <c r="I4" s="1241"/>
      <c r="J4" s="1241"/>
      <c r="K4" s="1241"/>
      <c r="L4" s="1242"/>
      <c r="M4" s="1243"/>
      <c r="N4" s="1243"/>
      <c r="O4" s="1243"/>
      <c r="P4" s="271"/>
      <c r="Q4" s="269"/>
      <c r="R4" s="270"/>
      <c r="S4" s="1215" t="e">
        <f>INDEX(PT_DIFFERENTIATION_NUM_CS,MATCH(C4,PT_DIFFERENTIATION_CS_ID,0))</f>
        <v>#N/A</v>
      </c>
      <c r="T4" s="227" t="s">
        <v>477</v>
      </c>
      <c r="U4" s="218"/>
      <c r="V4" s="5362"/>
      <c r="W4" s="5363"/>
      <c r="X4" s="5363"/>
      <c r="Y4" s="5363"/>
      <c r="Z4" s="5363"/>
      <c r="AA4" s="5363"/>
      <c r="AB4" s="5363"/>
      <c r="AC4" s="5364"/>
      <c r="AD4" s="5362" t="e">
        <f>INDEX(PT_DIFFERENTIATION_CS,MATCH(C4,PT_DIFFERENTIATION_CS_ID,0))</f>
        <v>#N/A</v>
      </c>
      <c r="AE4" s="5363"/>
      <c r="AF4" s="5363"/>
      <c r="AG4" s="5363"/>
      <c r="AH4" s="5363"/>
      <c r="AI4" s="5363"/>
      <c r="AJ4" s="5363"/>
      <c r="AK4" s="5363"/>
      <c r="AL4" s="5364"/>
      <c r="AM4" s="1141" t="s">
        <v>478</v>
      </c>
      <c r="AO4" s="408"/>
      <c r="AP4" s="408" t="str">
        <f t="shared" si="0"/>
        <v xml:space="preserve">Наименование системы теплоснабжения </v>
      </c>
      <c r="AQ4" s="408"/>
      <c r="AR4" s="408"/>
    </row>
    <row r="5" spans="1:44" ht="21" hidden="1" customHeight="1">
      <c r="A5" s="1241"/>
      <c r="B5" s="1241"/>
      <c r="C5" s="1241"/>
      <c r="D5" s="1241"/>
      <c r="E5" s="5377"/>
      <c r="F5" s="5377"/>
      <c r="G5" s="5377"/>
      <c r="H5" s="5376">
        <v>1</v>
      </c>
      <c r="I5" s="1241"/>
      <c r="J5" s="1241"/>
      <c r="K5" s="1241"/>
      <c r="L5" s="1242"/>
      <c r="M5" s="1243"/>
      <c r="N5" s="1243"/>
      <c r="O5" s="1243"/>
      <c r="P5" s="271"/>
      <c r="Q5" s="269"/>
      <c r="R5" s="270"/>
      <c r="S5" s="1215" t="e">
        <f>INDEX(PT_DIFFERENTIATION_NUM_IST_TE,MATCH(D5,PT_DIFFERENTIATION_IST_TE_ID,0))</f>
        <v>#N/A</v>
      </c>
      <c r="T5" s="228" t="s">
        <v>479</v>
      </c>
      <c r="U5" s="218"/>
      <c r="V5" s="5362"/>
      <c r="W5" s="5363"/>
      <c r="X5" s="5363"/>
      <c r="Y5" s="5363"/>
      <c r="Z5" s="5363"/>
      <c r="AA5" s="5363"/>
      <c r="AB5" s="5363"/>
      <c r="AC5" s="5364"/>
      <c r="AD5" s="5362" t="e">
        <f>INDEX(PT_DIFFERENTIATION_IST_TE,MATCH(D5,PT_DIFFERENTIATION_IST_TE_ID,0))</f>
        <v>#N/A</v>
      </c>
      <c r="AE5" s="5363"/>
      <c r="AF5" s="5363"/>
      <c r="AG5" s="5363"/>
      <c r="AH5" s="5363"/>
      <c r="AI5" s="5363"/>
      <c r="AJ5" s="5363"/>
      <c r="AK5" s="5363"/>
      <c r="AL5" s="5364"/>
      <c r="AM5" s="1141" t="s">
        <v>480</v>
      </c>
      <c r="AO5" s="408"/>
      <c r="AP5" s="408" t="str">
        <f t="shared" si="0"/>
        <v xml:space="preserve">Источник тепловой энергии  </v>
      </c>
      <c r="AQ5" s="408"/>
      <c r="AR5" s="408"/>
    </row>
    <row r="6" spans="1:44" ht="47.25" hidden="1" customHeight="1">
      <c r="A6" s="1241"/>
      <c r="B6" s="1241"/>
      <c r="C6" s="1241"/>
      <c r="D6" s="1241"/>
      <c r="E6" s="5377"/>
      <c r="F6" s="5377"/>
      <c r="G6" s="5377"/>
      <c r="H6" s="5377"/>
      <c r="I6" s="5374" t="e">
        <f>S5&amp;".1"</f>
        <v>#N/A</v>
      </c>
      <c r="J6" s="1241"/>
      <c r="K6" s="1241"/>
      <c r="L6" s="1242" t="s">
        <v>481</v>
      </c>
      <c r="M6" s="444"/>
      <c r="P6" s="5375">
        <v>1</v>
      </c>
      <c r="Q6" s="1210"/>
      <c r="R6" s="273"/>
      <c r="S6" s="1215" t="e">
        <f>$I6</f>
        <v>#N/A</v>
      </c>
      <c r="T6" s="203" t="s">
        <v>482</v>
      </c>
      <c r="U6" s="218"/>
      <c r="V6" s="5365"/>
      <c r="W6" s="5366"/>
      <c r="X6" s="5366"/>
      <c r="Y6" s="5366"/>
      <c r="Z6" s="5366"/>
      <c r="AA6" s="5366"/>
      <c r="AB6" s="5366"/>
      <c r="AC6" s="5367"/>
      <c r="AD6" s="5365"/>
      <c r="AE6" s="5366"/>
      <c r="AF6" s="5366"/>
      <c r="AG6" s="5366"/>
      <c r="AH6" s="5366"/>
      <c r="AI6" s="5366"/>
      <c r="AJ6" s="5366"/>
      <c r="AK6" s="5366"/>
      <c r="AL6" s="5367"/>
      <c r="AM6" s="1141" t="s">
        <v>483</v>
      </c>
      <c r="AO6" s="408"/>
      <c r="AP6" s="408" t="str">
        <f t="shared" si="0"/>
        <v>Схема подключения теплопотребляющей установки к коллектору источника тепловой энергии</v>
      </c>
      <c r="AQ6" s="408"/>
      <c r="AR6" s="408"/>
    </row>
    <row r="7" spans="1:44" ht="21" hidden="1" customHeight="1">
      <c r="A7" s="1241"/>
      <c r="B7" s="1241"/>
      <c r="C7" s="1241"/>
      <c r="D7" s="1241"/>
      <c r="E7" s="5377"/>
      <c r="F7" s="5377"/>
      <c r="G7" s="5377"/>
      <c r="H7" s="5377"/>
      <c r="I7" s="5397"/>
      <c r="J7" s="5374" t="e">
        <f>I6&amp;".1"</f>
        <v>#N/A</v>
      </c>
      <c r="K7" s="1241"/>
      <c r="L7" s="1242" t="s">
        <v>484</v>
      </c>
      <c r="M7" s="444"/>
      <c r="N7" s="1244"/>
      <c r="P7" s="5375"/>
      <c r="Q7" s="5375">
        <v>1</v>
      </c>
      <c r="R7" s="274"/>
      <c r="S7" s="1215" t="e">
        <f>$J7</f>
        <v>#N/A</v>
      </c>
      <c r="T7" s="204" t="s">
        <v>485</v>
      </c>
      <c r="U7" s="218"/>
      <c r="V7" s="5365"/>
      <c r="W7" s="5366"/>
      <c r="X7" s="5366"/>
      <c r="Y7" s="5366"/>
      <c r="Z7" s="5366"/>
      <c r="AA7" s="5366"/>
      <c r="AB7" s="5366"/>
      <c r="AC7" s="5367"/>
      <c r="AD7" s="5365"/>
      <c r="AE7" s="5366"/>
      <c r="AF7" s="5366"/>
      <c r="AG7" s="5366"/>
      <c r="AH7" s="5366"/>
      <c r="AI7" s="5366"/>
      <c r="AJ7" s="5366"/>
      <c r="AK7" s="5366"/>
      <c r="AL7" s="5367"/>
      <c r="AM7" s="1141" t="s">
        <v>486</v>
      </c>
      <c r="AO7" s="408"/>
      <c r="AP7" s="408" t="str">
        <f t="shared" si="0"/>
        <v>Группа потребителей</v>
      </c>
      <c r="AQ7" s="408"/>
      <c r="AR7" s="408"/>
    </row>
    <row r="8" spans="1:44" ht="21" hidden="1" customHeight="1">
      <c r="A8" s="1241"/>
      <c r="B8" s="1241"/>
      <c r="C8" s="1241"/>
      <c r="D8" s="1241"/>
      <c r="E8" s="5377"/>
      <c r="F8" s="5377"/>
      <c r="G8" s="5377"/>
      <c r="H8" s="5377"/>
      <c r="I8" s="5397"/>
      <c r="J8" s="5397"/>
      <c r="K8" s="5374" t="e">
        <f>J7&amp;".1"</f>
        <v>#N/A</v>
      </c>
      <c r="L8" s="1242" t="s">
        <v>487</v>
      </c>
      <c r="M8" s="444"/>
      <c r="N8" s="1244"/>
      <c r="O8" s="1244"/>
      <c r="P8" s="5375"/>
      <c r="Q8" s="5375"/>
      <c r="R8" s="274">
        <v>1</v>
      </c>
      <c r="S8" s="1215" t="e">
        <f>$K8</f>
        <v>#N/A</v>
      </c>
      <c r="T8" s="1226"/>
      <c r="U8" s="218"/>
      <c r="V8" s="243"/>
      <c r="W8" s="650"/>
      <c r="X8" s="243"/>
      <c r="Y8" s="300"/>
      <c r="Z8" s="5379"/>
      <c r="AA8" s="5225" t="s">
        <v>64</v>
      </c>
      <c r="AB8" s="5379"/>
      <c r="AC8" s="5225" t="s">
        <v>64</v>
      </c>
      <c r="AD8" s="243"/>
      <c r="AE8" s="650"/>
      <c r="AF8" s="243"/>
      <c r="AG8" s="300"/>
      <c r="AH8" s="5379"/>
      <c r="AI8" s="5225" t="s">
        <v>64</v>
      </c>
      <c r="AJ8" s="5379"/>
      <c r="AK8" s="5225" t="s">
        <v>64</v>
      </c>
      <c r="AL8" s="243"/>
      <c r="AM8" s="5371" t="s">
        <v>488</v>
      </c>
      <c r="AN8" s="419" t="e">
        <f ca="1">STRCHECKDATE(V9:AL9)</f>
        <v>#NAME?</v>
      </c>
      <c r="AO8" s="408"/>
      <c r="AP8" s="408" t="str">
        <f t="shared" si="0"/>
        <v/>
      </c>
      <c r="AQ8" s="408"/>
      <c r="AR8" s="408"/>
    </row>
    <row r="9" spans="1:44" ht="0.75" hidden="1" customHeight="1">
      <c r="A9" s="1241"/>
      <c r="B9" s="1241"/>
      <c r="C9" s="1241"/>
      <c r="D9" s="1241"/>
      <c r="E9" s="5377"/>
      <c r="F9" s="5377"/>
      <c r="G9" s="5377"/>
      <c r="H9" s="5377"/>
      <c r="I9" s="5397"/>
      <c r="J9" s="5397"/>
      <c r="K9" s="5374"/>
      <c r="L9" s="1242"/>
      <c r="M9" s="444"/>
      <c r="N9" s="1244"/>
      <c r="O9" s="1244"/>
      <c r="P9" s="5375"/>
      <c r="Q9" s="5375"/>
      <c r="R9" s="274"/>
      <c r="S9" s="1221"/>
      <c r="T9" s="218"/>
      <c r="U9" s="218"/>
      <c r="V9" s="243"/>
      <c r="W9" s="243"/>
      <c r="X9" s="243"/>
      <c r="Y9" s="246" t="str">
        <f>Z8&amp;"-"&amp;AB8</f>
        <v>-</v>
      </c>
      <c r="Z9" s="5380"/>
      <c r="AA9" s="5225"/>
      <c r="AB9" s="5380"/>
      <c r="AC9" s="5225"/>
      <c r="AD9" s="243"/>
      <c r="AE9" s="243"/>
      <c r="AF9" s="243"/>
      <c r="AG9" s="246" t="str">
        <f>AH8&amp;"-"&amp;AJ8</f>
        <v>-</v>
      </c>
      <c r="AH9" s="5380"/>
      <c r="AI9" s="5225"/>
      <c r="AJ9" s="5380"/>
      <c r="AK9" s="5225"/>
      <c r="AL9" s="243"/>
      <c r="AM9" s="5372"/>
      <c r="AO9" s="408"/>
      <c r="AP9" s="408" t="str">
        <f t="shared" si="0"/>
        <v/>
      </c>
      <c r="AQ9" s="408"/>
      <c r="AR9" s="408"/>
    </row>
    <row r="10" spans="1:44" ht="15" hidden="1" customHeight="1">
      <c r="A10" s="1241"/>
      <c r="B10" s="1241"/>
      <c r="C10" s="1241"/>
      <c r="D10" s="1241"/>
      <c r="E10" s="5377"/>
      <c r="F10" s="5377"/>
      <c r="G10" s="5377"/>
      <c r="H10" s="5377"/>
      <c r="I10" s="5397"/>
      <c r="J10" s="5374"/>
      <c r="K10" s="1241"/>
      <c r="L10" s="1242"/>
      <c r="M10" s="444"/>
      <c r="N10" s="1244"/>
      <c r="P10" s="5375"/>
      <c r="Q10" s="5375"/>
      <c r="R10" s="273"/>
      <c r="S10" s="1161"/>
      <c r="T10" s="206" t="s">
        <v>489</v>
      </c>
      <c r="U10" s="283"/>
      <c r="V10" s="283"/>
      <c r="W10" s="283"/>
      <c r="X10" s="283"/>
      <c r="Y10" s="283"/>
      <c r="Z10" s="283"/>
      <c r="AA10" s="283"/>
      <c r="AB10" s="283"/>
      <c r="AC10" s="283"/>
      <c r="AD10" s="283"/>
      <c r="AE10" s="283"/>
      <c r="AF10" s="283"/>
      <c r="AG10" s="283"/>
      <c r="AH10" s="283"/>
      <c r="AI10" s="283"/>
      <c r="AJ10" s="283"/>
      <c r="AK10" s="283"/>
      <c r="AL10" s="242"/>
      <c r="AM10" s="5373"/>
      <c r="AO10" s="408"/>
      <c r="AP10" s="408" t="str">
        <f t="shared" si="0"/>
        <v>Добавить вид теплоносителя (параметры теплоносителя)</v>
      </c>
      <c r="AQ10" s="408"/>
      <c r="AR10" s="408"/>
    </row>
    <row r="11" spans="1:44" ht="15" hidden="1" customHeight="1">
      <c r="A11" s="1241"/>
      <c r="B11" s="1241"/>
      <c r="C11" s="1241"/>
      <c r="D11" s="1241"/>
      <c r="E11" s="5377"/>
      <c r="F11" s="5377"/>
      <c r="G11" s="5377"/>
      <c r="H11" s="5377"/>
      <c r="I11" s="5374"/>
      <c r="J11" s="1241"/>
      <c r="K11" s="1241"/>
      <c r="L11" s="1242"/>
      <c r="M11" s="444"/>
      <c r="P11" s="5375"/>
      <c r="Q11" s="1210"/>
      <c r="R11" s="273"/>
      <c r="S11" s="1161"/>
      <c r="T11" s="205" t="s">
        <v>490</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1"/>
      <c r="B12" s="1241"/>
      <c r="C12" s="1241"/>
      <c r="D12" s="1241"/>
      <c r="E12" s="5377"/>
      <c r="F12" s="5377"/>
      <c r="G12" s="5377"/>
      <c r="H12" s="5376"/>
      <c r="I12" s="1241"/>
      <c r="J12" s="1241"/>
      <c r="K12" s="1241"/>
      <c r="L12" s="1242"/>
      <c r="M12" s="1243"/>
      <c r="N12" s="1243"/>
      <c r="O12" s="444"/>
      <c r="P12" s="277"/>
      <c r="Q12" s="291"/>
      <c r="R12" s="272"/>
      <c r="S12" s="1161"/>
      <c r="T12" s="281" t="s">
        <v>491</v>
      </c>
      <c r="U12" s="283"/>
      <c r="V12" s="283"/>
      <c r="W12" s="283"/>
      <c r="X12" s="283"/>
      <c r="Y12" s="283"/>
      <c r="Z12" s="283"/>
      <c r="AA12" s="283"/>
      <c r="AB12" s="283"/>
      <c r="AC12" s="282"/>
      <c r="AD12" s="283"/>
      <c r="AE12" s="283"/>
      <c r="AF12" s="283"/>
      <c r="AG12" s="283"/>
      <c r="AH12" s="283"/>
      <c r="AI12" s="283"/>
      <c r="AJ12" s="283"/>
      <c r="AK12" s="282"/>
      <c r="AL12" s="283"/>
      <c r="AM12" s="221"/>
      <c r="AO12" s="408"/>
      <c r="AP12" s="408" t="str">
        <f t="shared" si="0"/>
        <v>Добавить схему подключения</v>
      </c>
      <c r="AQ12" s="408"/>
      <c r="AR12" s="408"/>
    </row>
    <row r="13" spans="1:44" s="4853" customFormat="1" ht="0.75" hidden="1" customHeight="1">
      <c r="A13" s="1194"/>
      <c r="B13" s="1194"/>
      <c r="C13" s="1194"/>
      <c r="D13" s="1194"/>
      <c r="E13" s="5377"/>
      <c r="F13" s="5377"/>
      <c r="G13" s="5376"/>
      <c r="H13" s="1194"/>
      <c r="I13" s="1194"/>
      <c r="J13" s="1194"/>
      <c r="K13" s="1194"/>
      <c r="L13" s="1218"/>
      <c r="M13" s="1195"/>
      <c r="N13" s="1195"/>
      <c r="P13" s="1196"/>
      <c r="Q13" s="1197"/>
      <c r="R13" s="1196"/>
      <c r="S13" s="1198"/>
      <c r="T13" s="1199" t="s">
        <v>492</v>
      </c>
      <c r="U13" s="1200"/>
      <c r="V13" s="1200"/>
      <c r="W13" s="1200"/>
      <c r="X13" s="1200"/>
      <c r="Y13" s="1200"/>
      <c r="Z13" s="1200"/>
      <c r="AA13" s="1200"/>
      <c r="AB13" s="1200"/>
      <c r="AC13" s="1200"/>
      <c r="AD13" s="1200"/>
      <c r="AE13" s="1200"/>
      <c r="AF13" s="1200"/>
      <c r="AG13" s="1200"/>
      <c r="AH13" s="1200"/>
      <c r="AI13" s="1200"/>
      <c r="AJ13" s="1200"/>
      <c r="AK13" s="1200"/>
      <c r="AL13" s="1200"/>
      <c r="AM13" s="1200"/>
      <c r="AO13" s="688"/>
      <c r="AP13" s="688" t="str">
        <f t="shared" si="0"/>
        <v>Добавить источник для дифференциации</v>
      </c>
      <c r="AQ13" s="688"/>
      <c r="AR13" s="688"/>
    </row>
    <row r="14" spans="1:44" s="4853" customFormat="1" ht="0.75" hidden="1" customHeight="1">
      <c r="A14" s="1194"/>
      <c r="B14" s="1194"/>
      <c r="C14" s="1194"/>
      <c r="D14" s="1194"/>
      <c r="E14" s="5377"/>
      <c r="F14" s="5376"/>
      <c r="G14" s="1194"/>
      <c r="H14" s="1194"/>
      <c r="I14" s="1194"/>
      <c r="J14" s="1194"/>
      <c r="K14" s="1194"/>
      <c r="L14" s="1218"/>
      <c r="M14" s="1201"/>
      <c r="N14" s="1201"/>
      <c r="P14" s="1196"/>
      <c r="Q14" s="1197"/>
      <c r="R14" s="1196"/>
      <c r="S14" s="1202"/>
      <c r="T14" s="1203" t="s">
        <v>271</v>
      </c>
      <c r="U14" s="1204"/>
      <c r="V14" s="1204"/>
      <c r="W14" s="1204"/>
      <c r="X14" s="1204"/>
      <c r="Y14" s="1204"/>
      <c r="Z14" s="1204"/>
      <c r="AA14" s="1204"/>
      <c r="AB14" s="1204"/>
      <c r="AC14" s="1204"/>
      <c r="AD14" s="1204"/>
      <c r="AE14" s="1204"/>
      <c r="AF14" s="1204"/>
      <c r="AG14" s="1204"/>
      <c r="AH14" s="1204"/>
      <c r="AI14" s="1204"/>
      <c r="AJ14" s="1204"/>
      <c r="AK14" s="1204"/>
      <c r="AL14" s="1204"/>
      <c r="AM14" s="1204"/>
      <c r="AO14" s="688"/>
      <c r="AP14" s="688" t="str">
        <f t="shared" si="0"/>
        <v>Добавить централизованную систему для дифференциации</v>
      </c>
      <c r="AQ14" s="688"/>
      <c r="AR14" s="688"/>
    </row>
    <row r="15" spans="1:44" s="4853" customFormat="1" ht="0.75" hidden="1" customHeight="1">
      <c r="A15" s="1194"/>
      <c r="B15" s="1194"/>
      <c r="C15" s="1194"/>
      <c r="D15" s="1194"/>
      <c r="E15" s="5376"/>
      <c r="F15" s="1194"/>
      <c r="G15" s="1194"/>
      <c r="H15" s="1194"/>
      <c r="I15" s="1194"/>
      <c r="J15" s="1194"/>
      <c r="K15" s="1194"/>
      <c r="L15" s="1218"/>
      <c r="M15" s="1201"/>
      <c r="N15" s="1201"/>
      <c r="P15" s="1196"/>
      <c r="Q15" s="1197"/>
      <c r="R15" s="1196"/>
      <c r="S15" s="1202"/>
      <c r="T15" s="1205" t="s">
        <v>330</v>
      </c>
      <c r="U15" s="1204"/>
      <c r="V15" s="1204"/>
      <c r="W15" s="1204"/>
      <c r="X15" s="1204"/>
      <c r="Y15" s="1204"/>
      <c r="Z15" s="1204"/>
      <c r="AA15" s="1204"/>
      <c r="AB15" s="1204"/>
      <c r="AC15" s="1204"/>
      <c r="AD15" s="1204"/>
      <c r="AE15" s="1204"/>
      <c r="AF15" s="1204"/>
      <c r="AG15" s="1204"/>
      <c r="AH15" s="1204"/>
      <c r="AI15" s="1204"/>
      <c r="AJ15" s="1204"/>
      <c r="AK15" s="1204"/>
      <c r="AL15" s="1204"/>
      <c r="AM15" s="1204"/>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8"/>
      <c r="AE17" s="1238"/>
      <c r="AF17" s="1238"/>
      <c r="AG17" s="1239"/>
      <c r="AH17" s="5381"/>
      <c r="AI17" s="5382" t="s">
        <v>64</v>
      </c>
      <c r="AJ17" s="5381"/>
      <c r="AK17" s="5382" t="s">
        <v>64</v>
      </c>
    </row>
    <row r="18" spans="1:44" ht="14.25" hidden="1" customHeight="1">
      <c r="AD18" s="1238"/>
      <c r="AE18" s="1238"/>
      <c r="AF18" s="1238"/>
      <c r="AG18" s="246" t="str">
        <f>AH17&amp;"-"&amp;AJ17</f>
        <v>-</v>
      </c>
      <c r="AH18" s="5382"/>
      <c r="AI18" s="5382"/>
      <c r="AJ18" s="5382"/>
      <c r="AK18" s="5382"/>
    </row>
    <row r="19" spans="1:44" ht="14.25" hidden="1" customHeight="1">
      <c r="AK19" s="245"/>
    </row>
    <row r="20" spans="1:44" s="4854" customFormat="1" ht="22.5" hidden="1" customHeight="1">
      <c r="L20" s="1208"/>
      <c r="M20" s="1240"/>
      <c r="N20" s="1240"/>
      <c r="O20" s="1245" t="s">
        <v>493</v>
      </c>
      <c r="P20" s="1240"/>
      <c r="Q20" s="1249"/>
      <c r="R20" s="1249"/>
      <c r="S20" s="630"/>
      <c r="Z20" s="1245"/>
      <c r="AB20" s="1245"/>
      <c r="AC20" s="1244"/>
      <c r="AH20" s="1245"/>
      <c r="AJ20" s="1245"/>
      <c r="AK20" s="1244"/>
      <c r="AN20" s="419"/>
      <c r="AO20" s="419"/>
      <c r="AP20" s="419"/>
      <c r="AQ20" s="419"/>
      <c r="AR20" s="419"/>
    </row>
    <row r="21" spans="1:44" s="4854" customFormat="1" ht="14.25" hidden="1" customHeight="1">
      <c r="L21" s="1208"/>
      <c r="M21" s="1240"/>
      <c r="N21" s="1240"/>
      <c r="O21" s="1240"/>
      <c r="P21" s="1240"/>
      <c r="Q21" s="1249"/>
      <c r="R21" s="1249"/>
      <c r="S21" s="630"/>
      <c r="AC21" s="1244"/>
      <c r="AK21" s="1244"/>
      <c r="AN21" s="419"/>
      <c r="AO21" s="419"/>
      <c r="AP21" s="419"/>
      <c r="AQ21" s="419"/>
      <c r="AR21" s="419"/>
    </row>
    <row r="22" spans="1:44" s="4854" customFormat="1" ht="33.75" hidden="1" customHeight="1">
      <c r="L22" s="1208"/>
      <c r="M22" s="1240"/>
      <c r="N22" s="1240"/>
      <c r="O22" s="1242" t="s">
        <v>494</v>
      </c>
      <c r="P22" s="1240"/>
      <c r="Q22" s="1249"/>
      <c r="R22" s="1249"/>
      <c r="S22" s="630"/>
      <c r="T22" s="1042" t="s">
        <v>495</v>
      </c>
      <c r="AA22" s="108" t="s">
        <v>496</v>
      </c>
      <c r="AC22" s="108" t="s">
        <v>497</v>
      </c>
      <c r="AD22" s="1042" t="s">
        <v>495</v>
      </c>
      <c r="AI22" s="108" t="s">
        <v>498</v>
      </c>
      <c r="AK22" s="108" t="s">
        <v>497</v>
      </c>
      <c r="AN22" s="419"/>
      <c r="AO22" s="419"/>
      <c r="AP22" s="419"/>
      <c r="AQ22" s="419"/>
      <c r="AR22" s="419"/>
    </row>
    <row r="23" spans="1:44" ht="14.25" hidden="1" customHeight="1">
      <c r="O23" s="1242"/>
    </row>
    <row r="24" spans="1:44" ht="14.25" hidden="1" customHeight="1">
      <c r="O24" s="1242"/>
    </row>
    <row r="25" spans="1:44" ht="14.25" customHeight="1">
      <c r="Q25" s="292"/>
      <c r="R25" s="292"/>
      <c r="S25" s="1158"/>
      <c r="T25" s="280"/>
      <c r="U25" s="280"/>
      <c r="V25" s="417"/>
      <c r="W25" s="417"/>
      <c r="X25" s="417"/>
      <c r="Y25" s="417"/>
      <c r="Z25" s="417"/>
      <c r="AA25" s="417"/>
      <c r="AB25" s="417"/>
      <c r="AC25" s="417"/>
      <c r="AD25" s="417"/>
      <c r="AE25" s="417"/>
      <c r="AF25" s="417"/>
      <c r="AG25" s="417"/>
      <c r="AH25" s="417"/>
      <c r="AI25" s="417"/>
      <c r="AJ25" s="417"/>
      <c r="AK25" s="417"/>
    </row>
    <row r="26" spans="1:44" ht="27.75" customHeight="1">
      <c r="Q26" s="292"/>
      <c r="R26" s="292"/>
      <c r="S26" s="5360"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360"/>
      <c r="U26" s="5360"/>
      <c r="V26" s="5360"/>
      <c r="W26" s="5360"/>
      <c r="X26" s="5360"/>
      <c r="Y26" s="5360"/>
      <c r="Z26" s="5360"/>
      <c r="AA26" s="5360"/>
      <c r="AB26" s="5360"/>
      <c r="AC26" s="5360"/>
      <c r="AD26" s="5360"/>
      <c r="AE26" s="5360"/>
      <c r="AF26" s="5360"/>
      <c r="AG26" s="5360"/>
      <c r="AH26" s="5360"/>
      <c r="AI26" s="5360"/>
      <c r="AJ26" s="5360"/>
      <c r="AK26" s="1126"/>
    </row>
    <row r="27" spans="1:44" ht="14.25" customHeight="1">
      <c r="Q27" s="292"/>
      <c r="R27" s="292"/>
      <c r="S27" s="5308" t="str">
        <f>IF(org=0,"Не определено",org)</f>
        <v>ООО «Газпром теплоэнерго МО»</v>
      </c>
      <c r="T27" s="5308"/>
      <c r="U27" s="5308"/>
      <c r="V27" s="5308"/>
      <c r="W27" s="5308"/>
      <c r="X27" s="5308"/>
      <c r="Y27" s="5308"/>
      <c r="Z27" s="5308"/>
      <c r="AA27" s="5308"/>
      <c r="AB27" s="5308"/>
      <c r="AC27" s="5308"/>
      <c r="AD27" s="5308"/>
      <c r="AE27" s="5308"/>
      <c r="AF27" s="5308"/>
      <c r="AG27" s="5308"/>
      <c r="AH27" s="5308"/>
      <c r="AI27" s="5308"/>
      <c r="AJ27" s="5308"/>
      <c r="AK27" s="1126"/>
    </row>
    <row r="28" spans="1:44" ht="14.25" customHeight="1">
      <c r="Q28" s="292"/>
      <c r="R28" s="292"/>
      <c r="S28" s="1158"/>
      <c r="T28" s="280"/>
      <c r="U28" s="280"/>
      <c r="V28" s="240"/>
      <c r="W28" s="240"/>
      <c r="X28" s="240"/>
      <c r="Y28" s="240"/>
      <c r="Z28" s="240"/>
      <c r="AA28" s="240"/>
      <c r="AB28" s="240"/>
      <c r="AC28" s="240"/>
      <c r="AD28" s="240"/>
      <c r="AE28" s="240"/>
      <c r="AF28" s="240"/>
      <c r="AG28" s="240"/>
      <c r="AH28" s="240"/>
      <c r="AI28" s="240"/>
      <c r="AJ28" s="240"/>
      <c r="AK28" s="240"/>
      <c r="AL28" s="417"/>
    </row>
    <row r="29" spans="1:44" s="4855" customFormat="1" ht="25.5" customHeight="1">
      <c r="A29" s="1246"/>
      <c r="B29" s="1246"/>
      <c r="C29" s="1246"/>
      <c r="D29" s="1246"/>
      <c r="E29" s="1246"/>
      <c r="F29" s="1246"/>
      <c r="G29" s="1246"/>
      <c r="H29" s="1246"/>
      <c r="I29" s="1246"/>
      <c r="J29" s="1246"/>
      <c r="K29" s="1246"/>
      <c r="L29" s="1247"/>
      <c r="M29" s="1246"/>
      <c r="N29" s="1246"/>
      <c r="O29" s="1246"/>
      <c r="S29" s="5368" t="s">
        <v>38</v>
      </c>
      <c r="T29" s="5368"/>
      <c r="U29" s="1250"/>
      <c r="V29" s="5369" t="str">
        <f>IF(TITLE_NAME_OR_PR_CHANGE="",IF(TITLE_NAME_OR_PR="","",TITLE_NAME_OR_PR),TITLE_NAME_OR_PR_CHANGE)</f>
        <v>Комитет по ценам и тарифам Московской области</v>
      </c>
      <c r="W29" s="5369"/>
      <c r="X29" s="5369"/>
      <c r="Y29" s="5369"/>
      <c r="Z29" s="5369"/>
      <c r="AA29" s="5369"/>
      <c r="AB29" s="5369"/>
      <c r="AC29" s="244"/>
      <c r="AD29" s="5369" t="str">
        <f>IF(TITLE_NAME_OR_PR_CHANGE="",IF(TITLE_NAME_OR_PR="","",TITLE_NAME_OR_PR),TITLE_NAME_OR_PR_CHANGE)</f>
        <v>Комитет по ценам и тарифам Московской области</v>
      </c>
      <c r="AE29" s="5369"/>
      <c r="AF29" s="5369"/>
      <c r="AG29" s="5369"/>
      <c r="AH29" s="5369"/>
      <c r="AI29" s="5369"/>
      <c r="AJ29" s="5369"/>
      <c r="AK29" s="244"/>
      <c r="AL29" s="244"/>
      <c r="AM29" s="199"/>
      <c r="AN29" s="284"/>
      <c r="AO29" s="284"/>
      <c r="AP29" s="284"/>
      <c r="AQ29" s="284"/>
      <c r="AR29" s="284"/>
    </row>
    <row r="30" spans="1:44" s="4855" customFormat="1" ht="18.75" customHeight="1">
      <c r="A30" s="1246"/>
      <c r="B30" s="1246"/>
      <c r="C30" s="1246"/>
      <c r="D30" s="1246"/>
      <c r="E30" s="1246"/>
      <c r="F30" s="1246"/>
      <c r="G30" s="1246"/>
      <c r="H30" s="1246"/>
      <c r="I30" s="1246"/>
      <c r="J30" s="1246"/>
      <c r="K30" s="1246"/>
      <c r="L30" s="1247"/>
      <c r="M30" s="1246"/>
      <c r="N30" s="1246"/>
      <c r="O30" s="1246"/>
      <c r="S30" s="5368" t="s">
        <v>499</v>
      </c>
      <c r="T30" s="5368"/>
      <c r="U30" s="1250"/>
      <c r="V30" s="5378">
        <f>IF(TITLE_DATE_PR_CHANGE="",IF(TITLE_DATE_PR="","",TITLE_DATE_PR),TITLE_DATE_PR_CHANGE)</f>
        <v>45280</v>
      </c>
      <c r="W30" s="5378"/>
      <c r="X30" s="5378"/>
      <c r="Y30" s="5378"/>
      <c r="Z30" s="5378"/>
      <c r="AA30" s="5378"/>
      <c r="AB30" s="5378"/>
      <c r="AC30" s="244"/>
      <c r="AD30" s="5378">
        <f>IF(TITLE_DATE_PR_CHANGE="",IF(TITLE_DATE_PR="","",TITLE_DATE_PR),TITLE_DATE_PR_CHANGE)</f>
        <v>45280</v>
      </c>
      <c r="AE30" s="5378"/>
      <c r="AF30" s="5378"/>
      <c r="AG30" s="5378"/>
      <c r="AH30" s="5378"/>
      <c r="AI30" s="5378"/>
      <c r="AJ30" s="5378"/>
      <c r="AK30" s="244"/>
      <c r="AL30" s="244"/>
      <c r="AM30" s="199"/>
      <c r="AN30" s="284"/>
      <c r="AO30" s="284"/>
      <c r="AP30" s="284"/>
      <c r="AQ30" s="284"/>
      <c r="AR30" s="284"/>
    </row>
    <row r="31" spans="1:44" s="4855" customFormat="1" ht="18.75" customHeight="1">
      <c r="A31" s="1246"/>
      <c r="B31" s="1246"/>
      <c r="C31" s="1246"/>
      <c r="D31" s="1246"/>
      <c r="E31" s="1246"/>
      <c r="F31" s="1246"/>
      <c r="G31" s="1246"/>
      <c r="H31" s="1246"/>
      <c r="I31" s="1246"/>
      <c r="J31" s="1246"/>
      <c r="K31" s="1246"/>
      <c r="L31" s="1247"/>
      <c r="M31" s="1246"/>
      <c r="N31" s="1246"/>
      <c r="O31" s="1246"/>
      <c r="S31" s="5368" t="s">
        <v>500</v>
      </c>
      <c r="T31" s="5368"/>
      <c r="U31" s="1250"/>
      <c r="V31" s="5369" t="str">
        <f>IF(TITLE_NUMBER_PR_CHANGE="",IF(TITLE_NUMBER_PR="","",TITLE_NUMBER_PR),TITLE_NUMBER_PR_CHANGE)</f>
        <v>317-Р</v>
      </c>
      <c r="W31" s="5369"/>
      <c r="X31" s="5369"/>
      <c r="Y31" s="5369"/>
      <c r="Z31" s="5369"/>
      <c r="AA31" s="5369"/>
      <c r="AB31" s="5369"/>
      <c r="AC31" s="244"/>
      <c r="AD31" s="5369" t="str">
        <f>IF(TITLE_NUMBER_PR_CHANGE="",IF(TITLE_NUMBER_PR="","",TITLE_NUMBER_PR),TITLE_NUMBER_PR_CHANGE)</f>
        <v>317-Р</v>
      </c>
      <c r="AE31" s="5369"/>
      <c r="AF31" s="5369"/>
      <c r="AG31" s="5369"/>
      <c r="AH31" s="5369"/>
      <c r="AI31" s="5369"/>
      <c r="AJ31" s="5369"/>
      <c r="AK31" s="244"/>
      <c r="AL31" s="244"/>
      <c r="AM31" s="199"/>
      <c r="AN31" s="284"/>
      <c r="AO31" s="284"/>
      <c r="AP31" s="284"/>
      <c r="AQ31" s="284"/>
      <c r="AR31" s="284"/>
    </row>
    <row r="32" spans="1:44" s="4855" customFormat="1" ht="18.75" customHeight="1">
      <c r="A32" s="1246"/>
      <c r="B32" s="1246"/>
      <c r="C32" s="1246"/>
      <c r="D32" s="1246"/>
      <c r="E32" s="1246"/>
      <c r="F32" s="1246"/>
      <c r="G32" s="1246"/>
      <c r="H32" s="1246"/>
      <c r="I32" s="1246"/>
      <c r="J32" s="1246"/>
      <c r="K32" s="1246"/>
      <c r="L32" s="1247"/>
      <c r="M32" s="1246"/>
      <c r="N32" s="1246"/>
      <c r="O32" s="1246"/>
      <c r="S32" s="5368" t="s">
        <v>40</v>
      </c>
      <c r="T32" s="5368"/>
      <c r="U32" s="1250"/>
      <c r="V32" s="5369" t="str">
        <f>IF(TITLE_IST_PUB_CHANGE="",IF(TITLE_IST_PUB="","",TITLE_IST_PUB),TITLE_IST_PUB_CHANGE)</f>
        <v>https://ktc.mosreg.ru/dokumenty/normotvorchestvo/rasporyazheniya/gosudarstvennoe-regulirovanie-tarifov-na-teplovuyu-energiyu-raspor/29-12-2023-16-47-50-rasporyazhenie-komiteta-po-tsenam-i-tarifam-moskov</v>
      </c>
      <c r="W32" s="5369"/>
      <c r="X32" s="5369"/>
      <c r="Y32" s="5369"/>
      <c r="Z32" s="5369"/>
      <c r="AA32" s="5369"/>
      <c r="AB32" s="5369"/>
      <c r="AC32" s="244"/>
      <c r="AD32" s="5369" t="str">
        <f>IF(TITLE_IST_PUB_CHANGE="",IF(TITLE_IST_PUB="","",TITLE_IST_PUB),TITLE_IST_PUB_CHANGE)</f>
        <v>https://ktc.mosreg.ru/dokumenty/normotvorchestvo/rasporyazheniya/gosudarstvennoe-regulirovanie-tarifov-na-teplovuyu-energiyu-raspor/29-12-2023-16-47-50-rasporyazhenie-komiteta-po-tsenam-i-tarifam-moskov</v>
      </c>
      <c r="AE32" s="5369"/>
      <c r="AF32" s="5369"/>
      <c r="AG32" s="5369"/>
      <c r="AH32" s="5369"/>
      <c r="AI32" s="5369"/>
      <c r="AJ32" s="5369"/>
      <c r="AK32" s="244"/>
      <c r="AL32" s="244"/>
      <c r="AM32" s="199"/>
      <c r="AN32" s="284"/>
      <c r="AO32" s="284"/>
      <c r="AP32" s="284"/>
      <c r="AQ32" s="284"/>
      <c r="AR32" s="284"/>
    </row>
    <row r="33" spans="1:44" ht="14.25" hidden="1" customHeight="1">
      <c r="Q33" s="292"/>
      <c r="R33" s="292"/>
      <c r="S33" s="1158"/>
      <c r="T33" s="280"/>
      <c r="U33" s="280"/>
      <c r="V33" s="240"/>
      <c r="W33" s="240"/>
      <c r="X33" s="240"/>
      <c r="Y33" s="240"/>
      <c r="Z33" s="240"/>
      <c r="AA33" s="240"/>
      <c r="AB33" s="240"/>
      <c r="AC33" s="240"/>
      <c r="AD33" s="240"/>
      <c r="AE33" s="240"/>
      <c r="AF33" s="240"/>
      <c r="AG33" s="240"/>
      <c r="AH33" s="240"/>
      <c r="AI33" s="240"/>
      <c r="AJ33" s="240"/>
      <c r="AK33" s="240"/>
      <c r="AL33" s="417"/>
    </row>
    <row r="34" spans="1:44" s="4855" customFormat="1" ht="18.75" hidden="1" customHeight="1">
      <c r="A34" s="1246"/>
      <c r="B34" s="1246"/>
      <c r="C34" s="1246"/>
      <c r="D34" s="1246"/>
      <c r="E34" s="1246"/>
      <c r="F34" s="1246"/>
      <c r="G34" s="1246"/>
      <c r="H34" s="1246"/>
      <c r="I34" s="1246"/>
      <c r="J34" s="1246"/>
      <c r="K34" s="1246"/>
      <c r="L34" s="1247"/>
      <c r="M34" s="1246"/>
      <c r="N34" s="1246"/>
      <c r="O34" s="1246"/>
      <c r="S34" s="5368" t="s">
        <v>501</v>
      </c>
      <c r="T34" s="5368"/>
      <c r="U34" s="1250"/>
      <c r="V34" s="5378">
        <f>IF(TITLE_DATE_PR_CHANGE="",IF(TITLE_DATE_PR="","",TITLE_DATE_PR),TITLE_DATE_PR_CHANGE)</f>
        <v>45280</v>
      </c>
      <c r="W34" s="5378"/>
      <c r="X34" s="5378"/>
      <c r="Y34" s="5378"/>
      <c r="Z34" s="5378"/>
      <c r="AA34" s="5378"/>
      <c r="AB34" s="5378"/>
      <c r="AC34" s="244"/>
      <c r="AD34" s="5378">
        <f>IF(TITLE_DATE_PR_CHANGE="",IF(TITLE_DATE_PR="","",TITLE_DATE_PR),TITLE_DATE_PR_CHANGE)</f>
        <v>45280</v>
      </c>
      <c r="AE34" s="5378"/>
      <c r="AF34" s="5378"/>
      <c r="AG34" s="5378"/>
      <c r="AH34" s="5378"/>
      <c r="AI34" s="5378"/>
      <c r="AJ34" s="5378"/>
      <c r="AK34" s="244"/>
      <c r="AL34" s="244"/>
      <c r="AM34" s="199"/>
      <c r="AN34" s="284"/>
      <c r="AO34" s="284"/>
      <c r="AP34" s="284"/>
      <c r="AQ34" s="284"/>
      <c r="AR34" s="284"/>
    </row>
    <row r="35" spans="1:44" s="4855" customFormat="1" ht="18.75" hidden="1" customHeight="1">
      <c r="A35" s="1246"/>
      <c r="B35" s="1246"/>
      <c r="C35" s="1246"/>
      <c r="D35" s="1246"/>
      <c r="E35" s="1246"/>
      <c r="F35" s="1246"/>
      <c r="G35" s="1246"/>
      <c r="H35" s="1246"/>
      <c r="I35" s="1246"/>
      <c r="J35" s="1246"/>
      <c r="K35" s="1246"/>
      <c r="L35" s="1247"/>
      <c r="M35" s="1246"/>
      <c r="N35" s="1246"/>
      <c r="O35" s="1246"/>
      <c r="S35" s="5368" t="s">
        <v>502</v>
      </c>
      <c r="T35" s="5368"/>
      <c r="U35" s="1250"/>
      <c r="V35" s="5369" t="str">
        <f>IF(TITLE_NUMBER_PR_CHANGE="",IF(TITLE_NUMBER_PR="","",TITLE_NUMBER_PR),TITLE_NUMBER_PR_CHANGE)</f>
        <v>317-Р</v>
      </c>
      <c r="W35" s="5369"/>
      <c r="X35" s="5369"/>
      <c r="Y35" s="5369"/>
      <c r="Z35" s="5369"/>
      <c r="AA35" s="5369"/>
      <c r="AB35" s="5369"/>
      <c r="AC35" s="244"/>
      <c r="AD35" s="5369" t="str">
        <f>IF(TITLE_NUMBER_PR_CHANGE="",IF(TITLE_NUMBER_PR="","",TITLE_NUMBER_PR),TITLE_NUMBER_PR_CHANGE)</f>
        <v>317-Р</v>
      </c>
      <c r="AE35" s="5369"/>
      <c r="AF35" s="5369"/>
      <c r="AG35" s="5369"/>
      <c r="AH35" s="5369"/>
      <c r="AI35" s="5369"/>
      <c r="AJ35" s="5369"/>
      <c r="AK35" s="244"/>
      <c r="AL35" s="244"/>
      <c r="AM35" s="199"/>
      <c r="AN35" s="284"/>
      <c r="AO35" s="284"/>
      <c r="AP35" s="284"/>
      <c r="AQ35" s="284"/>
      <c r="AR35" s="284"/>
    </row>
    <row r="36" spans="1:44" s="4855" customFormat="1" ht="0" hidden="1" customHeight="1">
      <c r="A36" s="1246"/>
      <c r="B36" s="1246"/>
      <c r="C36" s="1246"/>
      <c r="D36" s="1246"/>
      <c r="E36" s="1246"/>
      <c r="F36" s="1246"/>
      <c r="G36" s="1246"/>
      <c r="H36" s="1246"/>
      <c r="I36" s="1246"/>
      <c r="J36" s="1246"/>
      <c r="K36" s="1246"/>
      <c r="L36" s="1247"/>
      <c r="M36" s="1246"/>
      <c r="N36" s="1246"/>
      <c r="O36" s="1246"/>
      <c r="S36" s="241"/>
      <c r="T36" s="241"/>
      <c r="U36" s="1219"/>
      <c r="V36" s="244"/>
      <c r="W36" s="244"/>
      <c r="X36" s="244"/>
      <c r="Y36" s="244"/>
      <c r="Z36" s="244"/>
      <c r="AA36" s="244"/>
      <c r="AB36" s="244"/>
      <c r="AC36" s="197" t="s">
        <v>503</v>
      </c>
      <c r="AD36" s="244"/>
      <c r="AE36" s="244"/>
      <c r="AF36" s="244"/>
      <c r="AG36" s="244"/>
      <c r="AH36" s="244"/>
      <c r="AI36" s="244"/>
      <c r="AJ36" s="244"/>
      <c r="AK36" s="197" t="s">
        <v>503</v>
      </c>
      <c r="AN36" s="284"/>
      <c r="AO36" s="284"/>
      <c r="AP36" s="284"/>
      <c r="AQ36" s="284"/>
      <c r="AR36" s="284"/>
    </row>
    <row r="37" spans="1:44" ht="14.25" customHeight="1">
      <c r="Q37" s="292"/>
      <c r="R37" s="292"/>
      <c r="S37" s="1158"/>
      <c r="T37" s="280"/>
      <c r="U37" s="1127"/>
      <c r="V37" s="5370"/>
      <c r="W37" s="5370"/>
      <c r="X37" s="5370"/>
      <c r="Y37" s="5370"/>
      <c r="Z37" s="5370"/>
      <c r="AA37" s="5370"/>
      <c r="AB37" s="5370"/>
      <c r="AC37" s="5370"/>
      <c r="AD37" s="5370"/>
      <c r="AE37" s="5370"/>
      <c r="AF37" s="5370"/>
      <c r="AG37" s="5370"/>
      <c r="AH37" s="5370"/>
      <c r="AI37" s="5370"/>
      <c r="AJ37" s="5370"/>
      <c r="AK37" s="5370"/>
    </row>
    <row r="38" spans="1:44" ht="14.25" customHeight="1">
      <c r="Q38" s="292"/>
      <c r="R38" s="292"/>
      <c r="S38" s="5244" t="s">
        <v>378</v>
      </c>
      <c r="T38" s="5244"/>
      <c r="U38" s="5244"/>
      <c r="V38" s="5244"/>
      <c r="W38" s="5244"/>
      <c r="X38" s="5244"/>
      <c r="Y38" s="5244"/>
      <c r="Z38" s="5244"/>
      <c r="AA38" s="5244"/>
      <c r="AB38" s="5244"/>
      <c r="AC38" s="5244"/>
      <c r="AD38" s="5244"/>
      <c r="AE38" s="5244"/>
      <c r="AF38" s="5244"/>
      <c r="AG38" s="5244"/>
      <c r="AH38" s="5244"/>
      <c r="AI38" s="5244"/>
      <c r="AJ38" s="5244"/>
      <c r="AK38" s="5244"/>
      <c r="AL38" s="5244"/>
      <c r="AM38" s="5244" t="s">
        <v>379</v>
      </c>
    </row>
    <row r="39" spans="1:44" ht="14.25" customHeight="1">
      <c r="Q39" s="292"/>
      <c r="R39" s="292"/>
      <c r="S39" s="5384" t="s">
        <v>85</v>
      </c>
      <c r="T39" s="5336" t="s">
        <v>504</v>
      </c>
      <c r="U39" s="219"/>
      <c r="V39" s="5385" t="s">
        <v>505</v>
      </c>
      <c r="W39" s="5386"/>
      <c r="X39" s="5402"/>
      <c r="Y39" s="5402"/>
      <c r="Z39" s="5386"/>
      <c r="AA39" s="5386"/>
      <c r="AB39" s="5387"/>
      <c r="AC39" s="5388" t="s">
        <v>506</v>
      </c>
      <c r="AD39" s="5385" t="s">
        <v>505</v>
      </c>
      <c r="AE39" s="5386"/>
      <c r="AF39" s="5402"/>
      <c r="AG39" s="5402"/>
      <c r="AH39" s="5386"/>
      <c r="AI39" s="5386"/>
      <c r="AJ39" s="5387"/>
      <c r="AK39" s="5388" t="s">
        <v>507</v>
      </c>
      <c r="AL39" s="5391" t="s">
        <v>508</v>
      </c>
      <c r="AM39" s="5244"/>
    </row>
    <row r="40" spans="1:44" ht="23.25" customHeight="1">
      <c r="Q40" s="292"/>
      <c r="R40" s="292"/>
      <c r="S40" s="5384"/>
      <c r="T40" s="5336"/>
      <c r="U40" s="920"/>
      <c r="V40" s="5403" t="s">
        <v>509</v>
      </c>
      <c r="W40" s="5322" t="s">
        <v>510</v>
      </c>
      <c r="X40" s="1254" t="s">
        <v>511</v>
      </c>
      <c r="Y40" s="1254"/>
      <c r="Z40" s="5220" t="s">
        <v>512</v>
      </c>
      <c r="AA40" s="5220"/>
      <c r="AB40" s="5214"/>
      <c r="AC40" s="5389"/>
      <c r="AD40" s="5403" t="s">
        <v>509</v>
      </c>
      <c r="AE40" s="5322" t="s">
        <v>510</v>
      </c>
      <c r="AF40" s="1254" t="s">
        <v>511</v>
      </c>
      <c r="AG40" s="1254"/>
      <c r="AH40" s="5220" t="s">
        <v>512</v>
      </c>
      <c r="AI40" s="5220"/>
      <c r="AJ40" s="5214"/>
      <c r="AK40" s="5389"/>
      <c r="AL40" s="5392"/>
      <c r="AM40" s="5244"/>
    </row>
    <row r="41" spans="1:44" s="4871" customFormat="1" ht="23.25" customHeight="1">
      <c r="A41" s="1248"/>
      <c r="B41" s="1248" t="s">
        <v>153</v>
      </c>
      <c r="C41" s="1248" t="s">
        <v>154</v>
      </c>
      <c r="D41" s="1248" t="s">
        <v>155</v>
      </c>
      <c r="E41" s="1242" t="s">
        <v>513</v>
      </c>
      <c r="F41" s="1242" t="s">
        <v>514</v>
      </c>
      <c r="G41" s="1242" t="s">
        <v>515</v>
      </c>
      <c r="H41" s="1242" t="s">
        <v>516</v>
      </c>
      <c r="I41" s="1242" t="s">
        <v>517</v>
      </c>
      <c r="J41" s="1242" t="s">
        <v>518</v>
      </c>
      <c r="K41" s="1242" t="s">
        <v>519</v>
      </c>
      <c r="L41" s="1242" t="s">
        <v>494</v>
      </c>
      <c r="M41" s="1240"/>
      <c r="N41" s="1240"/>
      <c r="O41" s="1240"/>
      <c r="P41" s="1207"/>
      <c r="Q41" s="292"/>
      <c r="R41" s="292"/>
      <c r="S41" s="5384"/>
      <c r="T41" s="5336"/>
      <c r="U41" s="220"/>
      <c r="V41" s="5404"/>
      <c r="W41" s="5327"/>
      <c r="X41" s="1251" t="s">
        <v>520</v>
      </c>
      <c r="Y41" s="1251" t="s">
        <v>521</v>
      </c>
      <c r="Z41" s="1213" t="s">
        <v>522</v>
      </c>
      <c r="AA41" s="5344" t="s">
        <v>523</v>
      </c>
      <c r="AB41" s="5346"/>
      <c r="AC41" s="5390"/>
      <c r="AD41" s="5404"/>
      <c r="AE41" s="5327"/>
      <c r="AF41" s="1251" t="s">
        <v>520</v>
      </c>
      <c r="AG41" s="1251" t="s">
        <v>521</v>
      </c>
      <c r="AH41" s="1213" t="s">
        <v>522</v>
      </c>
      <c r="AI41" s="5344" t="s">
        <v>523</v>
      </c>
      <c r="AJ41" s="5346"/>
      <c r="AK41" s="5390"/>
      <c r="AL41" s="5393"/>
      <c r="AM41" s="5244"/>
      <c r="AN41" s="419"/>
      <c r="AO41" s="408"/>
      <c r="AP41" s="408"/>
      <c r="AQ41" s="408"/>
      <c r="AR41" s="408"/>
    </row>
    <row r="42" spans="1:44" s="4840"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129</v>
      </c>
      <c r="T42" s="1138" t="s">
        <v>100</v>
      </c>
      <c r="U42" s="1128" t="str">
        <f ca="1">OFFSET(U42,0,-1)</f>
        <v>2</v>
      </c>
      <c r="V42" s="1214">
        <f ca="1">OFFSET(V42,0,-1)+1</f>
        <v>3</v>
      </c>
      <c r="W42" s="1214"/>
      <c r="X42" s="1220">
        <f ca="1">OFFSET(X42,0,-1)+1</f>
        <v>1</v>
      </c>
      <c r="Y42" s="1220">
        <f ca="1">OFFSET(Y42,0,-1)+1</f>
        <v>2</v>
      </c>
      <c r="Z42" s="1214">
        <f ca="1">OFFSET(Z42,0,-1)+1</f>
        <v>3</v>
      </c>
      <c r="AA42" s="5383">
        <f ca="1">OFFSET(AA42,0,-1)+1</f>
        <v>4</v>
      </c>
      <c r="AB42" s="5383"/>
      <c r="AC42" s="1214">
        <f ca="1">OFFSET(AC42,0,-2)+1</f>
        <v>5</v>
      </c>
      <c r="AD42" s="1214">
        <f ca="1">OFFSET(AD42,0,-1)+1</f>
        <v>6</v>
      </c>
      <c r="AE42" s="1214"/>
      <c r="AF42" s="1220">
        <f ca="1">OFFSET(AF42,0,-1)+1</f>
        <v>1</v>
      </c>
      <c r="AG42" s="1220">
        <f ca="1">OFFSET(AG42,0,-1)+1</f>
        <v>2</v>
      </c>
      <c r="AH42" s="1214">
        <f ca="1">OFFSET(AH42,0,-1)+1</f>
        <v>3</v>
      </c>
      <c r="AI42" s="5383">
        <f ca="1">OFFSET(AI42,0,-1)+1</f>
        <v>4</v>
      </c>
      <c r="AJ42" s="5383"/>
      <c r="AK42" s="1214">
        <f ca="1">OFFSET(AK42,0,-2)+1</f>
        <v>5</v>
      </c>
      <c r="AL42" s="1128">
        <f ca="1">OFFSET(AL42,0,-1)</f>
        <v>5</v>
      </c>
      <c r="AM42" s="1214">
        <f ca="1">OFFSET(AM42,0,-1)+1</f>
        <v>6</v>
      </c>
      <c r="AN42" s="419"/>
      <c r="AO42" s="419"/>
      <c r="AP42" s="419"/>
      <c r="AQ42" s="419"/>
      <c r="AR42" s="419"/>
    </row>
    <row r="43" spans="1:44" ht="21" customHeight="1">
      <c r="A43" s="1241" t="s">
        <v>209</v>
      </c>
      <c r="B43" s="1241"/>
      <c r="C43" s="1241"/>
      <c r="D43" s="1241"/>
      <c r="E43" s="5376">
        <v>1</v>
      </c>
      <c r="F43" s="1241"/>
      <c r="G43" s="1241"/>
      <c r="H43" s="1241"/>
      <c r="I43" s="1241"/>
      <c r="J43" s="1241"/>
      <c r="K43" s="1241"/>
      <c r="L43" s="1242"/>
      <c r="M43" s="1243"/>
      <c r="N43" s="1243"/>
      <c r="O43" s="1243"/>
      <c r="P43" s="278"/>
      <c r="Q43" s="277"/>
      <c r="R43" s="272"/>
      <c r="S43" s="1215">
        <f>INDEX(PT_DIFFERENTIATION_NUM_NTAR,MATCH(A43,PT_DIFFERENTIATION_NTAR_ID,0))</f>
        <v>0</v>
      </c>
      <c r="T43" s="216" t="s">
        <v>141</v>
      </c>
      <c r="U43" s="218"/>
      <c r="V43" s="5362"/>
      <c r="W43" s="5363"/>
      <c r="X43" s="5363"/>
      <c r="Y43" s="5363"/>
      <c r="Z43" s="5363"/>
      <c r="AA43" s="5363"/>
      <c r="AB43" s="5363"/>
      <c r="AC43" s="5364"/>
      <c r="AD43" s="5362" t="str">
        <f>INDEX(PT_DIFFERENTIATION_NTAR,MATCH(A43,PT_DIFFERENTIATION_NTAR_ID,0))</f>
        <v/>
      </c>
      <c r="AE43" s="5363"/>
      <c r="AF43" s="5363"/>
      <c r="AG43" s="5363"/>
      <c r="AH43" s="5363"/>
      <c r="AI43" s="5363"/>
      <c r="AJ43" s="5363"/>
      <c r="AK43" s="5363"/>
      <c r="AL43" s="5364"/>
      <c r="AM43" s="11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8"/>
      <c r="AP43" s="408" t="str">
        <f t="shared" ref="AP43:AP57" si="1">IF(T43="","",T43)</f>
        <v>Наименование тарифа</v>
      </c>
      <c r="AQ43" s="408"/>
      <c r="AR43" s="408"/>
    </row>
    <row r="44" spans="1:44" ht="21" customHeight="1">
      <c r="A44" s="1241" t="s">
        <v>209</v>
      </c>
      <c r="B44" s="1241" t="s">
        <v>210</v>
      </c>
      <c r="C44" s="1241"/>
      <c r="D44" s="1241"/>
      <c r="E44" s="5377"/>
      <c r="F44" s="5376">
        <v>1</v>
      </c>
      <c r="G44" s="1241"/>
      <c r="H44" s="1241"/>
      <c r="I44" s="1241"/>
      <c r="J44" s="1241"/>
      <c r="K44" s="1241"/>
      <c r="L44" s="1242"/>
      <c r="M44" s="1243"/>
      <c r="N44" s="1243"/>
      <c r="O44" s="1243"/>
      <c r="P44" s="1211"/>
      <c r="Q44" s="269"/>
      <c r="R44" s="270"/>
      <c r="S44" s="1215" t="str">
        <f>INDEX(PT_DIFFERENTIATION_NUM_TER,MATCH(B44,PT_DIFFERENTIATION_TER_ID,0))</f>
        <v>.</v>
      </c>
      <c r="T44" s="226" t="s">
        <v>475</v>
      </c>
      <c r="U44" s="218"/>
      <c r="V44" s="5362"/>
      <c r="W44" s="5363"/>
      <c r="X44" s="5363"/>
      <c r="Y44" s="5363"/>
      <c r="Z44" s="5363"/>
      <c r="AA44" s="5363"/>
      <c r="AB44" s="5363"/>
      <c r="AC44" s="5364"/>
      <c r="AD44" s="5362" t="str">
        <f>INDEX(PT_DIFFERENTIATION_TER,MATCH(B44,PT_DIFFERENTIATION_TER_ID,0))</f>
        <v/>
      </c>
      <c r="AE44" s="5363"/>
      <c r="AF44" s="5363"/>
      <c r="AG44" s="5363"/>
      <c r="AH44" s="5363"/>
      <c r="AI44" s="5363"/>
      <c r="AJ44" s="5363"/>
      <c r="AK44" s="5363"/>
      <c r="AL44" s="5364"/>
      <c r="AM44" s="1141" t="s">
        <v>476</v>
      </c>
      <c r="AO44" s="408"/>
      <c r="AP44" s="408" t="str">
        <f t="shared" si="1"/>
        <v>Территория действия тарифа</v>
      </c>
      <c r="AQ44" s="408"/>
      <c r="AR44" s="408"/>
    </row>
    <row r="45" spans="1:44" ht="23.25" customHeight="1">
      <c r="A45" s="1241" t="s">
        <v>209</v>
      </c>
      <c r="B45" s="1241" t="s">
        <v>210</v>
      </c>
      <c r="C45" s="1241" t="s">
        <v>211</v>
      </c>
      <c r="D45" s="1241"/>
      <c r="E45" s="5377"/>
      <c r="F45" s="5377"/>
      <c r="G45" s="5376">
        <v>1</v>
      </c>
      <c r="H45" s="1241"/>
      <c r="I45" s="1241"/>
      <c r="J45" s="1241"/>
      <c r="K45" s="1241"/>
      <c r="L45" s="1242"/>
      <c r="M45" s="1243"/>
      <c r="N45" s="1243"/>
      <c r="O45" s="1243"/>
      <c r="P45" s="271"/>
      <c r="Q45" s="269"/>
      <c r="R45" s="270"/>
      <c r="S45" s="1215" t="str">
        <f>INDEX(PT_DIFFERENTIATION_NUM_CS,MATCH(C45,PT_DIFFERENTIATION_CS_ID,0))</f>
        <v>..</v>
      </c>
      <c r="T45" s="227" t="s">
        <v>477</v>
      </c>
      <c r="U45" s="218"/>
      <c r="V45" s="5362"/>
      <c r="W45" s="5363"/>
      <c r="X45" s="5363"/>
      <c r="Y45" s="5363"/>
      <c r="Z45" s="5363"/>
      <c r="AA45" s="5363"/>
      <c r="AB45" s="5363"/>
      <c r="AC45" s="5364"/>
      <c r="AD45" s="5362" t="str">
        <f>INDEX(PT_DIFFERENTIATION_CS,MATCH(C45,PT_DIFFERENTIATION_CS_ID,0))</f>
        <v/>
      </c>
      <c r="AE45" s="5363"/>
      <c r="AF45" s="5363"/>
      <c r="AG45" s="5363"/>
      <c r="AH45" s="5363"/>
      <c r="AI45" s="5363"/>
      <c r="AJ45" s="5363"/>
      <c r="AK45" s="5363"/>
      <c r="AL45" s="5364"/>
      <c r="AM45" s="1141" t="s">
        <v>478</v>
      </c>
      <c r="AO45" s="408"/>
      <c r="AP45" s="408" t="str">
        <f t="shared" si="1"/>
        <v xml:space="preserve">Наименование системы теплоснабжения </v>
      </c>
      <c r="AQ45" s="408"/>
      <c r="AR45" s="408"/>
    </row>
    <row r="46" spans="1:44" ht="21" customHeight="1">
      <c r="A46" s="1241" t="s">
        <v>209</v>
      </c>
      <c r="B46" s="1241" t="s">
        <v>210</v>
      </c>
      <c r="C46" s="1241" t="s">
        <v>211</v>
      </c>
      <c r="D46" s="1241" t="s">
        <v>212</v>
      </c>
      <c r="E46" s="5377"/>
      <c r="F46" s="5377"/>
      <c r="G46" s="5377"/>
      <c r="H46" s="5376">
        <v>1</v>
      </c>
      <c r="I46" s="1241"/>
      <c r="J46" s="1241"/>
      <c r="K46" s="1241"/>
      <c r="L46" s="1242"/>
      <c r="M46" s="1243"/>
      <c r="N46" s="1243"/>
      <c r="O46" s="1243"/>
      <c r="P46" s="271"/>
      <c r="Q46" s="269"/>
      <c r="R46" s="270"/>
      <c r="S46" s="1215" t="str">
        <f>INDEX(PT_DIFFERENTIATION_NUM_IST_TE,MATCH(D46,PT_DIFFERENTIATION_IST_TE_ID,0))</f>
        <v>...</v>
      </c>
      <c r="T46" s="228" t="s">
        <v>479</v>
      </c>
      <c r="U46" s="218"/>
      <c r="V46" s="5362"/>
      <c r="W46" s="5363"/>
      <c r="X46" s="5363"/>
      <c r="Y46" s="5363"/>
      <c r="Z46" s="5363"/>
      <c r="AA46" s="5363"/>
      <c r="AB46" s="5363"/>
      <c r="AC46" s="5364"/>
      <c r="AD46" s="5362" t="str">
        <f>INDEX(PT_DIFFERENTIATION_IST_TE,MATCH(D46,PT_DIFFERENTIATION_IST_TE_ID,0))</f>
        <v/>
      </c>
      <c r="AE46" s="5363"/>
      <c r="AF46" s="5363"/>
      <c r="AG46" s="5363"/>
      <c r="AH46" s="5363"/>
      <c r="AI46" s="5363"/>
      <c r="AJ46" s="5363"/>
      <c r="AK46" s="5363"/>
      <c r="AL46" s="5364"/>
      <c r="AM46" s="1141" t="s">
        <v>480</v>
      </c>
      <c r="AO46" s="408"/>
      <c r="AP46" s="408" t="str">
        <f t="shared" si="1"/>
        <v xml:space="preserve">Источник тепловой энергии  </v>
      </c>
      <c r="AQ46" s="408"/>
      <c r="AR46" s="408"/>
    </row>
    <row r="47" spans="1:44" ht="47.25" customHeight="1">
      <c r="A47" s="1241" t="s">
        <v>209</v>
      </c>
      <c r="B47" s="1241" t="s">
        <v>210</v>
      </c>
      <c r="C47" s="1241" t="s">
        <v>211</v>
      </c>
      <c r="D47" s="1241" t="s">
        <v>212</v>
      </c>
      <c r="E47" s="5377"/>
      <c r="F47" s="5377"/>
      <c r="G47" s="5377"/>
      <c r="H47" s="5377"/>
      <c r="I47" s="5374" t="str">
        <f>S46&amp;".1"</f>
        <v>....1</v>
      </c>
      <c r="J47" s="1241"/>
      <c r="K47" s="1241"/>
      <c r="L47" s="1242" t="s">
        <v>481</v>
      </c>
      <c r="P47" s="5375">
        <v>1</v>
      </c>
      <c r="Q47" s="1210"/>
      <c r="R47" s="273"/>
      <c r="S47" s="1215" t="str">
        <f>$I47</f>
        <v>....1</v>
      </c>
      <c r="T47" s="203" t="s">
        <v>482</v>
      </c>
      <c r="U47" s="218"/>
      <c r="V47" s="5365"/>
      <c r="W47" s="5366"/>
      <c r="X47" s="5366"/>
      <c r="Y47" s="5366"/>
      <c r="Z47" s="5366"/>
      <c r="AA47" s="5366"/>
      <c r="AB47" s="5366"/>
      <c r="AC47" s="5367"/>
      <c r="AD47" s="5365"/>
      <c r="AE47" s="5366"/>
      <c r="AF47" s="5366"/>
      <c r="AG47" s="5366"/>
      <c r="AH47" s="5366"/>
      <c r="AI47" s="5366"/>
      <c r="AJ47" s="5366"/>
      <c r="AK47" s="5366"/>
      <c r="AL47" s="5367"/>
      <c r="AM47" s="1141" t="s">
        <v>483</v>
      </c>
      <c r="AO47" s="408"/>
      <c r="AP47" s="408" t="str">
        <f t="shared" si="1"/>
        <v>Схема подключения теплопотребляющей установки к коллектору источника тепловой энергии</v>
      </c>
      <c r="AQ47" s="408"/>
      <c r="AR47" s="408"/>
    </row>
    <row r="48" spans="1:44" ht="21" customHeight="1">
      <c r="A48" s="1241" t="s">
        <v>209</v>
      </c>
      <c r="B48" s="1241" t="s">
        <v>210</v>
      </c>
      <c r="C48" s="1241" t="s">
        <v>211</v>
      </c>
      <c r="D48" s="1241" t="s">
        <v>212</v>
      </c>
      <c r="E48" s="5377"/>
      <c r="F48" s="5377"/>
      <c r="G48" s="5377"/>
      <c r="H48" s="5377"/>
      <c r="I48" s="5397"/>
      <c r="J48" s="5374" t="str">
        <f>I47&amp;".1"</f>
        <v>....1.1</v>
      </c>
      <c r="K48" s="1241"/>
      <c r="L48" s="1242" t="s">
        <v>484</v>
      </c>
      <c r="P48" s="5375"/>
      <c r="Q48" s="5375">
        <v>1</v>
      </c>
      <c r="R48" s="274"/>
      <c r="S48" s="1215" t="str">
        <f>$J48</f>
        <v>....1.1</v>
      </c>
      <c r="T48" s="204" t="s">
        <v>485</v>
      </c>
      <c r="U48" s="218"/>
      <c r="V48" s="5365"/>
      <c r="W48" s="5366"/>
      <c r="X48" s="5366"/>
      <c r="Y48" s="5366"/>
      <c r="Z48" s="5366"/>
      <c r="AA48" s="5366"/>
      <c r="AB48" s="5366"/>
      <c r="AC48" s="5367"/>
      <c r="AD48" s="5365"/>
      <c r="AE48" s="5366"/>
      <c r="AF48" s="5366"/>
      <c r="AG48" s="5366"/>
      <c r="AH48" s="5366"/>
      <c r="AI48" s="5366"/>
      <c r="AJ48" s="5366"/>
      <c r="AK48" s="5366"/>
      <c r="AL48" s="5367"/>
      <c r="AM48" s="1141" t="s">
        <v>486</v>
      </c>
      <c r="AO48" s="408"/>
      <c r="AP48" s="408" t="str">
        <f t="shared" si="1"/>
        <v>Группа потребителей</v>
      </c>
      <c r="AQ48" s="408"/>
      <c r="AR48" s="408"/>
    </row>
    <row r="49" spans="1:44" ht="21" customHeight="1">
      <c r="A49" s="1241" t="s">
        <v>209</v>
      </c>
      <c r="B49" s="1241" t="s">
        <v>210</v>
      </c>
      <c r="C49" s="1241" t="s">
        <v>211</v>
      </c>
      <c r="D49" s="1241" t="s">
        <v>212</v>
      </c>
      <c r="E49" s="5377"/>
      <c r="F49" s="5377"/>
      <c r="G49" s="5377"/>
      <c r="H49" s="5377"/>
      <c r="I49" s="5397"/>
      <c r="J49" s="5397"/>
      <c r="K49" s="5374" t="str">
        <f>J48&amp;".1"</f>
        <v>....1.1.1</v>
      </c>
      <c r="L49" s="1242" t="s">
        <v>487</v>
      </c>
      <c r="P49" s="5375"/>
      <c r="Q49" s="5375"/>
      <c r="R49" s="274">
        <v>1</v>
      </c>
      <c r="S49" s="1215" t="str">
        <f>$K49</f>
        <v>....1.1.1</v>
      </c>
      <c r="T49" s="1226"/>
      <c r="U49" s="218"/>
      <c r="V49" s="243"/>
      <c r="W49" s="650"/>
      <c r="X49" s="243"/>
      <c r="Y49" s="300"/>
      <c r="Z49" s="5379"/>
      <c r="AA49" s="5225" t="s">
        <v>64</v>
      </c>
      <c r="AB49" s="5379"/>
      <c r="AC49" s="5225" t="s">
        <v>64</v>
      </c>
      <c r="AD49" s="243"/>
      <c r="AE49" s="650"/>
      <c r="AF49" s="243"/>
      <c r="AG49" s="300"/>
      <c r="AH49" s="5379"/>
      <c r="AI49" s="5225" t="s">
        <v>64</v>
      </c>
      <c r="AJ49" s="5398"/>
      <c r="AK49" s="5225" t="s">
        <v>64</v>
      </c>
      <c r="AL49" s="1227"/>
      <c r="AM49" s="5371" t="s">
        <v>488</v>
      </c>
      <c r="AN49" s="419" t="e">
        <f ca="1">STRCHECKDATE(V50:AL50)</f>
        <v>#NAME?</v>
      </c>
      <c r="AO49" s="408"/>
      <c r="AP49" s="408" t="str">
        <f t="shared" si="1"/>
        <v/>
      </c>
      <c r="AQ49" s="408"/>
      <c r="AR49" s="408"/>
    </row>
    <row r="50" spans="1:44" ht="0.75" customHeight="1">
      <c r="A50" s="1241" t="s">
        <v>209</v>
      </c>
      <c r="B50" s="1241" t="s">
        <v>210</v>
      </c>
      <c r="C50" s="1241" t="s">
        <v>211</v>
      </c>
      <c r="D50" s="1241" t="s">
        <v>212</v>
      </c>
      <c r="E50" s="5377"/>
      <c r="F50" s="5377"/>
      <c r="G50" s="5377"/>
      <c r="H50" s="5377"/>
      <c r="I50" s="5397"/>
      <c r="J50" s="5397"/>
      <c r="K50" s="5374"/>
      <c r="L50" s="1242"/>
      <c r="P50" s="5375"/>
      <c r="Q50" s="5375"/>
      <c r="R50" s="274"/>
      <c r="S50" s="1221"/>
      <c r="T50" s="218"/>
      <c r="U50" s="218"/>
      <c r="V50" s="243"/>
      <c r="W50" s="243"/>
      <c r="X50" s="243"/>
      <c r="Y50" s="246" t="str">
        <f>Z49&amp;"-"&amp;AB49</f>
        <v>-</v>
      </c>
      <c r="Z50" s="5380"/>
      <c r="AA50" s="5225"/>
      <c r="AB50" s="5380"/>
      <c r="AC50" s="5225"/>
      <c r="AD50" s="243"/>
      <c r="AE50" s="243"/>
      <c r="AF50" s="243"/>
      <c r="AG50" s="246" t="str">
        <f>AH49&amp;"-"&amp;AJ49</f>
        <v>-</v>
      </c>
      <c r="AH50" s="5380"/>
      <c r="AI50" s="5225"/>
      <c r="AJ50" s="5399"/>
      <c r="AK50" s="5225"/>
      <c r="AL50" s="1228"/>
      <c r="AM50" s="5372"/>
      <c r="AO50" s="408"/>
      <c r="AP50" s="408" t="str">
        <f t="shared" si="1"/>
        <v/>
      </c>
      <c r="AQ50" s="408"/>
      <c r="AR50" s="408"/>
    </row>
    <row r="51" spans="1:44" ht="11.25" customHeight="1">
      <c r="A51" s="1241" t="s">
        <v>209</v>
      </c>
      <c r="B51" s="1241" t="s">
        <v>210</v>
      </c>
      <c r="C51" s="1241" t="s">
        <v>211</v>
      </c>
      <c r="D51" s="1241" t="s">
        <v>212</v>
      </c>
      <c r="E51" s="5377"/>
      <c r="F51" s="5377"/>
      <c r="G51" s="5377"/>
      <c r="H51" s="5377"/>
      <c r="I51" s="5397"/>
      <c r="J51" s="5374"/>
      <c r="K51" s="1241"/>
      <c r="L51" s="1242"/>
      <c r="P51" s="5375"/>
      <c r="Q51" s="5375"/>
      <c r="R51" s="273"/>
      <c r="S51" s="1161"/>
      <c r="T51" s="206" t="s">
        <v>489</v>
      </c>
      <c r="U51" s="283"/>
      <c r="V51" s="283"/>
      <c r="W51" s="283"/>
      <c r="X51" s="283"/>
      <c r="Y51" s="283"/>
      <c r="Z51" s="283"/>
      <c r="AA51" s="283"/>
      <c r="AB51" s="283"/>
      <c r="AC51" s="283"/>
      <c r="AD51" s="283"/>
      <c r="AE51" s="283"/>
      <c r="AF51" s="283"/>
      <c r="AG51" s="283"/>
      <c r="AH51" s="283"/>
      <c r="AI51" s="283"/>
      <c r="AJ51" s="283"/>
      <c r="AK51" s="283"/>
      <c r="AL51" s="242"/>
      <c r="AM51" s="5373"/>
      <c r="AO51" s="408"/>
      <c r="AP51" s="408" t="str">
        <f t="shared" si="1"/>
        <v>Добавить вид теплоносителя (параметры теплоносителя)</v>
      </c>
      <c r="AQ51" s="408"/>
      <c r="AR51" s="408"/>
    </row>
    <row r="52" spans="1:44" ht="11.25" customHeight="1">
      <c r="A52" s="1241" t="s">
        <v>209</v>
      </c>
      <c r="B52" s="1241" t="s">
        <v>210</v>
      </c>
      <c r="C52" s="1241" t="s">
        <v>211</v>
      </c>
      <c r="D52" s="1241" t="s">
        <v>212</v>
      </c>
      <c r="E52" s="5377"/>
      <c r="F52" s="5377"/>
      <c r="G52" s="5377"/>
      <c r="H52" s="5377"/>
      <c r="I52" s="5374"/>
      <c r="J52" s="1241"/>
      <c r="K52" s="1241"/>
      <c r="L52" s="1242"/>
      <c r="P52" s="5375"/>
      <c r="Q52" s="1210"/>
      <c r="R52" s="273"/>
      <c r="S52" s="1161"/>
      <c r="T52" s="205" t="s">
        <v>490</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14.25" customHeight="1">
      <c r="A53" s="1241" t="s">
        <v>209</v>
      </c>
      <c r="B53" s="1241" t="s">
        <v>210</v>
      </c>
      <c r="C53" s="1241" t="s">
        <v>211</v>
      </c>
      <c r="D53" s="1241" t="s">
        <v>212</v>
      </c>
      <c r="E53" s="5377"/>
      <c r="F53" s="5377"/>
      <c r="G53" s="5377"/>
      <c r="H53" s="5376"/>
      <c r="I53" s="1241"/>
      <c r="J53" s="1241"/>
      <c r="K53" s="1241"/>
      <c r="L53" s="1242"/>
      <c r="M53" s="1243"/>
      <c r="N53" s="1243"/>
      <c r="O53" s="444"/>
      <c r="P53" s="277"/>
      <c r="Q53" s="291"/>
      <c r="R53" s="272"/>
      <c r="S53" s="1161"/>
      <c r="T53" s="281" t="s">
        <v>491</v>
      </c>
      <c r="U53" s="283"/>
      <c r="V53" s="283"/>
      <c r="W53" s="283"/>
      <c r="X53" s="283"/>
      <c r="Y53" s="283"/>
      <c r="Z53" s="283"/>
      <c r="AA53" s="283"/>
      <c r="AB53" s="283"/>
      <c r="AC53" s="282"/>
      <c r="AD53" s="283"/>
      <c r="AE53" s="283"/>
      <c r="AF53" s="283"/>
      <c r="AG53" s="283"/>
      <c r="AH53" s="283"/>
      <c r="AI53" s="283"/>
      <c r="AJ53" s="283"/>
      <c r="AK53" s="282"/>
      <c r="AL53" s="283"/>
      <c r="AM53" s="221"/>
      <c r="AO53" s="408"/>
      <c r="AP53" s="408" t="str">
        <f t="shared" si="1"/>
        <v>Добавить схему подключения</v>
      </c>
      <c r="AQ53" s="408"/>
      <c r="AR53" s="408"/>
    </row>
    <row r="54" spans="1:44" s="4853" customFormat="1" ht="0.75" customHeight="1">
      <c r="A54" s="1222" t="s">
        <v>209</v>
      </c>
      <c r="B54" s="1222" t="s">
        <v>210</v>
      </c>
      <c r="C54" s="1222" t="s">
        <v>211</v>
      </c>
      <c r="D54" s="1194"/>
      <c r="E54" s="5377"/>
      <c r="F54" s="5377"/>
      <c r="G54" s="5376"/>
      <c r="H54" s="1194"/>
      <c r="I54" s="1194"/>
      <c r="J54" s="1194"/>
      <c r="K54" s="1194"/>
      <c r="L54" s="1218"/>
      <c r="M54" s="1195"/>
      <c r="N54" s="1195"/>
      <c r="P54" s="1196"/>
      <c r="Q54" s="1197"/>
      <c r="R54" s="1196"/>
      <c r="S54" s="1202"/>
      <c r="T54" s="1205" t="s">
        <v>492</v>
      </c>
      <c r="U54" s="1204"/>
      <c r="V54" s="1204"/>
      <c r="W54" s="1204"/>
      <c r="X54" s="1204"/>
      <c r="Y54" s="1204"/>
      <c r="Z54" s="1204"/>
      <c r="AA54" s="1204"/>
      <c r="AB54" s="1204"/>
      <c r="AC54" s="1204"/>
      <c r="AD54" s="1204"/>
      <c r="AE54" s="1204"/>
      <c r="AF54" s="1204"/>
      <c r="AG54" s="1204"/>
      <c r="AH54" s="1204"/>
      <c r="AI54" s="1204"/>
      <c r="AJ54" s="1204"/>
      <c r="AK54" s="1204"/>
      <c r="AL54" s="1204"/>
      <c r="AM54" s="1204"/>
      <c r="AO54" s="688"/>
      <c r="AP54" s="688" t="str">
        <f t="shared" si="1"/>
        <v>Добавить источник для дифференциации</v>
      </c>
      <c r="AQ54" s="688"/>
      <c r="AR54" s="688"/>
    </row>
    <row r="55" spans="1:44" s="4853" customFormat="1" ht="0.75" customHeight="1">
      <c r="A55" s="1222" t="s">
        <v>209</v>
      </c>
      <c r="B55" s="1222" t="s">
        <v>210</v>
      </c>
      <c r="C55" s="1194"/>
      <c r="D55" s="1194"/>
      <c r="E55" s="5377"/>
      <c r="F55" s="5376"/>
      <c r="G55" s="1194"/>
      <c r="H55" s="1194"/>
      <c r="I55" s="1194"/>
      <c r="J55" s="1194"/>
      <c r="K55" s="1194"/>
      <c r="L55" s="1218"/>
      <c r="M55" s="1201"/>
      <c r="N55" s="1201"/>
      <c r="P55" s="1196"/>
      <c r="Q55" s="1197"/>
      <c r="R55" s="1196"/>
      <c r="S55" s="1202"/>
      <c r="T55" s="1205" t="s">
        <v>271</v>
      </c>
      <c r="U55" s="1204"/>
      <c r="V55" s="1204"/>
      <c r="W55" s="1204"/>
      <c r="X55" s="1204"/>
      <c r="Y55" s="1204"/>
      <c r="Z55" s="1204"/>
      <c r="AA55" s="1204"/>
      <c r="AB55" s="1204"/>
      <c r="AC55" s="1204"/>
      <c r="AD55" s="1204"/>
      <c r="AE55" s="1204"/>
      <c r="AF55" s="1204"/>
      <c r="AG55" s="1204"/>
      <c r="AH55" s="1204"/>
      <c r="AI55" s="1204"/>
      <c r="AJ55" s="1204"/>
      <c r="AK55" s="1204"/>
      <c r="AL55" s="1204"/>
      <c r="AM55" s="1204"/>
      <c r="AO55" s="688"/>
      <c r="AP55" s="688" t="str">
        <f t="shared" si="1"/>
        <v>Добавить централизованную систему для дифференциации</v>
      </c>
      <c r="AQ55" s="688"/>
      <c r="AR55" s="688"/>
    </row>
    <row r="56" spans="1:44" s="4856" customFormat="1" ht="0.75" customHeight="1">
      <c r="A56" s="1222" t="s">
        <v>209</v>
      </c>
      <c r="B56" s="1222"/>
      <c r="C56" s="1222"/>
      <c r="D56" s="1222"/>
      <c r="E56" s="5376"/>
      <c r="F56" s="1222"/>
      <c r="G56" s="1222"/>
      <c r="H56" s="1222"/>
      <c r="I56" s="1222"/>
      <c r="J56" s="1222"/>
      <c r="K56" s="1222"/>
      <c r="L56" s="1225"/>
      <c r="M56" s="1201"/>
      <c r="N56" s="1201"/>
      <c r="O56" s="426"/>
      <c r="P56" s="296"/>
      <c r="Q56" s="1223"/>
      <c r="R56" s="296"/>
      <c r="S56" s="1202"/>
      <c r="T56" s="1205" t="s">
        <v>330</v>
      </c>
      <c r="U56" s="1204"/>
      <c r="V56" s="1204"/>
      <c r="W56" s="1204"/>
      <c r="X56" s="1204"/>
      <c r="Y56" s="1204"/>
      <c r="Z56" s="1204"/>
      <c r="AA56" s="1204"/>
      <c r="AB56" s="1204"/>
      <c r="AC56" s="1204"/>
      <c r="AD56" s="1204"/>
      <c r="AE56" s="1204"/>
      <c r="AF56" s="1204"/>
      <c r="AG56" s="1204"/>
      <c r="AH56" s="1204"/>
      <c r="AI56" s="1204"/>
      <c r="AJ56" s="1204"/>
      <c r="AK56" s="1204"/>
      <c r="AL56" s="1204"/>
      <c r="AM56" s="1204"/>
      <c r="AO56" s="408"/>
      <c r="AP56" s="408" t="str">
        <f t="shared" si="1"/>
        <v>Добавить территорию для дифференциации</v>
      </c>
      <c r="AQ56" s="408"/>
      <c r="AR56" s="408"/>
    </row>
    <row r="57" spans="1:44" s="4853" customFormat="1" ht="0.75" customHeight="1">
      <c r="A57" s="1194"/>
      <c r="B57" s="1194"/>
      <c r="C57" s="1194"/>
      <c r="D57" s="1194"/>
      <c r="E57" s="1222"/>
      <c r="F57" s="1194"/>
      <c r="G57" s="1194"/>
      <c r="H57" s="1194"/>
      <c r="I57" s="1194"/>
      <c r="J57" s="1194"/>
      <c r="K57" s="1194"/>
      <c r="L57" s="1218"/>
      <c r="M57" s="1201"/>
      <c r="N57" s="1201"/>
      <c r="P57" s="1196"/>
      <c r="Q57" s="1197"/>
      <c r="R57" s="1196"/>
      <c r="S57" s="1202"/>
      <c r="T57" s="1205" t="s">
        <v>331</v>
      </c>
      <c r="U57" s="1204"/>
      <c r="V57" s="1204"/>
      <c r="W57" s="1204"/>
      <c r="X57" s="1204"/>
      <c r="Y57" s="1204"/>
      <c r="Z57" s="1204"/>
      <c r="AA57" s="1204"/>
      <c r="AB57" s="1204"/>
      <c r="AC57" s="1204"/>
      <c r="AD57" s="1204"/>
      <c r="AE57" s="1204"/>
      <c r="AF57" s="1204"/>
      <c r="AG57" s="1204"/>
      <c r="AH57" s="1204"/>
      <c r="AI57" s="1204"/>
      <c r="AJ57" s="1204"/>
      <c r="AK57" s="1204"/>
      <c r="AL57" s="1204"/>
      <c r="AM57" s="1204"/>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27" customHeight="1">
      <c r="O59" s="444"/>
      <c r="S59" s="1136"/>
      <c r="T59" s="5396"/>
      <c r="U59" s="5396"/>
      <c r="V59" s="5396"/>
      <c r="W59" s="5396"/>
      <c r="X59" s="5396"/>
      <c r="Y59" s="5396"/>
      <c r="Z59" s="5396"/>
      <c r="AA59" s="5396"/>
      <c r="AB59" s="5396"/>
      <c r="AC59" s="5396"/>
      <c r="AD59" s="5396"/>
      <c r="AE59" s="5396"/>
      <c r="AF59" s="5396"/>
      <c r="AG59" s="5396"/>
      <c r="AH59" s="5396"/>
      <c r="AI59" s="5396"/>
      <c r="AJ59" s="5396"/>
      <c r="AK59" s="5396"/>
      <c r="AL59" s="5396"/>
      <c r="AM59" s="5396"/>
    </row>
    <row r="60" spans="1:44" ht="75" customHeight="1">
      <c r="O60" s="444"/>
      <c r="T60" s="5396"/>
      <c r="U60" s="5396"/>
      <c r="V60" s="5396"/>
      <c r="W60" s="5396"/>
      <c r="X60" s="5396"/>
      <c r="Y60" s="5396"/>
      <c r="Z60" s="5396"/>
      <c r="AA60" s="5396"/>
      <c r="AB60" s="5396"/>
      <c r="AC60" s="5396"/>
      <c r="AD60" s="5396"/>
      <c r="AE60" s="5396"/>
      <c r="AF60" s="5396"/>
      <c r="AG60" s="5396"/>
      <c r="AH60" s="5396"/>
      <c r="AI60" s="5396"/>
      <c r="AJ60" s="5396"/>
      <c r="AK60" s="5396"/>
      <c r="AL60" s="5396"/>
      <c r="AM60" s="5396"/>
    </row>
    <row r="61" spans="1:44" ht="14.25" customHeight="1">
      <c r="O61" s="444"/>
    </row>
    <row r="62" spans="1:44" ht="18" customHeight="1">
      <c r="O62" s="444"/>
      <c r="S62" s="1136"/>
      <c r="T62" s="5396"/>
      <c r="U62" s="5396"/>
      <c r="V62" s="5396"/>
      <c r="W62" s="5396"/>
      <c r="X62" s="5396"/>
      <c r="Y62" s="5396"/>
      <c r="Z62" s="5396"/>
      <c r="AA62" s="5396"/>
      <c r="AB62" s="5396"/>
      <c r="AC62" s="5396"/>
      <c r="AD62" s="5396"/>
      <c r="AE62" s="5396"/>
      <c r="AF62" s="5396"/>
      <c r="AG62" s="5396"/>
      <c r="AH62" s="5396"/>
      <c r="AI62" s="5396"/>
      <c r="AJ62" s="5396"/>
      <c r="AK62" s="5396"/>
      <c r="AL62" s="5396"/>
      <c r="AM62" s="5396"/>
    </row>
    <row r="63" spans="1:44" ht="18" customHeight="1">
      <c r="O63" s="444"/>
      <c r="T63" s="5396"/>
      <c r="U63" s="5396"/>
      <c r="V63" s="5396"/>
      <c r="W63" s="5396"/>
      <c r="X63" s="5396"/>
      <c r="Y63" s="5396"/>
      <c r="Z63" s="5396"/>
      <c r="AA63" s="5396"/>
      <c r="AB63" s="5396"/>
      <c r="AC63" s="5396"/>
      <c r="AD63" s="5396"/>
      <c r="AE63" s="5396"/>
      <c r="AF63" s="5396"/>
      <c r="AG63" s="5396"/>
      <c r="AH63" s="5396"/>
      <c r="AI63" s="5396"/>
      <c r="AJ63" s="5396"/>
      <c r="AK63" s="5396"/>
      <c r="AL63" s="5396"/>
      <c r="AM63" s="5396"/>
    </row>
    <row r="64" spans="1:44" ht="38.25" customHeight="1">
      <c r="O64" s="444"/>
      <c r="S64" s="1136"/>
      <c r="T64" s="5396"/>
      <c r="U64" s="5396"/>
      <c r="V64" s="5396"/>
      <c r="W64" s="5396"/>
      <c r="X64" s="5396"/>
      <c r="Y64" s="5396"/>
      <c r="Z64" s="5396"/>
      <c r="AA64" s="5396"/>
      <c r="AB64" s="5396"/>
      <c r="AC64" s="5396"/>
      <c r="AD64" s="5396"/>
      <c r="AE64" s="5396"/>
      <c r="AF64" s="5396"/>
      <c r="AG64" s="5396"/>
      <c r="AH64" s="5396"/>
      <c r="AI64" s="5396"/>
      <c r="AJ64" s="5396"/>
      <c r="AK64" s="5396"/>
      <c r="AL64" s="5396"/>
      <c r="AM64" s="5396"/>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2" style="4854" hidden="1" customWidth="1"/>
    <col min="10" max="10" width="9.85546875" style="4854" hidden="1" customWidth="1"/>
    <col min="11" max="11" width="11.42578125" style="4854" hidden="1" customWidth="1"/>
    <col min="12" max="12" width="19.140625" style="4857" hidden="1" customWidth="1"/>
    <col min="13" max="14" width="12.28515625" style="4858" hidden="1" customWidth="1"/>
    <col min="15" max="15" width="23.42578125" style="4858" hidden="1" customWidth="1"/>
    <col min="16" max="16" width="3.7109375" style="4863" hidden="1" customWidth="1"/>
    <col min="17" max="18" width="3.7109375" style="4860" customWidth="1"/>
    <col min="19" max="19" width="12.7109375" style="4861" customWidth="1"/>
    <col min="20" max="20" width="32" style="4862" customWidth="1"/>
    <col min="21" max="21" width="0.140625" style="4862" customWidth="1"/>
    <col min="22" max="22" width="24.7109375" style="4862" hidden="1" customWidth="1"/>
    <col min="23" max="23" width="0.140625" style="4862" hidden="1" customWidth="1"/>
    <col min="24" max="25" width="24.7109375" style="4862" hidden="1" customWidth="1"/>
    <col min="26" max="26" width="11.7109375" style="4862" hidden="1" customWidth="1"/>
    <col min="27" max="27" width="3.7109375" style="4862" hidden="1" customWidth="1"/>
    <col min="28" max="28" width="11.7109375" style="4862" hidden="1" customWidth="1"/>
    <col min="29" max="29" width="8.5703125" style="4862" hidden="1" customWidth="1"/>
    <col min="30" max="30" width="24.7109375" style="4862" customWidth="1"/>
    <col min="31" max="31" width="0.140625" style="4862" customWidth="1"/>
    <col min="32" max="33" width="24.7109375" style="4862" customWidth="1"/>
    <col min="34" max="34" width="11.7109375" style="4862" customWidth="1"/>
    <col min="35" max="35" width="3.7109375" style="4862" customWidth="1"/>
    <col min="36" max="36" width="11.7109375" style="4862" customWidth="1"/>
    <col min="37" max="37" width="8.5703125" style="4862" hidden="1" customWidth="1"/>
    <col min="38" max="38" width="4.7109375" style="4862" customWidth="1"/>
    <col min="39" max="39" width="115.7109375" style="4862" customWidth="1"/>
    <col min="40" max="41" width="10.5703125" style="4856"/>
    <col min="42" max="42" width="11.140625" style="4856" customWidth="1"/>
    <col min="43" max="44" width="10.5703125" style="4856"/>
  </cols>
  <sheetData>
    <row r="1" spans="1:44" ht="14.25" hidden="1" customHeight="1">
      <c r="Y1" s="245"/>
      <c r="Z1" s="245"/>
      <c r="AG1" s="245"/>
      <c r="AH1" s="245"/>
    </row>
    <row r="2" spans="1:44" ht="21" hidden="1" customHeight="1">
      <c r="A2" s="1241"/>
      <c r="B2" s="1241"/>
      <c r="C2" s="1241"/>
      <c r="D2" s="1241"/>
      <c r="E2" s="5376">
        <v>1</v>
      </c>
      <c r="F2" s="1241"/>
      <c r="G2" s="1241"/>
      <c r="H2" s="1241"/>
      <c r="I2" s="1241"/>
      <c r="J2" s="1241"/>
      <c r="K2" s="1241"/>
      <c r="L2" s="1242"/>
      <c r="M2" s="1243"/>
      <c r="N2" s="1243"/>
      <c r="O2" s="1243"/>
      <c r="P2" s="278"/>
      <c r="Q2" s="277"/>
      <c r="R2" s="272"/>
      <c r="S2" s="1215" t="e">
        <f>INDEX(PT_DIFFERENTIATION_NUM_NTAR,MATCH(A2,PT_DIFFERENTIATION_NTAR_ID,0))</f>
        <v>#N/A</v>
      </c>
      <c r="T2" s="216" t="s">
        <v>141</v>
      </c>
      <c r="U2" s="218"/>
      <c r="V2" s="5362"/>
      <c r="W2" s="5363"/>
      <c r="X2" s="5363"/>
      <c r="Y2" s="5363"/>
      <c r="Z2" s="5363"/>
      <c r="AA2" s="5363"/>
      <c r="AB2" s="5363"/>
      <c r="AC2" s="5364"/>
      <c r="AD2" s="5362" t="e">
        <f>INDEX(PT_DIFFERENTIATION_NTAR,MATCH(A2,PT_DIFFERENTIATION_NTAR_ID,0))</f>
        <v>#N/A</v>
      </c>
      <c r="AE2" s="5363"/>
      <c r="AF2" s="5363"/>
      <c r="AG2" s="5363"/>
      <c r="AH2" s="5363"/>
      <c r="AI2" s="5363"/>
      <c r="AJ2" s="5363"/>
      <c r="AK2" s="5363"/>
      <c r="AL2" s="5364"/>
      <c r="AM2" s="1141" t="s">
        <v>474</v>
      </c>
      <c r="AO2" s="408"/>
      <c r="AP2" s="408" t="str">
        <f t="shared" ref="AP2:AP15" si="0">IF(T2="","",T2)</f>
        <v>Наименование тарифа</v>
      </c>
      <c r="AQ2" s="408"/>
      <c r="AR2" s="408"/>
    </row>
    <row r="3" spans="1:44" ht="21" hidden="1" customHeight="1">
      <c r="A3" s="1241"/>
      <c r="B3" s="1241"/>
      <c r="C3" s="1241"/>
      <c r="D3" s="1241"/>
      <c r="E3" s="5377"/>
      <c r="F3" s="5376">
        <v>1</v>
      </c>
      <c r="G3" s="1241"/>
      <c r="H3" s="1241"/>
      <c r="I3" s="1241"/>
      <c r="J3" s="1241"/>
      <c r="K3" s="1241"/>
      <c r="L3" s="1242"/>
      <c r="M3" s="1243"/>
      <c r="N3" s="1243"/>
      <c r="O3" s="1243"/>
      <c r="P3" s="1211"/>
      <c r="Q3" s="269"/>
      <c r="R3" s="270"/>
      <c r="S3" s="1215" t="e">
        <f>INDEX(PT_DIFFERENTIATION_NUM_TER,MATCH(B3,PT_DIFFERENTIATION_TER_ID,0))</f>
        <v>#N/A</v>
      </c>
      <c r="T3" s="226" t="s">
        <v>475</v>
      </c>
      <c r="U3" s="218"/>
      <c r="V3" s="5362"/>
      <c r="W3" s="5363"/>
      <c r="X3" s="5363"/>
      <c r="Y3" s="5363"/>
      <c r="Z3" s="5363"/>
      <c r="AA3" s="5363"/>
      <c r="AB3" s="5363"/>
      <c r="AC3" s="5364"/>
      <c r="AD3" s="5362" t="e">
        <f>INDEX(PT_DIFFERENTIATION_TER,MATCH(B3,PT_DIFFERENTIATION_TER_ID,0))</f>
        <v>#N/A</v>
      </c>
      <c r="AE3" s="5363"/>
      <c r="AF3" s="5363"/>
      <c r="AG3" s="5363"/>
      <c r="AH3" s="5363"/>
      <c r="AI3" s="5363"/>
      <c r="AJ3" s="5363"/>
      <c r="AK3" s="5363"/>
      <c r="AL3" s="5364"/>
      <c r="AM3" s="1141" t="s">
        <v>476</v>
      </c>
      <c r="AO3" s="408"/>
      <c r="AP3" s="408" t="str">
        <f t="shared" si="0"/>
        <v>Территория действия тарифа</v>
      </c>
      <c r="AQ3" s="408"/>
      <c r="AR3" s="408"/>
    </row>
    <row r="4" spans="1:44" ht="23.25" hidden="1" customHeight="1">
      <c r="A4" s="1241"/>
      <c r="B4" s="1241"/>
      <c r="C4" s="1241"/>
      <c r="D4" s="1241"/>
      <c r="E4" s="5377"/>
      <c r="F4" s="5377"/>
      <c r="G4" s="5376">
        <v>1</v>
      </c>
      <c r="H4" s="1241"/>
      <c r="I4" s="1241"/>
      <c r="J4" s="1241"/>
      <c r="K4" s="1241"/>
      <c r="L4" s="1242"/>
      <c r="M4" s="1243"/>
      <c r="N4" s="1243"/>
      <c r="O4" s="1243"/>
      <c r="P4" s="271"/>
      <c r="Q4" s="269"/>
      <c r="R4" s="270"/>
      <c r="S4" s="1215" t="e">
        <f>INDEX(PT_DIFFERENTIATION_NUM_CS,MATCH(C4,PT_DIFFERENTIATION_CS_ID,0))</f>
        <v>#N/A</v>
      </c>
      <c r="T4" s="227" t="s">
        <v>477</v>
      </c>
      <c r="U4" s="218"/>
      <c r="V4" s="5362"/>
      <c r="W4" s="5363"/>
      <c r="X4" s="5363"/>
      <c r="Y4" s="5363"/>
      <c r="Z4" s="5363"/>
      <c r="AA4" s="5363"/>
      <c r="AB4" s="5363"/>
      <c r="AC4" s="5364"/>
      <c r="AD4" s="5362" t="e">
        <f>INDEX(PT_DIFFERENTIATION_CS,MATCH(C4,PT_DIFFERENTIATION_CS_ID,0))</f>
        <v>#N/A</v>
      </c>
      <c r="AE4" s="5363"/>
      <c r="AF4" s="5363"/>
      <c r="AG4" s="5363"/>
      <c r="AH4" s="5363"/>
      <c r="AI4" s="5363"/>
      <c r="AJ4" s="5363"/>
      <c r="AK4" s="5363"/>
      <c r="AL4" s="5364"/>
      <c r="AM4" s="1141" t="s">
        <v>478</v>
      </c>
      <c r="AO4" s="408"/>
      <c r="AP4" s="408" t="str">
        <f t="shared" si="0"/>
        <v xml:space="preserve">Наименование системы теплоснабжения </v>
      </c>
      <c r="AQ4" s="408"/>
      <c r="AR4" s="408"/>
    </row>
    <row r="5" spans="1:44" ht="21" hidden="1" customHeight="1">
      <c r="A5" s="1241"/>
      <c r="B5" s="1241"/>
      <c r="C5" s="1241"/>
      <c r="D5" s="1241"/>
      <c r="E5" s="5377"/>
      <c r="F5" s="5377"/>
      <c r="G5" s="5377"/>
      <c r="H5" s="5376">
        <v>1</v>
      </c>
      <c r="I5" s="1241"/>
      <c r="J5" s="1241"/>
      <c r="K5" s="1241"/>
      <c r="L5" s="1242"/>
      <c r="M5" s="1243"/>
      <c r="N5" s="1243"/>
      <c r="O5" s="1243"/>
      <c r="P5" s="271"/>
      <c r="Q5" s="269"/>
      <c r="R5" s="270"/>
      <c r="S5" s="1215" t="e">
        <f>INDEX(PT_DIFFERENTIATION_NUM_IST_TE,MATCH(D5,PT_DIFFERENTIATION_IST_TE_ID,0))</f>
        <v>#N/A</v>
      </c>
      <c r="T5" s="228" t="s">
        <v>479</v>
      </c>
      <c r="U5" s="218"/>
      <c r="V5" s="5362"/>
      <c r="W5" s="5363"/>
      <c r="X5" s="5363"/>
      <c r="Y5" s="5363"/>
      <c r="Z5" s="5363"/>
      <c r="AA5" s="5363"/>
      <c r="AB5" s="5363"/>
      <c r="AC5" s="5364"/>
      <c r="AD5" s="5362" t="e">
        <f>INDEX(PT_DIFFERENTIATION_IST_TE,MATCH(D5,PT_DIFFERENTIATION_IST_TE_ID,0))</f>
        <v>#N/A</v>
      </c>
      <c r="AE5" s="5363"/>
      <c r="AF5" s="5363"/>
      <c r="AG5" s="5363"/>
      <c r="AH5" s="5363"/>
      <c r="AI5" s="5363"/>
      <c r="AJ5" s="5363"/>
      <c r="AK5" s="5363"/>
      <c r="AL5" s="5364"/>
      <c r="AM5" s="1141" t="s">
        <v>480</v>
      </c>
      <c r="AO5" s="408"/>
      <c r="AP5" s="408" t="str">
        <f t="shared" si="0"/>
        <v xml:space="preserve">Источник тепловой энергии  </v>
      </c>
      <c r="AQ5" s="408"/>
      <c r="AR5" s="408"/>
    </row>
    <row r="6" spans="1:44" ht="14.25" hidden="1" customHeight="1">
      <c r="A6" s="1241"/>
      <c r="B6" s="1241"/>
      <c r="C6" s="1241"/>
      <c r="D6" s="1241"/>
      <c r="E6" s="5377"/>
      <c r="F6" s="5377"/>
      <c r="G6" s="5377"/>
      <c r="H6" s="5377"/>
      <c r="I6" s="5374" t="e">
        <f>S5&amp;".1"</f>
        <v>#N/A</v>
      </c>
      <c r="J6" s="1241"/>
      <c r="K6" s="1241"/>
      <c r="L6" s="1242" t="s">
        <v>481</v>
      </c>
      <c r="M6" s="444"/>
      <c r="P6" s="5375">
        <v>1</v>
      </c>
      <c r="Q6" s="1210"/>
      <c r="R6" s="273"/>
      <c r="S6" s="931"/>
      <c r="T6" s="1261"/>
      <c r="U6" s="1262"/>
      <c r="V6" s="5405"/>
      <c r="W6" s="5406"/>
      <c r="X6" s="5406"/>
      <c r="Y6" s="5406"/>
      <c r="Z6" s="5406"/>
      <c r="AA6" s="5406"/>
      <c r="AB6" s="5406"/>
      <c r="AC6" s="5407"/>
      <c r="AD6" s="5405"/>
      <c r="AE6" s="5406"/>
      <c r="AF6" s="5406"/>
      <c r="AG6" s="5406"/>
      <c r="AH6" s="5406"/>
      <c r="AI6" s="5406"/>
      <c r="AJ6" s="5406"/>
      <c r="AK6" s="5406"/>
      <c r="AL6" s="5407"/>
      <c r="AM6" s="1263"/>
      <c r="AO6" s="408"/>
      <c r="AP6" s="408" t="str">
        <f t="shared" si="0"/>
        <v/>
      </c>
      <c r="AQ6" s="408"/>
      <c r="AR6" s="408"/>
    </row>
    <row r="7" spans="1:44" ht="21" hidden="1" customHeight="1">
      <c r="A7" s="1241"/>
      <c r="B7" s="1241"/>
      <c r="C7" s="1241"/>
      <c r="D7" s="1241"/>
      <c r="E7" s="5377"/>
      <c r="F7" s="5377"/>
      <c r="G7" s="5377"/>
      <c r="H7" s="5377"/>
      <c r="I7" s="5397"/>
      <c r="J7" s="5374" t="e">
        <f>I6&amp;".1"</f>
        <v>#N/A</v>
      </c>
      <c r="K7" s="1241"/>
      <c r="L7" s="1242" t="s">
        <v>484</v>
      </c>
      <c r="M7" s="444"/>
      <c r="N7" s="1244"/>
      <c r="P7" s="5375"/>
      <c r="Q7" s="5375">
        <v>1</v>
      </c>
      <c r="R7" s="274"/>
      <c r="S7" s="1215" t="e">
        <f>$J7</f>
        <v>#N/A</v>
      </c>
      <c r="T7" s="204" t="s">
        <v>485</v>
      </c>
      <c r="U7" s="218"/>
      <c r="V7" s="5365"/>
      <c r="W7" s="5366"/>
      <c r="X7" s="5366"/>
      <c r="Y7" s="5366"/>
      <c r="Z7" s="5366"/>
      <c r="AA7" s="5366"/>
      <c r="AB7" s="5366"/>
      <c r="AC7" s="5367"/>
      <c r="AD7" s="5365"/>
      <c r="AE7" s="5366"/>
      <c r="AF7" s="5366"/>
      <c r="AG7" s="5366"/>
      <c r="AH7" s="5366"/>
      <c r="AI7" s="5366"/>
      <c r="AJ7" s="5366"/>
      <c r="AK7" s="5366"/>
      <c r="AL7" s="5367"/>
      <c r="AM7" s="1141" t="s">
        <v>486</v>
      </c>
      <c r="AO7" s="408"/>
      <c r="AP7" s="408" t="str">
        <f t="shared" si="0"/>
        <v>Группа потребителей</v>
      </c>
      <c r="AQ7" s="408"/>
      <c r="AR7" s="408"/>
    </row>
    <row r="8" spans="1:44" ht="21" hidden="1" customHeight="1">
      <c r="A8" s="1241"/>
      <c r="B8" s="1241"/>
      <c r="C8" s="1241"/>
      <c r="D8" s="1241"/>
      <c r="E8" s="5377"/>
      <c r="F8" s="5377"/>
      <c r="G8" s="5377"/>
      <c r="H8" s="5377"/>
      <c r="I8" s="5397"/>
      <c r="J8" s="5397"/>
      <c r="K8" s="5374" t="e">
        <f>J7&amp;".1"</f>
        <v>#N/A</v>
      </c>
      <c r="L8" s="1242" t="s">
        <v>487</v>
      </c>
      <c r="M8" s="444"/>
      <c r="N8" s="1244"/>
      <c r="O8" s="1244"/>
      <c r="P8" s="5375"/>
      <c r="Q8" s="5375"/>
      <c r="R8" s="274">
        <v>1</v>
      </c>
      <c r="S8" s="1215" t="e">
        <f>$K8</f>
        <v>#N/A</v>
      </c>
      <c r="T8" s="1226"/>
      <c r="U8" s="218"/>
      <c r="V8" s="650"/>
      <c r="W8" s="243"/>
      <c r="X8" s="650"/>
      <c r="Y8" s="1140"/>
      <c r="Z8" s="5379"/>
      <c r="AA8" s="5225" t="s">
        <v>64</v>
      </c>
      <c r="AB8" s="5379"/>
      <c r="AC8" s="5225" t="s">
        <v>64</v>
      </c>
      <c r="AD8" s="650"/>
      <c r="AE8" s="243"/>
      <c r="AF8" s="650"/>
      <c r="AG8" s="1140"/>
      <c r="AH8" s="5379"/>
      <c r="AI8" s="5225" t="s">
        <v>64</v>
      </c>
      <c r="AJ8" s="5379"/>
      <c r="AK8" s="5225" t="s">
        <v>64</v>
      </c>
      <c r="AL8" s="243"/>
      <c r="AM8" s="5371" t="s">
        <v>488</v>
      </c>
      <c r="AN8" s="419" t="e">
        <f ca="1">STRCHECKDATE(V9:AL9)</f>
        <v>#NAME?</v>
      </c>
      <c r="AO8" s="408"/>
      <c r="AP8" s="408" t="str">
        <f t="shared" si="0"/>
        <v/>
      </c>
      <c r="AQ8" s="408"/>
      <c r="AR8" s="408"/>
    </row>
    <row r="9" spans="1:44" ht="0.75" hidden="1" customHeight="1">
      <c r="A9" s="1241"/>
      <c r="B9" s="1241"/>
      <c r="C9" s="1241"/>
      <c r="D9" s="1241"/>
      <c r="E9" s="5377"/>
      <c r="F9" s="5377"/>
      <c r="G9" s="5377"/>
      <c r="H9" s="5377"/>
      <c r="I9" s="5397"/>
      <c r="J9" s="5397"/>
      <c r="K9" s="5374"/>
      <c r="L9" s="1242"/>
      <c r="M9" s="444"/>
      <c r="N9" s="1244"/>
      <c r="O9" s="1244"/>
      <c r="P9" s="5375"/>
      <c r="Q9" s="5375"/>
      <c r="R9" s="274"/>
      <c r="S9" s="1221"/>
      <c r="T9" s="218"/>
      <c r="U9" s="218"/>
      <c r="V9" s="243"/>
      <c r="W9" s="243"/>
      <c r="X9" s="243"/>
      <c r="Y9" s="246" t="str">
        <f>Z8&amp;"-"&amp;AB8</f>
        <v>-</v>
      </c>
      <c r="Z9" s="5380"/>
      <c r="AA9" s="5225"/>
      <c r="AB9" s="5380"/>
      <c r="AC9" s="5225"/>
      <c r="AD9" s="243"/>
      <c r="AE9" s="243"/>
      <c r="AF9" s="243"/>
      <c r="AG9" s="246" t="str">
        <f>AH8&amp;"-"&amp;AJ8</f>
        <v>-</v>
      </c>
      <c r="AH9" s="5380"/>
      <c r="AI9" s="5225"/>
      <c r="AJ9" s="5380"/>
      <c r="AK9" s="5225"/>
      <c r="AL9" s="243"/>
      <c r="AM9" s="5372"/>
      <c r="AO9" s="408"/>
      <c r="AP9" s="408" t="str">
        <f t="shared" si="0"/>
        <v/>
      </c>
      <c r="AQ9" s="408"/>
      <c r="AR9" s="408"/>
    </row>
    <row r="10" spans="1:44" ht="15" hidden="1" customHeight="1">
      <c r="A10" s="1241"/>
      <c r="B10" s="1241"/>
      <c r="C10" s="1241"/>
      <c r="D10" s="1241"/>
      <c r="E10" s="5377"/>
      <c r="F10" s="5377"/>
      <c r="G10" s="5377"/>
      <c r="H10" s="5377"/>
      <c r="I10" s="5397"/>
      <c r="J10" s="5374"/>
      <c r="K10" s="1241"/>
      <c r="L10" s="1242"/>
      <c r="M10" s="444"/>
      <c r="N10" s="1244"/>
      <c r="P10" s="5375"/>
      <c r="Q10" s="5375"/>
      <c r="R10" s="273"/>
      <c r="S10" s="1161"/>
      <c r="T10" s="205" t="s">
        <v>489</v>
      </c>
      <c r="U10" s="283"/>
      <c r="V10" s="283"/>
      <c r="W10" s="283"/>
      <c r="X10" s="283"/>
      <c r="Y10" s="283"/>
      <c r="Z10" s="283"/>
      <c r="AA10" s="283"/>
      <c r="AB10" s="283"/>
      <c r="AC10" s="283"/>
      <c r="AD10" s="283"/>
      <c r="AE10" s="283"/>
      <c r="AF10" s="283"/>
      <c r="AG10" s="283"/>
      <c r="AH10" s="283"/>
      <c r="AI10" s="283"/>
      <c r="AJ10" s="283"/>
      <c r="AK10" s="283"/>
      <c r="AL10" s="242"/>
      <c r="AM10" s="5373"/>
      <c r="AO10" s="408"/>
      <c r="AP10" s="408" t="str">
        <f t="shared" si="0"/>
        <v>Добавить вид теплоносителя (параметры теплоносителя)</v>
      </c>
      <c r="AQ10" s="408"/>
      <c r="AR10" s="408"/>
    </row>
    <row r="11" spans="1:44" ht="15" hidden="1" customHeight="1">
      <c r="A11" s="1241"/>
      <c r="B11" s="1241"/>
      <c r="C11" s="1241"/>
      <c r="D11" s="1241"/>
      <c r="E11" s="5377"/>
      <c r="F11" s="5377"/>
      <c r="G11" s="5377"/>
      <c r="H11" s="5377"/>
      <c r="I11" s="5374"/>
      <c r="J11" s="1241"/>
      <c r="K11" s="1241"/>
      <c r="L11" s="1242"/>
      <c r="M11" s="444"/>
      <c r="P11" s="5375"/>
      <c r="Q11" s="1210"/>
      <c r="R11" s="273"/>
      <c r="S11" s="1161"/>
      <c r="T11" s="281" t="s">
        <v>490</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1"/>
      <c r="B12" s="1241"/>
      <c r="C12" s="1241"/>
      <c r="D12" s="1241"/>
      <c r="E12" s="5377"/>
      <c r="F12" s="5377"/>
      <c r="G12" s="5377"/>
      <c r="H12" s="5376"/>
      <c r="I12" s="1241"/>
      <c r="J12" s="1241"/>
      <c r="K12" s="1241"/>
      <c r="L12" s="1242"/>
      <c r="M12" s="1243"/>
      <c r="N12" s="1243"/>
      <c r="O12" s="444"/>
      <c r="P12" s="277"/>
      <c r="Q12" s="291"/>
      <c r="R12" s="272"/>
      <c r="S12" s="1264"/>
      <c r="T12" s="1265"/>
      <c r="U12" s="1266"/>
      <c r="V12" s="1266"/>
      <c r="W12" s="1266"/>
      <c r="X12" s="1266"/>
      <c r="Y12" s="1266"/>
      <c r="Z12" s="1266"/>
      <c r="AA12" s="1266"/>
      <c r="AB12" s="1266"/>
      <c r="AC12" s="1266"/>
      <c r="AD12" s="1266"/>
      <c r="AE12" s="1266"/>
      <c r="AF12" s="1266"/>
      <c r="AG12" s="1266"/>
      <c r="AH12" s="1266"/>
      <c r="AI12" s="1266"/>
      <c r="AJ12" s="1266"/>
      <c r="AK12" s="1266"/>
      <c r="AL12" s="1266"/>
      <c r="AM12" s="1267"/>
      <c r="AO12" s="408"/>
      <c r="AP12" s="408" t="str">
        <f t="shared" si="0"/>
        <v/>
      </c>
      <c r="AQ12" s="408"/>
      <c r="AR12" s="408"/>
    </row>
    <row r="13" spans="1:44" s="4853" customFormat="1" ht="0.75" hidden="1" customHeight="1">
      <c r="A13" s="1194"/>
      <c r="B13" s="1194"/>
      <c r="C13" s="1194"/>
      <c r="D13" s="1194"/>
      <c r="E13" s="5377"/>
      <c r="F13" s="5377"/>
      <c r="G13" s="5376"/>
      <c r="H13" s="1194"/>
      <c r="I13" s="1194"/>
      <c r="J13" s="1194"/>
      <c r="K13" s="1194"/>
      <c r="L13" s="1218"/>
      <c r="M13" s="1195"/>
      <c r="N13" s="1195"/>
      <c r="P13" s="1196"/>
      <c r="Q13" s="1197"/>
      <c r="R13" s="1196"/>
      <c r="S13" s="1198"/>
      <c r="T13" s="1199" t="s">
        <v>492</v>
      </c>
      <c r="U13" s="1200"/>
      <c r="V13" s="1200"/>
      <c r="W13" s="1200"/>
      <c r="X13" s="1200"/>
      <c r="Y13" s="1200"/>
      <c r="Z13" s="1200"/>
      <c r="AA13" s="1200"/>
      <c r="AB13" s="1200"/>
      <c r="AC13" s="1200"/>
      <c r="AD13" s="1200"/>
      <c r="AE13" s="1200"/>
      <c r="AF13" s="1200"/>
      <c r="AG13" s="1200"/>
      <c r="AH13" s="1200"/>
      <c r="AI13" s="1200"/>
      <c r="AJ13" s="1200"/>
      <c r="AK13" s="1200"/>
      <c r="AL13" s="1200"/>
      <c r="AM13" s="1200"/>
      <c r="AO13" s="688"/>
      <c r="AP13" s="688" t="str">
        <f t="shared" si="0"/>
        <v>Добавить источник для дифференциации</v>
      </c>
      <c r="AQ13" s="688"/>
      <c r="AR13" s="688"/>
    </row>
    <row r="14" spans="1:44" s="4853" customFormat="1" ht="0.75" hidden="1" customHeight="1">
      <c r="A14" s="1194"/>
      <c r="B14" s="1194"/>
      <c r="C14" s="1194"/>
      <c r="D14" s="1194"/>
      <c r="E14" s="5377"/>
      <c r="F14" s="5376"/>
      <c r="G14" s="1194"/>
      <c r="H14" s="1194"/>
      <c r="I14" s="1194"/>
      <c r="J14" s="1194"/>
      <c r="K14" s="1194"/>
      <c r="L14" s="1218"/>
      <c r="M14" s="1201"/>
      <c r="N14" s="1201"/>
      <c r="P14" s="1196"/>
      <c r="Q14" s="1197"/>
      <c r="R14" s="1196"/>
      <c r="S14" s="1202"/>
      <c r="T14" s="1203" t="s">
        <v>271</v>
      </c>
      <c r="U14" s="1204"/>
      <c r="V14" s="1204"/>
      <c r="W14" s="1204"/>
      <c r="X14" s="1204"/>
      <c r="Y14" s="1204"/>
      <c r="Z14" s="1204"/>
      <c r="AA14" s="1204"/>
      <c r="AB14" s="1204"/>
      <c r="AC14" s="1204"/>
      <c r="AD14" s="1204"/>
      <c r="AE14" s="1204"/>
      <c r="AF14" s="1204"/>
      <c r="AG14" s="1204"/>
      <c r="AH14" s="1204"/>
      <c r="AI14" s="1204"/>
      <c r="AJ14" s="1204"/>
      <c r="AK14" s="1204"/>
      <c r="AL14" s="1204"/>
      <c r="AM14" s="1204"/>
      <c r="AO14" s="688"/>
      <c r="AP14" s="688" t="str">
        <f t="shared" si="0"/>
        <v>Добавить централизованную систему для дифференциации</v>
      </c>
      <c r="AQ14" s="688"/>
      <c r="AR14" s="688"/>
    </row>
    <row r="15" spans="1:44" s="4853" customFormat="1" ht="0.75" hidden="1" customHeight="1">
      <c r="A15" s="1194"/>
      <c r="B15" s="1194"/>
      <c r="C15" s="1194"/>
      <c r="D15" s="1194"/>
      <c r="E15" s="5376"/>
      <c r="F15" s="1194"/>
      <c r="G15" s="1194"/>
      <c r="H15" s="1194"/>
      <c r="I15" s="1194"/>
      <c r="J15" s="1194"/>
      <c r="K15" s="1194"/>
      <c r="L15" s="1218"/>
      <c r="M15" s="1201"/>
      <c r="N15" s="1201"/>
      <c r="P15" s="1196"/>
      <c r="Q15" s="1197"/>
      <c r="R15" s="1196"/>
      <c r="S15" s="1202"/>
      <c r="T15" s="1205" t="s">
        <v>330</v>
      </c>
      <c r="U15" s="1204"/>
      <c r="V15" s="1204"/>
      <c r="W15" s="1204"/>
      <c r="X15" s="1204"/>
      <c r="Y15" s="1204"/>
      <c r="Z15" s="1204"/>
      <c r="AA15" s="1204"/>
      <c r="AB15" s="1204"/>
      <c r="AC15" s="1204"/>
      <c r="AD15" s="1204"/>
      <c r="AE15" s="1204"/>
      <c r="AF15" s="1204"/>
      <c r="AG15" s="1204"/>
      <c r="AH15" s="1204"/>
      <c r="AI15" s="1204"/>
      <c r="AJ15" s="1204"/>
      <c r="AK15" s="1204"/>
      <c r="AL15" s="1204"/>
      <c r="AM15" s="1204"/>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8"/>
      <c r="AE17" s="1238"/>
      <c r="AF17" s="1238"/>
      <c r="AG17" s="1239"/>
      <c r="AH17" s="5381"/>
      <c r="AI17" s="5382" t="s">
        <v>64</v>
      </c>
      <c r="AJ17" s="5381"/>
      <c r="AK17" s="5382" t="s">
        <v>64</v>
      </c>
    </row>
    <row r="18" spans="1:44" ht="14.25" hidden="1" customHeight="1">
      <c r="AD18" s="1238"/>
      <c r="AE18" s="1238"/>
      <c r="AF18" s="1238"/>
      <c r="AG18" s="246" t="str">
        <f>AH17&amp;"-"&amp;AJ17</f>
        <v>-</v>
      </c>
      <c r="AH18" s="5382"/>
      <c r="AI18" s="5382"/>
      <c r="AJ18" s="5382"/>
      <c r="AK18" s="5382"/>
    </row>
    <row r="19" spans="1:44" ht="14.25" hidden="1" customHeight="1">
      <c r="AK19" s="245"/>
    </row>
    <row r="20" spans="1:44" s="4854" customFormat="1" ht="22.5" hidden="1" customHeight="1">
      <c r="L20" s="1208"/>
      <c r="M20" s="1240"/>
      <c r="N20" s="1240"/>
      <c r="O20" s="1245" t="s">
        <v>493</v>
      </c>
      <c r="P20" s="1240"/>
      <c r="Q20" s="1249"/>
      <c r="R20" s="1249"/>
      <c r="S20" s="630"/>
      <c r="Z20" s="1245"/>
      <c r="AB20" s="1245"/>
      <c r="AC20" s="1244"/>
      <c r="AH20" s="1245"/>
      <c r="AJ20" s="1245"/>
      <c r="AK20" s="1244"/>
      <c r="AN20" s="419"/>
      <c r="AO20" s="419"/>
      <c r="AP20" s="419"/>
      <c r="AQ20" s="419"/>
      <c r="AR20" s="419"/>
    </row>
    <row r="21" spans="1:44" s="4854" customFormat="1" ht="14.25" hidden="1" customHeight="1">
      <c r="L21" s="1208"/>
      <c r="M21" s="1240"/>
      <c r="N21" s="1240"/>
      <c r="O21" s="1240"/>
      <c r="P21" s="1240"/>
      <c r="Q21" s="1249"/>
      <c r="R21" s="1249"/>
      <c r="S21" s="630"/>
      <c r="AC21" s="1244"/>
      <c r="AK21" s="1244"/>
      <c r="AN21" s="419"/>
      <c r="AO21" s="419"/>
      <c r="AP21" s="419"/>
      <c r="AQ21" s="419"/>
      <c r="AR21" s="419"/>
    </row>
    <row r="22" spans="1:44" s="4854" customFormat="1" ht="14.25" hidden="1" customHeight="1">
      <c r="L22" s="1208"/>
      <c r="M22" s="1240"/>
      <c r="N22" s="1240"/>
      <c r="O22" s="1242" t="s">
        <v>494</v>
      </c>
      <c r="P22" s="1240"/>
      <c r="Q22" s="1249"/>
      <c r="R22" s="1249"/>
      <c r="S22" s="630"/>
      <c r="T22" s="1042" t="s">
        <v>495</v>
      </c>
      <c r="AA22" s="108" t="s">
        <v>496</v>
      </c>
      <c r="AC22" s="108" t="s">
        <v>497</v>
      </c>
      <c r="AD22" s="1042" t="s">
        <v>495</v>
      </c>
      <c r="AI22" s="108" t="s">
        <v>498</v>
      </c>
      <c r="AK22" s="108" t="s">
        <v>497</v>
      </c>
      <c r="AN22" s="419"/>
      <c r="AO22" s="419"/>
      <c r="AP22" s="419"/>
      <c r="AQ22" s="419"/>
      <c r="AR22" s="419"/>
    </row>
    <row r="23" spans="1:44" ht="14.25" hidden="1" customHeight="1">
      <c r="O23" s="1242"/>
    </row>
    <row r="24" spans="1:44" ht="14.25" hidden="1" customHeight="1">
      <c r="O24" s="1242"/>
    </row>
    <row r="25" spans="1:44" ht="14.25" customHeight="1">
      <c r="Q25" s="292"/>
      <c r="R25" s="292"/>
      <c r="S25" s="1158"/>
      <c r="T25" s="280"/>
      <c r="U25" s="280"/>
      <c r="V25" s="417"/>
      <c r="W25" s="417"/>
      <c r="X25" s="417"/>
      <c r="Y25" s="417"/>
      <c r="Z25" s="417"/>
      <c r="AA25" s="417"/>
      <c r="AB25" s="417"/>
      <c r="AC25" s="417"/>
      <c r="AD25" s="417"/>
      <c r="AE25" s="417"/>
      <c r="AF25" s="417"/>
      <c r="AG25" s="417"/>
      <c r="AH25" s="417"/>
      <c r="AI25" s="417"/>
      <c r="AJ25" s="417"/>
      <c r="AK25" s="417"/>
    </row>
    <row r="26" spans="1:44" ht="51" customHeight="1">
      <c r="Q26" s="292"/>
      <c r="R26" s="292"/>
      <c r="S26" s="536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360"/>
      <c r="U26" s="5360"/>
      <c r="V26" s="5360"/>
      <c r="W26" s="5360"/>
      <c r="X26" s="5360"/>
      <c r="Y26" s="5360"/>
      <c r="Z26" s="5360"/>
      <c r="AA26" s="5360"/>
      <c r="AB26" s="5360"/>
      <c r="AC26" s="5360"/>
      <c r="AD26" s="5360"/>
      <c r="AE26" s="5360"/>
      <c r="AF26" s="5360"/>
      <c r="AG26" s="5360"/>
      <c r="AH26" s="5360"/>
      <c r="AI26" s="5360"/>
      <c r="AJ26" s="5360"/>
      <c r="AK26" s="1126"/>
    </row>
    <row r="27" spans="1:44" ht="14.25" customHeight="1">
      <c r="Q27" s="292"/>
      <c r="R27" s="292"/>
      <c r="S27" s="5308" t="str">
        <f>IF(org=0,"Не определено",org)</f>
        <v>ООО «Газпром теплоэнерго МО»</v>
      </c>
      <c r="T27" s="5308"/>
      <c r="U27" s="5308"/>
      <c r="V27" s="5308"/>
      <c r="W27" s="5308"/>
      <c r="X27" s="5308"/>
      <c r="Y27" s="5308"/>
      <c r="Z27" s="5308"/>
      <c r="AA27" s="5308"/>
      <c r="AB27" s="5308"/>
      <c r="AC27" s="5308"/>
      <c r="AD27" s="5308"/>
      <c r="AE27" s="5308"/>
      <c r="AF27" s="5308"/>
      <c r="AG27" s="5308"/>
      <c r="AH27" s="5308"/>
      <c r="AI27" s="5308"/>
      <c r="AJ27" s="5308"/>
      <c r="AK27" s="1126"/>
    </row>
    <row r="28" spans="1:44" ht="14.25" customHeight="1">
      <c r="Q28" s="292"/>
      <c r="R28" s="292"/>
      <c r="S28" s="1158"/>
      <c r="T28" s="280"/>
      <c r="U28" s="280"/>
      <c r="V28" s="240"/>
      <c r="W28" s="240"/>
      <c r="X28" s="240"/>
      <c r="Y28" s="240"/>
      <c r="Z28" s="240"/>
      <c r="AA28" s="240"/>
      <c r="AB28" s="240"/>
      <c r="AC28" s="240"/>
      <c r="AD28" s="240"/>
      <c r="AE28" s="240"/>
      <c r="AF28" s="240"/>
      <c r="AG28" s="240"/>
      <c r="AH28" s="240"/>
      <c r="AI28" s="240"/>
      <c r="AJ28" s="240"/>
      <c r="AK28" s="240"/>
      <c r="AL28" s="417"/>
    </row>
    <row r="29" spans="1:44" s="4855" customFormat="1" ht="25.5" customHeight="1">
      <c r="A29" s="1246"/>
      <c r="B29" s="1246"/>
      <c r="C29" s="1246"/>
      <c r="D29" s="1246"/>
      <c r="E29" s="1246"/>
      <c r="F29" s="1246"/>
      <c r="G29" s="1246"/>
      <c r="H29" s="1246"/>
      <c r="I29" s="1246"/>
      <c r="J29" s="1246"/>
      <c r="K29" s="1246"/>
      <c r="L29" s="1247"/>
      <c r="M29" s="1246"/>
      <c r="N29" s="1246"/>
      <c r="O29" s="1246"/>
      <c r="S29" s="5368" t="s">
        <v>38</v>
      </c>
      <c r="T29" s="5368"/>
      <c r="U29" s="1250"/>
      <c r="V29" s="5369" t="str">
        <f>IF(TITLE_NAME_OR_PR_CHANGE="",IF(TITLE_NAME_OR_PR="","",TITLE_NAME_OR_PR),TITLE_NAME_OR_PR_CHANGE)</f>
        <v>Комитет по ценам и тарифам Московской области</v>
      </c>
      <c r="W29" s="5369"/>
      <c r="X29" s="5369"/>
      <c r="Y29" s="5369"/>
      <c r="Z29" s="5369"/>
      <c r="AA29" s="5369"/>
      <c r="AB29" s="5369"/>
      <c r="AC29" s="244"/>
      <c r="AD29" s="5369" t="str">
        <f>IF(TITLE_NAME_OR_PR_CHANGE="",IF(TITLE_NAME_OR_PR="","",TITLE_NAME_OR_PR),TITLE_NAME_OR_PR_CHANGE)</f>
        <v>Комитет по ценам и тарифам Московской области</v>
      </c>
      <c r="AE29" s="5369"/>
      <c r="AF29" s="5369"/>
      <c r="AG29" s="5369"/>
      <c r="AH29" s="5369"/>
      <c r="AI29" s="5369"/>
      <c r="AJ29" s="5369"/>
      <c r="AK29" s="244"/>
      <c r="AL29" s="244"/>
      <c r="AM29" s="199"/>
      <c r="AN29" s="284"/>
      <c r="AO29" s="284"/>
      <c r="AP29" s="284"/>
      <c r="AQ29" s="284"/>
      <c r="AR29" s="284"/>
    </row>
    <row r="30" spans="1:44" s="4855" customFormat="1" ht="18.75" customHeight="1">
      <c r="A30" s="1246"/>
      <c r="B30" s="1246"/>
      <c r="C30" s="1246"/>
      <c r="D30" s="1246"/>
      <c r="E30" s="1246"/>
      <c r="F30" s="1246"/>
      <c r="G30" s="1246"/>
      <c r="H30" s="1246"/>
      <c r="I30" s="1246"/>
      <c r="J30" s="1246"/>
      <c r="K30" s="1246"/>
      <c r="L30" s="1247"/>
      <c r="M30" s="1246"/>
      <c r="N30" s="1246"/>
      <c r="O30" s="1246"/>
      <c r="S30" s="5368" t="s">
        <v>499</v>
      </c>
      <c r="T30" s="5368"/>
      <c r="U30" s="1250"/>
      <c r="V30" s="5378">
        <f>IF(TITLE_DATE_PR_CHANGE="",IF(TITLE_DATE_PR="","",TITLE_DATE_PR),TITLE_DATE_PR_CHANGE)</f>
        <v>45280</v>
      </c>
      <c r="W30" s="5378"/>
      <c r="X30" s="5378"/>
      <c r="Y30" s="5378"/>
      <c r="Z30" s="5378"/>
      <c r="AA30" s="5378"/>
      <c r="AB30" s="5378"/>
      <c r="AC30" s="244"/>
      <c r="AD30" s="5378">
        <f>IF(TITLE_DATE_PR_CHANGE="",IF(TITLE_DATE_PR="","",TITLE_DATE_PR),TITLE_DATE_PR_CHANGE)</f>
        <v>45280</v>
      </c>
      <c r="AE30" s="5378"/>
      <c r="AF30" s="5378"/>
      <c r="AG30" s="5378"/>
      <c r="AH30" s="5378"/>
      <c r="AI30" s="5378"/>
      <c r="AJ30" s="5378"/>
      <c r="AK30" s="244"/>
      <c r="AL30" s="244"/>
      <c r="AM30" s="199"/>
      <c r="AN30" s="284"/>
      <c r="AO30" s="284"/>
      <c r="AP30" s="284"/>
      <c r="AQ30" s="284"/>
      <c r="AR30" s="284"/>
    </row>
    <row r="31" spans="1:44" s="4855" customFormat="1" ht="18.75" customHeight="1">
      <c r="A31" s="1246"/>
      <c r="B31" s="1246"/>
      <c r="C31" s="1246"/>
      <c r="D31" s="1246"/>
      <c r="E31" s="1246"/>
      <c r="F31" s="1246"/>
      <c r="G31" s="1246"/>
      <c r="H31" s="1246"/>
      <c r="I31" s="1246"/>
      <c r="J31" s="1246"/>
      <c r="K31" s="1246"/>
      <c r="L31" s="1247"/>
      <c r="M31" s="1246"/>
      <c r="N31" s="1246"/>
      <c r="O31" s="1246"/>
      <c r="S31" s="5368" t="s">
        <v>500</v>
      </c>
      <c r="T31" s="5368"/>
      <c r="U31" s="1250"/>
      <c r="V31" s="5369" t="str">
        <f>IF(TITLE_NUMBER_PR_CHANGE="",IF(TITLE_NUMBER_PR="","",TITLE_NUMBER_PR),TITLE_NUMBER_PR_CHANGE)</f>
        <v>317-Р</v>
      </c>
      <c r="W31" s="5369"/>
      <c r="X31" s="5369"/>
      <c r="Y31" s="5369"/>
      <c r="Z31" s="5369"/>
      <c r="AA31" s="5369"/>
      <c r="AB31" s="5369"/>
      <c r="AC31" s="244"/>
      <c r="AD31" s="5369" t="str">
        <f>IF(TITLE_NUMBER_PR_CHANGE="",IF(TITLE_NUMBER_PR="","",TITLE_NUMBER_PR),TITLE_NUMBER_PR_CHANGE)</f>
        <v>317-Р</v>
      </c>
      <c r="AE31" s="5369"/>
      <c r="AF31" s="5369"/>
      <c r="AG31" s="5369"/>
      <c r="AH31" s="5369"/>
      <c r="AI31" s="5369"/>
      <c r="AJ31" s="5369"/>
      <c r="AK31" s="244"/>
      <c r="AL31" s="244"/>
      <c r="AM31" s="199"/>
      <c r="AN31" s="284"/>
      <c r="AO31" s="284"/>
      <c r="AP31" s="284"/>
      <c r="AQ31" s="284"/>
      <c r="AR31" s="284"/>
    </row>
    <row r="32" spans="1:44" s="4855" customFormat="1" ht="18.75" customHeight="1">
      <c r="A32" s="1246"/>
      <c r="B32" s="1246"/>
      <c r="C32" s="1246"/>
      <c r="D32" s="1246"/>
      <c r="E32" s="1246"/>
      <c r="F32" s="1246"/>
      <c r="G32" s="1246"/>
      <c r="H32" s="1246"/>
      <c r="I32" s="1246"/>
      <c r="J32" s="1246"/>
      <c r="K32" s="1246"/>
      <c r="L32" s="1247"/>
      <c r="M32" s="1246"/>
      <c r="N32" s="1246"/>
      <c r="O32" s="1246"/>
      <c r="S32" s="5368" t="s">
        <v>40</v>
      </c>
      <c r="T32" s="5368"/>
      <c r="U32" s="1250"/>
      <c r="V32" s="5369" t="str">
        <f>IF(TITLE_IST_PUB_CHANGE="",IF(TITLE_IST_PUB="","",TITLE_IST_PUB),TITLE_IST_PUB_CHANGE)</f>
        <v>https://ktc.mosreg.ru/dokumenty/normotvorchestvo/rasporyazheniya/gosudarstvennoe-regulirovanie-tarifov-na-teplovuyu-energiyu-raspor/29-12-2023-16-47-50-rasporyazhenie-komiteta-po-tsenam-i-tarifam-moskov</v>
      </c>
      <c r="W32" s="5369"/>
      <c r="X32" s="5369"/>
      <c r="Y32" s="5369"/>
      <c r="Z32" s="5369"/>
      <c r="AA32" s="5369"/>
      <c r="AB32" s="5369"/>
      <c r="AC32" s="244"/>
      <c r="AD32" s="5369" t="str">
        <f>IF(TITLE_IST_PUB_CHANGE="",IF(TITLE_IST_PUB="","",TITLE_IST_PUB),TITLE_IST_PUB_CHANGE)</f>
        <v>https://ktc.mosreg.ru/dokumenty/normotvorchestvo/rasporyazheniya/gosudarstvennoe-regulirovanie-tarifov-na-teplovuyu-energiyu-raspor/29-12-2023-16-47-50-rasporyazhenie-komiteta-po-tsenam-i-tarifam-moskov</v>
      </c>
      <c r="AE32" s="5369"/>
      <c r="AF32" s="5369"/>
      <c r="AG32" s="5369"/>
      <c r="AH32" s="5369"/>
      <c r="AI32" s="5369"/>
      <c r="AJ32" s="5369"/>
      <c r="AK32" s="244"/>
      <c r="AL32" s="244"/>
      <c r="AM32" s="199"/>
      <c r="AN32" s="284"/>
      <c r="AO32" s="284"/>
      <c r="AP32" s="284"/>
      <c r="AQ32" s="284"/>
      <c r="AR32" s="284"/>
    </row>
    <row r="33" spans="1:44" ht="14.25" hidden="1" customHeight="1">
      <c r="Q33" s="292"/>
      <c r="R33" s="292"/>
      <c r="S33" s="1158"/>
      <c r="T33" s="280"/>
      <c r="U33" s="280"/>
      <c r="V33" s="240"/>
      <c r="W33" s="240"/>
      <c r="X33" s="240"/>
      <c r="Y33" s="240"/>
      <c r="Z33" s="240"/>
      <c r="AA33" s="240"/>
      <c r="AB33" s="240"/>
      <c r="AC33" s="240"/>
      <c r="AD33" s="240"/>
      <c r="AE33" s="240"/>
      <c r="AF33" s="240"/>
      <c r="AG33" s="240"/>
      <c r="AH33" s="240"/>
      <c r="AI33" s="240"/>
      <c r="AJ33" s="240"/>
      <c r="AK33" s="240"/>
      <c r="AL33" s="417"/>
    </row>
    <row r="34" spans="1:44" s="4855" customFormat="1" ht="18.75" hidden="1" customHeight="1">
      <c r="A34" s="1246"/>
      <c r="B34" s="1246"/>
      <c r="C34" s="1246"/>
      <c r="D34" s="1246"/>
      <c r="E34" s="1246"/>
      <c r="F34" s="1246"/>
      <c r="G34" s="1246"/>
      <c r="H34" s="1246"/>
      <c r="I34" s="1246"/>
      <c r="J34" s="1246"/>
      <c r="K34" s="1246"/>
      <c r="L34" s="1247"/>
      <c r="M34" s="1246"/>
      <c r="N34" s="1246"/>
      <c r="O34" s="1246"/>
      <c r="S34" s="5368" t="s">
        <v>501</v>
      </c>
      <c r="T34" s="5368"/>
      <c r="U34" s="1250"/>
      <c r="V34" s="5378">
        <f>IF(TITLE_DATE_PR_CHANGE="",IF(TITLE_DATE_PR="","",TITLE_DATE_PR),TITLE_DATE_PR_CHANGE)</f>
        <v>45280</v>
      </c>
      <c r="W34" s="5378"/>
      <c r="X34" s="5378"/>
      <c r="Y34" s="5378"/>
      <c r="Z34" s="5378"/>
      <c r="AA34" s="5378"/>
      <c r="AB34" s="5378"/>
      <c r="AC34" s="244"/>
      <c r="AD34" s="5378">
        <f>IF(TITLE_DATE_PR_CHANGE="",IF(TITLE_DATE_PR="","",TITLE_DATE_PR),TITLE_DATE_PR_CHANGE)</f>
        <v>45280</v>
      </c>
      <c r="AE34" s="5378"/>
      <c r="AF34" s="5378"/>
      <c r="AG34" s="5378"/>
      <c r="AH34" s="5378"/>
      <c r="AI34" s="5378"/>
      <c r="AJ34" s="5378"/>
      <c r="AK34" s="244"/>
      <c r="AL34" s="244"/>
      <c r="AM34" s="199"/>
      <c r="AN34" s="284"/>
      <c r="AO34" s="284"/>
      <c r="AP34" s="284"/>
      <c r="AQ34" s="284"/>
      <c r="AR34" s="284"/>
    </row>
    <row r="35" spans="1:44" s="4855" customFormat="1" ht="18.75" hidden="1" customHeight="1">
      <c r="A35" s="1246"/>
      <c r="B35" s="1246"/>
      <c r="C35" s="1246"/>
      <c r="D35" s="1246"/>
      <c r="E35" s="1246"/>
      <c r="F35" s="1246"/>
      <c r="G35" s="1246"/>
      <c r="H35" s="1246"/>
      <c r="I35" s="1246"/>
      <c r="J35" s="1246"/>
      <c r="K35" s="1246"/>
      <c r="L35" s="1247"/>
      <c r="M35" s="1246"/>
      <c r="N35" s="1246"/>
      <c r="O35" s="1246"/>
      <c r="S35" s="5368" t="s">
        <v>502</v>
      </c>
      <c r="T35" s="5368"/>
      <c r="U35" s="1250"/>
      <c r="V35" s="5369" t="str">
        <f>IF(TITLE_NUMBER_PR_CHANGE="",IF(TITLE_NUMBER_PR="","",TITLE_NUMBER_PR),TITLE_NUMBER_PR_CHANGE)</f>
        <v>317-Р</v>
      </c>
      <c r="W35" s="5369"/>
      <c r="X35" s="5369"/>
      <c r="Y35" s="5369"/>
      <c r="Z35" s="5369"/>
      <c r="AA35" s="5369"/>
      <c r="AB35" s="5369"/>
      <c r="AC35" s="244"/>
      <c r="AD35" s="5369" t="str">
        <f>IF(TITLE_NUMBER_PR_CHANGE="",IF(TITLE_NUMBER_PR="","",TITLE_NUMBER_PR),TITLE_NUMBER_PR_CHANGE)</f>
        <v>317-Р</v>
      </c>
      <c r="AE35" s="5369"/>
      <c r="AF35" s="5369"/>
      <c r="AG35" s="5369"/>
      <c r="AH35" s="5369"/>
      <c r="AI35" s="5369"/>
      <c r="AJ35" s="5369"/>
      <c r="AK35" s="244"/>
      <c r="AL35" s="244"/>
      <c r="AM35" s="199"/>
      <c r="AN35" s="284"/>
      <c r="AO35" s="284"/>
      <c r="AP35" s="284"/>
      <c r="AQ35" s="284"/>
      <c r="AR35" s="284"/>
    </row>
    <row r="36" spans="1:44" s="4855" customFormat="1" ht="0" hidden="1" customHeight="1">
      <c r="A36" s="1246"/>
      <c r="B36" s="1246"/>
      <c r="C36" s="1246"/>
      <c r="D36" s="1246"/>
      <c r="E36" s="1246"/>
      <c r="F36" s="1246"/>
      <c r="G36" s="1246"/>
      <c r="H36" s="1246"/>
      <c r="I36" s="1246"/>
      <c r="J36" s="1246"/>
      <c r="K36" s="1246"/>
      <c r="L36" s="1247"/>
      <c r="M36" s="1246"/>
      <c r="N36" s="1246"/>
      <c r="O36" s="1246"/>
      <c r="S36" s="241"/>
      <c r="T36" s="241"/>
      <c r="U36" s="1219"/>
      <c r="V36" s="244"/>
      <c r="W36" s="244"/>
      <c r="X36" s="244"/>
      <c r="Y36" s="244"/>
      <c r="Z36" s="244"/>
      <c r="AA36" s="244"/>
      <c r="AB36" s="244"/>
      <c r="AC36" s="197" t="s">
        <v>503</v>
      </c>
      <c r="AD36" s="244"/>
      <c r="AE36" s="244"/>
      <c r="AF36" s="244"/>
      <c r="AG36" s="244"/>
      <c r="AH36" s="244"/>
      <c r="AI36" s="244"/>
      <c r="AJ36" s="244"/>
      <c r="AK36" s="197" t="s">
        <v>503</v>
      </c>
      <c r="AN36" s="284"/>
      <c r="AO36" s="284"/>
      <c r="AP36" s="284"/>
      <c r="AQ36" s="284"/>
      <c r="AR36" s="284"/>
    </row>
    <row r="37" spans="1:44" ht="14.25" customHeight="1">
      <c r="Q37" s="292"/>
      <c r="R37" s="292"/>
      <c r="S37" s="1158"/>
      <c r="T37" s="280"/>
      <c r="U37" s="1127"/>
      <c r="V37" s="5370"/>
      <c r="W37" s="5370"/>
      <c r="X37" s="5370"/>
      <c r="Y37" s="5370"/>
      <c r="Z37" s="5370"/>
      <c r="AA37" s="5370"/>
      <c r="AB37" s="5370"/>
      <c r="AC37" s="5370"/>
      <c r="AD37" s="5370"/>
      <c r="AE37" s="5370"/>
      <c r="AF37" s="5370"/>
      <c r="AG37" s="5370"/>
      <c r="AH37" s="5370"/>
      <c r="AI37" s="5370"/>
      <c r="AJ37" s="5370"/>
      <c r="AK37" s="5370"/>
    </row>
    <row r="38" spans="1:44" ht="14.25" customHeight="1">
      <c r="Q38" s="292"/>
      <c r="R38" s="292"/>
      <c r="S38" s="5244" t="s">
        <v>378</v>
      </c>
      <c r="T38" s="5244"/>
      <c r="U38" s="5244"/>
      <c r="V38" s="5244"/>
      <c r="W38" s="5244"/>
      <c r="X38" s="5244"/>
      <c r="Y38" s="5244"/>
      <c r="Z38" s="5244"/>
      <c r="AA38" s="5244"/>
      <c r="AB38" s="5244"/>
      <c r="AC38" s="5244"/>
      <c r="AD38" s="5244"/>
      <c r="AE38" s="5244"/>
      <c r="AF38" s="5244"/>
      <c r="AG38" s="5244"/>
      <c r="AH38" s="5244"/>
      <c r="AI38" s="5244"/>
      <c r="AJ38" s="5244"/>
      <c r="AK38" s="5244"/>
      <c r="AL38" s="5244"/>
      <c r="AM38" s="5244" t="s">
        <v>379</v>
      </c>
    </row>
    <row r="39" spans="1:44" ht="14.25" customHeight="1">
      <c r="Q39" s="292"/>
      <c r="R39" s="292"/>
      <c r="S39" s="5384" t="s">
        <v>85</v>
      </c>
      <c r="T39" s="5336" t="s">
        <v>504</v>
      </c>
      <c r="U39" s="219"/>
      <c r="V39" s="5385" t="s">
        <v>505</v>
      </c>
      <c r="W39" s="5386"/>
      <c r="X39" s="5386"/>
      <c r="Y39" s="5386"/>
      <c r="Z39" s="5386"/>
      <c r="AA39" s="5386"/>
      <c r="AB39" s="5387"/>
      <c r="AC39" s="5388" t="s">
        <v>506</v>
      </c>
      <c r="AD39" s="5385" t="s">
        <v>505</v>
      </c>
      <c r="AE39" s="5386"/>
      <c r="AF39" s="5386"/>
      <c r="AG39" s="5386"/>
      <c r="AH39" s="5386"/>
      <c r="AI39" s="5386"/>
      <c r="AJ39" s="5387"/>
      <c r="AK39" s="5388" t="s">
        <v>507</v>
      </c>
      <c r="AL39" s="5391" t="s">
        <v>508</v>
      </c>
      <c r="AM39" s="5244"/>
    </row>
    <row r="40" spans="1:44" ht="33.75" customHeight="1">
      <c r="Q40" s="292"/>
      <c r="R40" s="292"/>
      <c r="S40" s="5384"/>
      <c r="T40" s="5336"/>
      <c r="U40" s="920"/>
      <c r="V40" s="5307" t="s">
        <v>509</v>
      </c>
      <c r="W40" s="5394"/>
      <c r="X40" s="5215" t="s">
        <v>511</v>
      </c>
      <c r="Y40" s="5214"/>
      <c r="Z40" s="5215" t="s">
        <v>512</v>
      </c>
      <c r="AA40" s="5220"/>
      <c r="AB40" s="5214"/>
      <c r="AC40" s="5389"/>
      <c r="AD40" s="5307" t="s">
        <v>525</v>
      </c>
      <c r="AE40" s="5394"/>
      <c r="AF40" s="5215" t="s">
        <v>511</v>
      </c>
      <c r="AG40" s="5214"/>
      <c r="AH40" s="5215" t="s">
        <v>512</v>
      </c>
      <c r="AI40" s="5220"/>
      <c r="AJ40" s="5214"/>
      <c r="AK40" s="5389"/>
      <c r="AL40" s="5392"/>
      <c r="AM40" s="5244"/>
    </row>
    <row r="41" spans="1:44" ht="33.75" customHeight="1">
      <c r="A41" s="1248"/>
      <c r="B41" s="1248" t="s">
        <v>153</v>
      </c>
      <c r="C41" s="1248" t="s">
        <v>154</v>
      </c>
      <c r="D41" s="1248" t="s">
        <v>155</v>
      </c>
      <c r="E41" s="1242" t="s">
        <v>513</v>
      </c>
      <c r="F41" s="1242" t="s">
        <v>514</v>
      </c>
      <c r="G41" s="1242" t="s">
        <v>515</v>
      </c>
      <c r="H41" s="1242" t="s">
        <v>516</v>
      </c>
      <c r="I41" s="1242" t="s">
        <v>517</v>
      </c>
      <c r="J41" s="1242" t="s">
        <v>518</v>
      </c>
      <c r="K41" s="1242" t="s">
        <v>519</v>
      </c>
      <c r="L41" s="1242" t="s">
        <v>494</v>
      </c>
      <c r="Q41" s="292"/>
      <c r="R41" s="292"/>
      <c r="S41" s="5384"/>
      <c r="T41" s="5336"/>
      <c r="U41" s="220"/>
      <c r="V41" s="5355"/>
      <c r="W41" s="5395"/>
      <c r="X41" s="1105" t="s">
        <v>520</v>
      </c>
      <c r="Y41" s="1105" t="s">
        <v>521</v>
      </c>
      <c r="Z41" s="1217" t="s">
        <v>522</v>
      </c>
      <c r="AA41" s="5344" t="s">
        <v>523</v>
      </c>
      <c r="AB41" s="5346"/>
      <c r="AC41" s="5390"/>
      <c r="AD41" s="5355"/>
      <c r="AE41" s="5395"/>
      <c r="AF41" s="1105" t="s">
        <v>520</v>
      </c>
      <c r="AG41" s="1105" t="s">
        <v>521</v>
      </c>
      <c r="AH41" s="1217" t="s">
        <v>522</v>
      </c>
      <c r="AI41" s="5344" t="s">
        <v>523</v>
      </c>
      <c r="AJ41" s="5346"/>
      <c r="AK41" s="5390"/>
      <c r="AL41" s="5393"/>
      <c r="AM41" s="5244"/>
    </row>
    <row r="42" spans="1:44" s="4840"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129</v>
      </c>
      <c r="T42" s="1138" t="s">
        <v>100</v>
      </c>
      <c r="U42" s="1128" t="str">
        <f ca="1">OFFSET(U42,0,-1)</f>
        <v>2</v>
      </c>
      <c r="V42" s="1214">
        <f ca="1">OFFSET(V42,0,-1)+1</f>
        <v>3</v>
      </c>
      <c r="W42" s="1214"/>
      <c r="X42" s="1214">
        <f ca="1">OFFSET(X42,0,-1)+1</f>
        <v>1</v>
      </c>
      <c r="Y42" s="1214">
        <f ca="1">OFFSET(Y42,0,-1)+1</f>
        <v>2</v>
      </c>
      <c r="Z42" s="1214">
        <f ca="1">OFFSET(Z42,0,-1)+1</f>
        <v>3</v>
      </c>
      <c r="AA42" s="5383">
        <f ca="1">OFFSET(AA42,0,-1)+1</f>
        <v>4</v>
      </c>
      <c r="AB42" s="5383"/>
      <c r="AC42" s="1214">
        <f ca="1">OFFSET(AC42,0,-2)+1</f>
        <v>5</v>
      </c>
      <c r="AD42" s="1214">
        <f ca="1">OFFSET(AD42,0,-1)+1</f>
        <v>6</v>
      </c>
      <c r="AE42" s="1214"/>
      <c r="AF42" s="1214">
        <f ca="1">OFFSET(AF42,0,-1)+1</f>
        <v>1</v>
      </c>
      <c r="AG42" s="1214">
        <f ca="1">OFFSET(AG42,0,-1)+1</f>
        <v>2</v>
      </c>
      <c r="AH42" s="1214">
        <f ca="1">OFFSET(AH42,0,-1)+1</f>
        <v>3</v>
      </c>
      <c r="AI42" s="5383">
        <f ca="1">OFFSET(AI42,0,-1)+1</f>
        <v>4</v>
      </c>
      <c r="AJ42" s="5383"/>
      <c r="AK42" s="1214">
        <f ca="1">OFFSET(AK42,0,-2)+1</f>
        <v>5</v>
      </c>
      <c r="AL42" s="1128">
        <f ca="1">OFFSET(AL42,0,-1)</f>
        <v>5</v>
      </c>
      <c r="AM42" s="1214">
        <f ca="1">OFFSET(AM42,0,-1)+1</f>
        <v>6</v>
      </c>
      <c r="AN42" s="419"/>
      <c r="AO42" s="419"/>
      <c r="AP42" s="419"/>
      <c r="AQ42" s="419"/>
      <c r="AR42" s="419"/>
    </row>
    <row r="43" spans="1:44" ht="21" customHeight="1">
      <c r="A43" s="1241" t="s">
        <v>185</v>
      </c>
      <c r="B43" s="1241"/>
      <c r="C43" s="1241"/>
      <c r="D43" s="1241"/>
      <c r="E43" s="5376">
        <v>1</v>
      </c>
      <c r="F43" s="1241"/>
      <c r="G43" s="1241"/>
      <c r="H43" s="1241"/>
      <c r="I43" s="1241"/>
      <c r="J43" s="1241"/>
      <c r="K43" s="1241"/>
      <c r="L43" s="1242"/>
      <c r="M43" s="1243"/>
      <c r="N43" s="1243"/>
      <c r="O43" s="1243"/>
      <c r="P43" s="278"/>
      <c r="Q43" s="277"/>
      <c r="R43" s="272"/>
      <c r="S43" s="1215">
        <f>INDEX(PT_DIFFERENTIATION_NUM_NTAR,MATCH(A43,PT_DIFFERENTIATION_NTAR_ID,0))</f>
        <v>0</v>
      </c>
      <c r="T43" s="216" t="s">
        <v>141</v>
      </c>
      <c r="U43" s="218"/>
      <c r="V43" s="5362"/>
      <c r="W43" s="5363"/>
      <c r="X43" s="5363"/>
      <c r="Y43" s="5363"/>
      <c r="Z43" s="5363"/>
      <c r="AA43" s="5363"/>
      <c r="AB43" s="5363"/>
      <c r="AC43" s="5364"/>
      <c r="AD43" s="5362" t="str">
        <f>INDEX(PT_DIFFERENTIATION_NTAR,MATCH(A43,PT_DIFFERENTIATION_NTAR_ID,0))</f>
        <v/>
      </c>
      <c r="AE43" s="5363"/>
      <c r="AF43" s="5363"/>
      <c r="AG43" s="5363"/>
      <c r="AH43" s="5363"/>
      <c r="AI43" s="5363"/>
      <c r="AJ43" s="5363"/>
      <c r="AK43" s="5363"/>
      <c r="AL43" s="5364"/>
      <c r="AM43" s="11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8"/>
      <c r="AP43" s="408" t="str">
        <f t="shared" ref="AP43:AP57" si="1">IF(T43="","",T43)</f>
        <v>Наименование тарифа</v>
      </c>
      <c r="AQ43" s="408"/>
      <c r="AR43" s="408"/>
    </row>
    <row r="44" spans="1:44" ht="21" customHeight="1">
      <c r="A44" s="1241" t="s">
        <v>185</v>
      </c>
      <c r="B44" s="1241" t="s">
        <v>186</v>
      </c>
      <c r="C44" s="1241"/>
      <c r="D44" s="1241"/>
      <c r="E44" s="5377"/>
      <c r="F44" s="5376">
        <v>1</v>
      </c>
      <c r="G44" s="1241"/>
      <c r="H44" s="1241"/>
      <c r="I44" s="1241"/>
      <c r="J44" s="1241"/>
      <c r="K44" s="1241"/>
      <c r="L44" s="1242"/>
      <c r="M44" s="1243"/>
      <c r="N44" s="1243"/>
      <c r="O44" s="1243"/>
      <c r="P44" s="1211"/>
      <c r="Q44" s="269"/>
      <c r="R44" s="270"/>
      <c r="S44" s="1215" t="str">
        <f>INDEX(PT_DIFFERENTIATION_NUM_TER,MATCH(B44,PT_DIFFERENTIATION_TER_ID,0))</f>
        <v>.</v>
      </c>
      <c r="T44" s="226" t="s">
        <v>475</v>
      </c>
      <c r="U44" s="218"/>
      <c r="V44" s="5362"/>
      <c r="W44" s="5363"/>
      <c r="X44" s="5363"/>
      <c r="Y44" s="5363"/>
      <c r="Z44" s="5363"/>
      <c r="AA44" s="5363"/>
      <c r="AB44" s="5363"/>
      <c r="AC44" s="5364"/>
      <c r="AD44" s="5362" t="str">
        <f>INDEX(PT_DIFFERENTIATION_TER,MATCH(B44,PT_DIFFERENTIATION_TER_ID,0))</f>
        <v/>
      </c>
      <c r="AE44" s="5363"/>
      <c r="AF44" s="5363"/>
      <c r="AG44" s="5363"/>
      <c r="AH44" s="5363"/>
      <c r="AI44" s="5363"/>
      <c r="AJ44" s="5363"/>
      <c r="AK44" s="5363"/>
      <c r="AL44" s="5364"/>
      <c r="AM44" s="1141" t="s">
        <v>476</v>
      </c>
      <c r="AO44" s="408"/>
      <c r="AP44" s="408" t="str">
        <f t="shared" si="1"/>
        <v>Территория действия тарифа</v>
      </c>
      <c r="AQ44" s="408"/>
      <c r="AR44" s="408"/>
    </row>
    <row r="45" spans="1:44" ht="23.25" customHeight="1">
      <c r="A45" s="1241" t="s">
        <v>185</v>
      </c>
      <c r="B45" s="1241" t="s">
        <v>186</v>
      </c>
      <c r="C45" s="1241" t="s">
        <v>187</v>
      </c>
      <c r="D45" s="1241"/>
      <c r="E45" s="5377"/>
      <c r="F45" s="5377"/>
      <c r="G45" s="5376">
        <v>1</v>
      </c>
      <c r="H45" s="1241"/>
      <c r="I45" s="1241"/>
      <c r="J45" s="1241"/>
      <c r="K45" s="1241"/>
      <c r="L45" s="1242"/>
      <c r="M45" s="1243"/>
      <c r="N45" s="1243"/>
      <c r="O45" s="1243"/>
      <c r="P45" s="271"/>
      <c r="Q45" s="269"/>
      <c r="R45" s="270"/>
      <c r="S45" s="1215" t="str">
        <f>INDEX(PT_DIFFERENTIATION_NUM_CS,MATCH(C45,PT_DIFFERENTIATION_CS_ID,0))</f>
        <v>..</v>
      </c>
      <c r="T45" s="227" t="s">
        <v>477</v>
      </c>
      <c r="U45" s="218"/>
      <c r="V45" s="5362"/>
      <c r="W45" s="5363"/>
      <c r="X45" s="5363"/>
      <c r="Y45" s="5363"/>
      <c r="Z45" s="5363"/>
      <c r="AA45" s="5363"/>
      <c r="AB45" s="5363"/>
      <c r="AC45" s="5364"/>
      <c r="AD45" s="5362" t="str">
        <f>INDEX(PT_DIFFERENTIATION_CS,MATCH(C45,PT_DIFFERENTIATION_CS_ID,0))</f>
        <v/>
      </c>
      <c r="AE45" s="5363"/>
      <c r="AF45" s="5363"/>
      <c r="AG45" s="5363"/>
      <c r="AH45" s="5363"/>
      <c r="AI45" s="5363"/>
      <c r="AJ45" s="5363"/>
      <c r="AK45" s="5363"/>
      <c r="AL45" s="5364"/>
      <c r="AM45" s="1141" t="s">
        <v>478</v>
      </c>
      <c r="AO45" s="408"/>
      <c r="AP45" s="408" t="str">
        <f t="shared" si="1"/>
        <v xml:space="preserve">Наименование системы теплоснабжения </v>
      </c>
      <c r="AQ45" s="408"/>
      <c r="AR45" s="408"/>
    </row>
    <row r="46" spans="1:44" ht="21" customHeight="1">
      <c r="A46" s="1241" t="s">
        <v>185</v>
      </c>
      <c r="B46" s="1241" t="s">
        <v>186</v>
      </c>
      <c r="C46" s="1241" t="s">
        <v>187</v>
      </c>
      <c r="D46" s="1241" t="s">
        <v>188</v>
      </c>
      <c r="E46" s="5377"/>
      <c r="F46" s="5377"/>
      <c r="G46" s="5377"/>
      <c r="H46" s="5376">
        <v>1</v>
      </c>
      <c r="I46" s="1241"/>
      <c r="J46" s="1241"/>
      <c r="K46" s="1241"/>
      <c r="L46" s="1242"/>
      <c r="M46" s="1243"/>
      <c r="N46" s="1243"/>
      <c r="O46" s="1243"/>
      <c r="P46" s="271"/>
      <c r="Q46" s="269"/>
      <c r="R46" s="270"/>
      <c r="S46" s="1215" t="str">
        <f>INDEX(PT_DIFFERENTIATION_NUM_IST_TE,MATCH(D46,PT_DIFFERENTIATION_IST_TE_ID,0))</f>
        <v>...</v>
      </c>
      <c r="T46" s="228" t="s">
        <v>479</v>
      </c>
      <c r="U46" s="218"/>
      <c r="V46" s="5362"/>
      <c r="W46" s="5363"/>
      <c r="X46" s="5363"/>
      <c r="Y46" s="5363"/>
      <c r="Z46" s="5363"/>
      <c r="AA46" s="5363"/>
      <c r="AB46" s="5363"/>
      <c r="AC46" s="5364"/>
      <c r="AD46" s="5362" t="str">
        <f>INDEX(PT_DIFFERENTIATION_IST_TE,MATCH(D46,PT_DIFFERENTIATION_IST_TE_ID,0))</f>
        <v/>
      </c>
      <c r="AE46" s="5363"/>
      <c r="AF46" s="5363"/>
      <c r="AG46" s="5363"/>
      <c r="AH46" s="5363"/>
      <c r="AI46" s="5363"/>
      <c r="AJ46" s="5363"/>
      <c r="AK46" s="5363"/>
      <c r="AL46" s="5364"/>
      <c r="AM46" s="1141" t="s">
        <v>480</v>
      </c>
      <c r="AO46" s="408"/>
      <c r="AP46" s="408" t="str">
        <f t="shared" si="1"/>
        <v xml:space="preserve">Источник тепловой энергии  </v>
      </c>
      <c r="AQ46" s="408"/>
      <c r="AR46" s="408"/>
    </row>
    <row r="47" spans="1:44" s="4856" customFormat="1" ht="0" hidden="1" customHeight="1">
      <c r="A47" s="1222" t="s">
        <v>185</v>
      </c>
      <c r="B47" s="1222" t="s">
        <v>186</v>
      </c>
      <c r="C47" s="1222" t="s">
        <v>187</v>
      </c>
      <c r="D47" s="1222" t="s">
        <v>188</v>
      </c>
      <c r="E47" s="5377"/>
      <c r="F47" s="5377"/>
      <c r="G47" s="5377"/>
      <c r="H47" s="5377"/>
      <c r="I47" s="5374" t="str">
        <f>S46&amp;".1"</f>
        <v>....1</v>
      </c>
      <c r="J47" s="1222"/>
      <c r="K47" s="1222"/>
      <c r="L47" s="1225" t="s">
        <v>481</v>
      </c>
      <c r="M47" s="418"/>
      <c r="N47" s="418"/>
      <c r="O47" s="418"/>
      <c r="P47" s="5375">
        <v>1</v>
      </c>
      <c r="Q47" s="1210"/>
      <c r="R47" s="273"/>
      <c r="S47" s="931"/>
      <c r="T47" s="1261"/>
      <c r="U47" s="1262"/>
      <c r="V47" s="5405"/>
      <c r="W47" s="5406"/>
      <c r="X47" s="5406"/>
      <c r="Y47" s="5406"/>
      <c r="Z47" s="5406"/>
      <c r="AA47" s="5406"/>
      <c r="AB47" s="5406"/>
      <c r="AC47" s="5407"/>
      <c r="AD47" s="5405"/>
      <c r="AE47" s="5406"/>
      <c r="AF47" s="5406"/>
      <c r="AG47" s="5406"/>
      <c r="AH47" s="5406"/>
      <c r="AI47" s="5406"/>
      <c r="AJ47" s="5406"/>
      <c r="AK47" s="5406"/>
      <c r="AL47" s="5407"/>
      <c r="AM47" s="1263"/>
      <c r="AO47" s="408"/>
      <c r="AP47" s="408" t="str">
        <f t="shared" si="1"/>
        <v/>
      </c>
      <c r="AQ47" s="408"/>
      <c r="AR47" s="408"/>
    </row>
    <row r="48" spans="1:44" ht="21" customHeight="1">
      <c r="A48" s="1241" t="s">
        <v>185</v>
      </c>
      <c r="B48" s="1241" t="s">
        <v>186</v>
      </c>
      <c r="C48" s="1241" t="s">
        <v>187</v>
      </c>
      <c r="D48" s="1241" t="s">
        <v>188</v>
      </c>
      <c r="E48" s="5377"/>
      <c r="F48" s="5377"/>
      <c r="G48" s="5377"/>
      <c r="H48" s="5377"/>
      <c r="I48" s="5397"/>
      <c r="J48" s="5374" t="str">
        <f>S46&amp;".1"</f>
        <v>....1</v>
      </c>
      <c r="K48" s="1241"/>
      <c r="L48" s="1242" t="s">
        <v>484</v>
      </c>
      <c r="P48" s="5375"/>
      <c r="Q48" s="5375">
        <v>1</v>
      </c>
      <c r="R48" s="274"/>
      <c r="S48" s="1215" t="str">
        <f>$J48</f>
        <v>....1</v>
      </c>
      <c r="T48" s="204" t="s">
        <v>485</v>
      </c>
      <c r="U48" s="218"/>
      <c r="V48" s="5365"/>
      <c r="W48" s="5366"/>
      <c r="X48" s="5366"/>
      <c r="Y48" s="5366"/>
      <c r="Z48" s="5366"/>
      <c r="AA48" s="5366"/>
      <c r="AB48" s="5366"/>
      <c r="AC48" s="5367"/>
      <c r="AD48" s="5365"/>
      <c r="AE48" s="5366"/>
      <c r="AF48" s="5366"/>
      <c r="AG48" s="5366"/>
      <c r="AH48" s="5366"/>
      <c r="AI48" s="5366"/>
      <c r="AJ48" s="5366"/>
      <c r="AK48" s="5366"/>
      <c r="AL48" s="5367"/>
      <c r="AM48" s="1141" t="s">
        <v>486</v>
      </c>
      <c r="AO48" s="408"/>
      <c r="AP48" s="408" t="str">
        <f t="shared" si="1"/>
        <v>Группа потребителей</v>
      </c>
      <c r="AQ48" s="408"/>
      <c r="AR48" s="408"/>
    </row>
    <row r="49" spans="1:44" ht="21" customHeight="1">
      <c r="A49" s="1241" t="s">
        <v>185</v>
      </c>
      <c r="B49" s="1241" t="s">
        <v>186</v>
      </c>
      <c r="C49" s="1241" t="s">
        <v>187</v>
      </c>
      <c r="D49" s="1241" t="s">
        <v>188</v>
      </c>
      <c r="E49" s="5377"/>
      <c r="F49" s="5377"/>
      <c r="G49" s="5377"/>
      <c r="H49" s="5377"/>
      <c r="I49" s="5397"/>
      <c r="J49" s="5397"/>
      <c r="K49" s="5374" t="str">
        <f>J48&amp;".1"</f>
        <v>....1.1</v>
      </c>
      <c r="L49" s="1242" t="s">
        <v>487</v>
      </c>
      <c r="P49" s="5375"/>
      <c r="Q49" s="5375"/>
      <c r="R49" s="274">
        <v>1</v>
      </c>
      <c r="S49" s="1215" t="str">
        <f>$K49</f>
        <v>....1.1</v>
      </c>
      <c r="T49" s="1226"/>
      <c r="U49" s="218"/>
      <c r="V49" s="650"/>
      <c r="W49" s="243"/>
      <c r="X49" s="650"/>
      <c r="Y49" s="1140"/>
      <c r="Z49" s="5379"/>
      <c r="AA49" s="5225" t="s">
        <v>64</v>
      </c>
      <c r="AB49" s="5379"/>
      <c r="AC49" s="5225" t="s">
        <v>64</v>
      </c>
      <c r="AD49" s="650"/>
      <c r="AE49" s="243"/>
      <c r="AF49" s="650"/>
      <c r="AG49" s="1140"/>
      <c r="AH49" s="5379"/>
      <c r="AI49" s="5225" t="s">
        <v>64</v>
      </c>
      <c r="AJ49" s="5398"/>
      <c r="AK49" s="5225" t="s">
        <v>64</v>
      </c>
      <c r="AL49" s="1227"/>
      <c r="AM49" s="5371" t="s">
        <v>526</v>
      </c>
      <c r="AN49" s="419" t="e">
        <f ca="1">STRCHECKDATE(V50:AL50)</f>
        <v>#NAME?</v>
      </c>
      <c r="AO49" s="408"/>
      <c r="AP49" s="408" t="str">
        <f t="shared" si="1"/>
        <v/>
      </c>
      <c r="AQ49" s="408"/>
      <c r="AR49" s="408"/>
    </row>
    <row r="50" spans="1:44" ht="0.75" customHeight="1">
      <c r="A50" s="1241" t="s">
        <v>185</v>
      </c>
      <c r="B50" s="1241" t="s">
        <v>186</v>
      </c>
      <c r="C50" s="1241" t="s">
        <v>187</v>
      </c>
      <c r="D50" s="1241" t="s">
        <v>188</v>
      </c>
      <c r="E50" s="5377"/>
      <c r="F50" s="5377"/>
      <c r="G50" s="5377"/>
      <c r="H50" s="5377"/>
      <c r="I50" s="5397"/>
      <c r="J50" s="5397"/>
      <c r="K50" s="5374"/>
      <c r="L50" s="1242"/>
      <c r="P50" s="5375"/>
      <c r="Q50" s="5375"/>
      <c r="R50" s="274"/>
      <c r="S50" s="1221"/>
      <c r="T50" s="218"/>
      <c r="U50" s="218"/>
      <c r="V50" s="243"/>
      <c r="W50" s="243"/>
      <c r="X50" s="243"/>
      <c r="Y50" s="246" t="str">
        <f>Z49&amp;"-"&amp;AB49</f>
        <v>-</v>
      </c>
      <c r="Z50" s="5380"/>
      <c r="AA50" s="5225"/>
      <c r="AB50" s="5380"/>
      <c r="AC50" s="5225"/>
      <c r="AD50" s="243"/>
      <c r="AE50" s="243"/>
      <c r="AF50" s="243"/>
      <c r="AG50" s="246" t="str">
        <f>AH49&amp;"-"&amp;AJ49</f>
        <v>-</v>
      </c>
      <c r="AH50" s="5380"/>
      <c r="AI50" s="5225"/>
      <c r="AJ50" s="5399"/>
      <c r="AK50" s="5225"/>
      <c r="AL50" s="1228"/>
      <c r="AM50" s="5372"/>
      <c r="AO50" s="408"/>
      <c r="AP50" s="408" t="str">
        <f t="shared" si="1"/>
        <v/>
      </c>
      <c r="AQ50" s="408"/>
      <c r="AR50" s="408"/>
    </row>
    <row r="51" spans="1:44" ht="11.25" customHeight="1">
      <c r="A51" s="1241" t="s">
        <v>185</v>
      </c>
      <c r="B51" s="1241" t="s">
        <v>186</v>
      </c>
      <c r="C51" s="1241" t="s">
        <v>187</v>
      </c>
      <c r="D51" s="1241" t="s">
        <v>188</v>
      </c>
      <c r="E51" s="5377"/>
      <c r="F51" s="5377"/>
      <c r="G51" s="5377"/>
      <c r="H51" s="5377"/>
      <c r="I51" s="5397"/>
      <c r="J51" s="5374"/>
      <c r="K51" s="1241"/>
      <c r="L51" s="1242"/>
      <c r="P51" s="5375"/>
      <c r="Q51" s="5375"/>
      <c r="R51" s="273"/>
      <c r="S51" s="1161"/>
      <c r="T51" s="205" t="s">
        <v>489</v>
      </c>
      <c r="U51" s="283"/>
      <c r="V51" s="283"/>
      <c r="W51" s="283"/>
      <c r="X51" s="283"/>
      <c r="Y51" s="283"/>
      <c r="Z51" s="283"/>
      <c r="AA51" s="283"/>
      <c r="AB51" s="283"/>
      <c r="AC51" s="283"/>
      <c r="AD51" s="283"/>
      <c r="AE51" s="283"/>
      <c r="AF51" s="283"/>
      <c r="AG51" s="283"/>
      <c r="AH51" s="283"/>
      <c r="AI51" s="283"/>
      <c r="AJ51" s="283"/>
      <c r="AK51" s="283"/>
      <c r="AL51" s="242"/>
      <c r="AM51" s="5373"/>
      <c r="AO51" s="408"/>
      <c r="AP51" s="408" t="str">
        <f t="shared" si="1"/>
        <v>Добавить вид теплоносителя (параметры теплоносителя)</v>
      </c>
      <c r="AQ51" s="408"/>
      <c r="AR51" s="408"/>
    </row>
    <row r="52" spans="1:44" ht="11.25" customHeight="1">
      <c r="A52" s="1241" t="s">
        <v>185</v>
      </c>
      <c r="B52" s="1241" t="s">
        <v>186</v>
      </c>
      <c r="C52" s="1241" t="s">
        <v>187</v>
      </c>
      <c r="D52" s="1241" t="s">
        <v>188</v>
      </c>
      <c r="E52" s="5377"/>
      <c r="F52" s="5377"/>
      <c r="G52" s="5377"/>
      <c r="H52" s="5377"/>
      <c r="I52" s="5374"/>
      <c r="J52" s="1241"/>
      <c r="K52" s="1241"/>
      <c r="L52" s="1242"/>
      <c r="P52" s="5375"/>
      <c r="Q52" s="1210"/>
      <c r="R52" s="273"/>
      <c r="S52" s="1161"/>
      <c r="T52" s="281" t="s">
        <v>490</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41" t="s">
        <v>185</v>
      </c>
      <c r="B53" s="1241" t="s">
        <v>186</v>
      </c>
      <c r="C53" s="1241" t="s">
        <v>187</v>
      </c>
      <c r="D53" s="1241" t="s">
        <v>188</v>
      </c>
      <c r="E53" s="5377"/>
      <c r="F53" s="5377"/>
      <c r="G53" s="5377"/>
      <c r="H53" s="5376"/>
      <c r="I53" s="1241"/>
      <c r="J53" s="1241"/>
      <c r="K53" s="1241"/>
      <c r="L53" s="1242"/>
      <c r="M53" s="1243"/>
      <c r="N53" s="1243"/>
      <c r="O53" s="444"/>
      <c r="P53" s="277"/>
      <c r="Q53" s="291"/>
      <c r="R53" s="272"/>
      <c r="S53" s="1264"/>
      <c r="T53" s="1265"/>
      <c r="U53" s="1266"/>
      <c r="V53" s="1266"/>
      <c r="W53" s="1266"/>
      <c r="X53" s="1266"/>
      <c r="Y53" s="1266"/>
      <c r="Z53" s="1266"/>
      <c r="AA53" s="1266"/>
      <c r="AB53" s="1266"/>
      <c r="AC53" s="1266"/>
      <c r="AD53" s="1266"/>
      <c r="AE53" s="1266"/>
      <c r="AF53" s="1266"/>
      <c r="AG53" s="1266"/>
      <c r="AH53" s="1266"/>
      <c r="AI53" s="1266"/>
      <c r="AJ53" s="1266"/>
      <c r="AK53" s="1266"/>
      <c r="AL53" s="1266"/>
      <c r="AM53" s="1267"/>
      <c r="AO53" s="408"/>
      <c r="AP53" s="408" t="str">
        <f t="shared" si="1"/>
        <v/>
      </c>
      <c r="AQ53" s="408"/>
      <c r="AR53" s="408"/>
    </row>
    <row r="54" spans="1:44" s="4853" customFormat="1" ht="0.75" customHeight="1">
      <c r="A54" s="1222" t="s">
        <v>185</v>
      </c>
      <c r="B54" s="1222" t="s">
        <v>186</v>
      </c>
      <c r="C54" s="1222" t="s">
        <v>187</v>
      </c>
      <c r="D54" s="1194"/>
      <c r="E54" s="5377"/>
      <c r="F54" s="5377"/>
      <c r="G54" s="5376"/>
      <c r="H54" s="1194"/>
      <c r="I54" s="1194"/>
      <c r="J54" s="1194"/>
      <c r="K54" s="1194"/>
      <c r="L54" s="1218"/>
      <c r="M54" s="1195"/>
      <c r="N54" s="1195"/>
      <c r="P54" s="1196"/>
      <c r="Q54" s="1197"/>
      <c r="R54" s="1196"/>
      <c r="S54" s="1202"/>
      <c r="T54" s="1205" t="s">
        <v>492</v>
      </c>
      <c r="U54" s="1204"/>
      <c r="V54" s="1204"/>
      <c r="W54" s="1204"/>
      <c r="X54" s="1204"/>
      <c r="Y54" s="1204"/>
      <c r="Z54" s="1204"/>
      <c r="AA54" s="1204"/>
      <c r="AB54" s="1204"/>
      <c r="AC54" s="1204"/>
      <c r="AD54" s="1204"/>
      <c r="AE54" s="1204"/>
      <c r="AF54" s="1204"/>
      <c r="AG54" s="1204"/>
      <c r="AH54" s="1204"/>
      <c r="AI54" s="1204"/>
      <c r="AJ54" s="1204"/>
      <c r="AK54" s="1204"/>
      <c r="AL54" s="1204"/>
      <c r="AM54" s="1204"/>
      <c r="AO54" s="688"/>
      <c r="AP54" s="688" t="str">
        <f t="shared" si="1"/>
        <v>Добавить источник для дифференциации</v>
      </c>
      <c r="AQ54" s="688"/>
      <c r="AR54" s="688"/>
    </row>
    <row r="55" spans="1:44" s="4853" customFormat="1" ht="0.75" customHeight="1">
      <c r="A55" s="1222" t="s">
        <v>185</v>
      </c>
      <c r="B55" s="1222" t="s">
        <v>186</v>
      </c>
      <c r="C55" s="1194"/>
      <c r="D55" s="1194"/>
      <c r="E55" s="5377"/>
      <c r="F55" s="5376"/>
      <c r="G55" s="1194"/>
      <c r="H55" s="1194"/>
      <c r="I55" s="1194"/>
      <c r="J55" s="1194"/>
      <c r="K55" s="1194"/>
      <c r="L55" s="1218"/>
      <c r="M55" s="1201"/>
      <c r="N55" s="1201"/>
      <c r="P55" s="1196"/>
      <c r="Q55" s="1197"/>
      <c r="R55" s="1196"/>
      <c r="S55" s="1202"/>
      <c r="T55" s="1205" t="s">
        <v>271</v>
      </c>
      <c r="U55" s="1204"/>
      <c r="V55" s="1204"/>
      <c r="W55" s="1204"/>
      <c r="X55" s="1204"/>
      <c r="Y55" s="1204"/>
      <c r="Z55" s="1204"/>
      <c r="AA55" s="1204"/>
      <c r="AB55" s="1204"/>
      <c r="AC55" s="1204"/>
      <c r="AD55" s="1204"/>
      <c r="AE55" s="1204"/>
      <c r="AF55" s="1204"/>
      <c r="AG55" s="1204"/>
      <c r="AH55" s="1204"/>
      <c r="AI55" s="1204"/>
      <c r="AJ55" s="1204"/>
      <c r="AK55" s="1204"/>
      <c r="AL55" s="1204"/>
      <c r="AM55" s="1204"/>
      <c r="AO55" s="688"/>
      <c r="AP55" s="688" t="str">
        <f t="shared" si="1"/>
        <v>Добавить централизованную систему для дифференциации</v>
      </c>
      <c r="AQ55" s="688"/>
      <c r="AR55" s="688"/>
    </row>
    <row r="56" spans="1:44" s="4856" customFormat="1" ht="0.75" customHeight="1">
      <c r="A56" s="1222" t="s">
        <v>185</v>
      </c>
      <c r="B56" s="1222"/>
      <c r="C56" s="1222"/>
      <c r="D56" s="1222"/>
      <c r="E56" s="5376"/>
      <c r="F56" s="1222"/>
      <c r="G56" s="1222"/>
      <c r="H56" s="1222"/>
      <c r="I56" s="1222"/>
      <c r="J56" s="1222"/>
      <c r="K56" s="1222"/>
      <c r="L56" s="1225"/>
      <c r="M56" s="1201"/>
      <c r="N56" s="1201"/>
      <c r="O56" s="426"/>
      <c r="P56" s="296"/>
      <c r="Q56" s="1223"/>
      <c r="R56" s="296"/>
      <c r="S56" s="1202"/>
      <c r="T56" s="1205" t="s">
        <v>330</v>
      </c>
      <c r="U56" s="1204"/>
      <c r="V56" s="1204"/>
      <c r="W56" s="1204"/>
      <c r="X56" s="1204"/>
      <c r="Y56" s="1204"/>
      <c r="Z56" s="1204"/>
      <c r="AA56" s="1204"/>
      <c r="AB56" s="1204"/>
      <c r="AC56" s="1204"/>
      <c r="AD56" s="1204"/>
      <c r="AE56" s="1204"/>
      <c r="AF56" s="1204"/>
      <c r="AG56" s="1204"/>
      <c r="AH56" s="1204"/>
      <c r="AI56" s="1204"/>
      <c r="AJ56" s="1204"/>
      <c r="AK56" s="1204"/>
      <c r="AL56" s="1204"/>
      <c r="AM56" s="1204"/>
      <c r="AO56" s="408"/>
      <c r="AP56" s="408" t="str">
        <f t="shared" si="1"/>
        <v>Добавить территорию для дифференциации</v>
      </c>
      <c r="AQ56" s="408"/>
      <c r="AR56" s="408"/>
    </row>
    <row r="57" spans="1:44" s="4853" customFormat="1" ht="0.75" customHeight="1">
      <c r="A57" s="1194"/>
      <c r="B57" s="1194"/>
      <c r="C57" s="1194"/>
      <c r="D57" s="1194"/>
      <c r="E57" s="1222"/>
      <c r="F57" s="1194"/>
      <c r="G57" s="1194"/>
      <c r="H57" s="1194"/>
      <c r="I57" s="1194"/>
      <c r="J57" s="1194"/>
      <c r="K57" s="1194"/>
      <c r="L57" s="1218"/>
      <c r="M57" s="1201"/>
      <c r="N57" s="1201"/>
      <c r="P57" s="1196"/>
      <c r="Q57" s="1197"/>
      <c r="R57" s="1196"/>
      <c r="S57" s="1202"/>
      <c r="T57" s="1205" t="s">
        <v>331</v>
      </c>
      <c r="U57" s="1204"/>
      <c r="V57" s="1204"/>
      <c r="W57" s="1204"/>
      <c r="X57" s="1204"/>
      <c r="Y57" s="1204"/>
      <c r="Z57" s="1204"/>
      <c r="AA57" s="1204"/>
      <c r="AB57" s="1204"/>
      <c r="AC57" s="1204"/>
      <c r="AD57" s="1204"/>
      <c r="AE57" s="1204"/>
      <c r="AF57" s="1204"/>
      <c r="AG57" s="1204"/>
      <c r="AH57" s="1204"/>
      <c r="AI57" s="1204"/>
      <c r="AJ57" s="1204"/>
      <c r="AK57" s="1204"/>
      <c r="AL57" s="1204"/>
      <c r="AM57" s="1204"/>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18.75" customHeight="1">
      <c r="O59" s="444"/>
      <c r="S59" s="1136"/>
      <c r="T59" s="5396"/>
      <c r="U59" s="5396"/>
      <c r="V59" s="5396"/>
      <c r="W59" s="5396"/>
      <c r="X59" s="5396"/>
      <c r="Y59" s="5396"/>
      <c r="Z59" s="5396"/>
      <c r="AA59" s="5396"/>
      <c r="AB59" s="5396"/>
      <c r="AC59" s="5396"/>
      <c r="AD59" s="5396"/>
      <c r="AE59" s="5396"/>
      <c r="AF59" s="5396"/>
      <c r="AG59" s="5396"/>
      <c r="AH59" s="5396"/>
      <c r="AI59" s="5396"/>
      <c r="AJ59" s="5396"/>
      <c r="AK59" s="5396"/>
      <c r="AL59" s="5396"/>
      <c r="AM59" s="5396"/>
    </row>
    <row r="60" spans="1:44" ht="27.75" customHeight="1">
      <c r="O60" s="444"/>
      <c r="T60" s="5396"/>
      <c r="U60" s="5396"/>
      <c r="V60" s="5396"/>
      <c r="W60" s="5396"/>
      <c r="X60" s="5396"/>
      <c r="Y60" s="5396"/>
      <c r="Z60" s="5396"/>
      <c r="AA60" s="5396"/>
      <c r="AB60" s="5396"/>
      <c r="AC60" s="5396"/>
      <c r="AD60" s="5396"/>
      <c r="AE60" s="5396"/>
      <c r="AF60" s="5396"/>
      <c r="AG60" s="5396"/>
      <c r="AH60" s="5396"/>
      <c r="AI60" s="5396"/>
      <c r="AJ60" s="5396"/>
      <c r="AK60" s="5396"/>
      <c r="AL60" s="5396"/>
      <c r="AM60" s="5396"/>
    </row>
    <row r="61" spans="1:44" ht="39.75" customHeight="1">
      <c r="O61" s="444"/>
      <c r="T61" s="5396"/>
      <c r="U61" s="5396"/>
      <c r="V61" s="5396"/>
      <c r="W61" s="5396"/>
      <c r="X61" s="5396"/>
      <c r="Y61" s="5396"/>
      <c r="Z61" s="5396"/>
      <c r="AA61" s="5396"/>
      <c r="AB61" s="5396"/>
      <c r="AC61" s="5396"/>
      <c r="AD61" s="5396"/>
      <c r="AE61" s="5396"/>
      <c r="AF61" s="5396"/>
      <c r="AG61" s="5396"/>
      <c r="AH61" s="5396"/>
      <c r="AI61" s="5396"/>
      <c r="AJ61" s="5396"/>
      <c r="AK61" s="5396"/>
      <c r="AL61" s="5396"/>
      <c r="AM61" s="5396"/>
    </row>
    <row r="62" spans="1:44" ht="14.25" customHeight="1">
      <c r="O62" s="444"/>
    </row>
    <row r="63" spans="1:44" ht="19.5" customHeight="1">
      <c r="O63" s="444"/>
      <c r="S63" s="1136"/>
      <c r="T63" s="5289"/>
      <c r="U63" s="5396"/>
      <c r="V63" s="5396"/>
      <c r="W63" s="5396"/>
      <c r="X63" s="5396"/>
      <c r="Y63" s="5396"/>
      <c r="Z63" s="5396"/>
      <c r="AA63" s="5396"/>
      <c r="AB63" s="5396"/>
      <c r="AC63" s="5396"/>
      <c r="AD63" s="5396"/>
      <c r="AE63" s="5396"/>
      <c r="AF63" s="5396"/>
      <c r="AG63" s="5396"/>
      <c r="AH63" s="5396"/>
      <c r="AI63" s="5396"/>
      <c r="AJ63" s="5396"/>
      <c r="AK63" s="5396"/>
      <c r="AL63" s="5396"/>
      <c r="AM63" s="5396"/>
    </row>
    <row r="64" spans="1:44" ht="27.75" customHeight="1">
      <c r="O64" s="444"/>
      <c r="T64" s="5396"/>
      <c r="U64" s="5396"/>
      <c r="V64" s="5396"/>
      <c r="W64" s="5396"/>
      <c r="X64" s="5396"/>
      <c r="Y64" s="5396"/>
      <c r="Z64" s="5396"/>
      <c r="AA64" s="5396"/>
      <c r="AB64" s="5396"/>
      <c r="AC64" s="5396"/>
      <c r="AD64" s="5396"/>
      <c r="AE64" s="5396"/>
      <c r="AF64" s="5396"/>
      <c r="AG64" s="5396"/>
      <c r="AH64" s="5396"/>
      <c r="AI64" s="5396"/>
      <c r="AJ64" s="5396"/>
      <c r="AK64" s="5396"/>
      <c r="AL64" s="5396"/>
      <c r="AM64" s="5396"/>
    </row>
    <row r="65" spans="20:39" ht="33.75" customHeight="1">
      <c r="T65" s="5396"/>
      <c r="U65" s="5396"/>
      <c r="V65" s="5396"/>
      <c r="W65" s="5396"/>
      <c r="X65" s="5396"/>
      <c r="Y65" s="5396"/>
      <c r="Z65" s="5396"/>
      <c r="AA65" s="5396"/>
      <c r="AB65" s="5396"/>
      <c r="AC65" s="5396"/>
      <c r="AD65" s="5396"/>
      <c r="AE65" s="5396"/>
      <c r="AF65" s="5396"/>
      <c r="AG65" s="5396"/>
      <c r="AH65" s="5396"/>
      <c r="AI65" s="5396"/>
      <c r="AJ65" s="5396"/>
      <c r="AK65" s="5396"/>
      <c r="AL65" s="5396"/>
      <c r="AM65" s="5396"/>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2" style="4854" hidden="1" customWidth="1"/>
    <col min="10" max="10" width="9.85546875" style="4854" hidden="1" customWidth="1"/>
    <col min="11" max="11" width="11.42578125" style="4854" hidden="1" customWidth="1"/>
    <col min="12" max="12" width="19.140625" style="4857" hidden="1" customWidth="1"/>
    <col min="13" max="14" width="12.28515625" style="4858" hidden="1" customWidth="1"/>
    <col min="15" max="15" width="23.42578125" style="4858" hidden="1" customWidth="1"/>
    <col min="16" max="16" width="3.7109375" style="4863" hidden="1" customWidth="1"/>
    <col min="17" max="18" width="3.7109375" style="4860" customWidth="1"/>
    <col min="19" max="19" width="12.7109375" style="4861" customWidth="1"/>
    <col min="20" max="20" width="32" style="4862" customWidth="1"/>
    <col min="21" max="21" width="0.140625" style="4862" customWidth="1"/>
    <col min="22" max="22" width="24.7109375" style="4862" hidden="1" customWidth="1"/>
    <col min="23" max="23" width="0.140625" style="4862" hidden="1" customWidth="1"/>
    <col min="24" max="25" width="24.7109375" style="4862" hidden="1" customWidth="1"/>
    <col min="26" max="26" width="11.7109375" style="4862" hidden="1" customWidth="1"/>
    <col min="27" max="27" width="3.7109375" style="4862" hidden="1" customWidth="1"/>
    <col min="28" max="28" width="11.7109375" style="4862" hidden="1" customWidth="1"/>
    <col min="29" max="29" width="8.5703125" style="4862" hidden="1" customWidth="1"/>
    <col min="30" max="30" width="24.7109375" style="4862" customWidth="1"/>
    <col min="31" max="31" width="0.140625" style="4862" customWidth="1"/>
    <col min="32" max="33" width="24.7109375" style="4862" customWidth="1"/>
    <col min="34" max="34" width="11.7109375" style="4862" customWidth="1"/>
    <col min="35" max="35" width="3.7109375" style="4862" customWidth="1"/>
    <col min="36" max="36" width="11.7109375" style="4862" customWidth="1"/>
    <col min="37" max="37" width="8.5703125" style="4862" hidden="1" customWidth="1"/>
    <col min="38" max="38" width="4.7109375" style="4862" customWidth="1"/>
    <col min="39" max="39" width="115.7109375" style="4862" customWidth="1"/>
    <col min="40" max="41" width="10.5703125" style="4856"/>
    <col min="42" max="42" width="11.140625" style="4856" customWidth="1"/>
    <col min="43" max="44" width="10.5703125" style="4856"/>
  </cols>
  <sheetData>
    <row r="1" spans="1:44" ht="14.25" hidden="1" customHeight="1">
      <c r="A1" s="1733"/>
      <c r="Y1" s="245"/>
      <c r="Z1" s="245"/>
      <c r="AG1" s="245"/>
      <c r="AH1" s="245"/>
    </row>
    <row r="2" spans="1:44" ht="21" hidden="1" customHeight="1">
      <c r="A2" s="1241"/>
      <c r="B2" s="1241"/>
      <c r="C2" s="1241"/>
      <c r="D2" s="1241"/>
      <c r="E2" s="5376">
        <v>1</v>
      </c>
      <c r="F2" s="1241"/>
      <c r="G2" s="1241"/>
      <c r="H2" s="1241"/>
      <c r="I2" s="1241"/>
      <c r="J2" s="1241"/>
      <c r="K2" s="1241"/>
      <c r="L2" s="1242"/>
      <c r="M2" s="1243"/>
      <c r="N2" s="1243"/>
      <c r="O2" s="1243"/>
      <c r="P2" s="278"/>
      <c r="Q2" s="277"/>
      <c r="R2" s="272"/>
      <c r="S2" s="1215" t="e">
        <f>INDEX(PT_DIFFERENTIATION_NUM_NTAR,MATCH(A2,PT_DIFFERENTIATION_NTAR_ID,0))</f>
        <v>#N/A</v>
      </c>
      <c r="T2" s="216" t="s">
        <v>141</v>
      </c>
      <c r="U2" s="218"/>
      <c r="V2" s="5362"/>
      <c r="W2" s="5363"/>
      <c r="X2" s="5363"/>
      <c r="Y2" s="5363"/>
      <c r="Z2" s="5363"/>
      <c r="AA2" s="5363"/>
      <c r="AB2" s="5363"/>
      <c r="AC2" s="5364"/>
      <c r="AD2" s="5362" t="e">
        <f>INDEX(PT_DIFFERENTIATION_NTAR,MATCH(A2,PT_DIFFERENTIATION_NTAR_ID,0))</f>
        <v>#N/A</v>
      </c>
      <c r="AE2" s="5363"/>
      <c r="AF2" s="5363"/>
      <c r="AG2" s="5363"/>
      <c r="AH2" s="5363"/>
      <c r="AI2" s="5363"/>
      <c r="AJ2" s="5363"/>
      <c r="AK2" s="5363"/>
      <c r="AL2" s="5364"/>
      <c r="AM2" s="1141" t="s">
        <v>474</v>
      </c>
      <c r="AO2" s="408"/>
      <c r="AP2" s="408" t="str">
        <f t="shared" ref="AP2:AP15" si="0">IF(T2="","",T2)</f>
        <v>Наименование тарифа</v>
      </c>
      <c r="AQ2" s="408"/>
      <c r="AR2" s="408"/>
    </row>
    <row r="3" spans="1:44" ht="21" hidden="1" customHeight="1">
      <c r="A3" s="1241"/>
      <c r="B3" s="1241"/>
      <c r="C3" s="1241"/>
      <c r="D3" s="1241"/>
      <c r="E3" s="5377"/>
      <c r="F3" s="5376">
        <v>1</v>
      </c>
      <c r="G3" s="1241"/>
      <c r="H3" s="1241"/>
      <c r="I3" s="1241"/>
      <c r="J3" s="1241"/>
      <c r="K3" s="1241"/>
      <c r="L3" s="1242"/>
      <c r="M3" s="1243"/>
      <c r="N3" s="1243"/>
      <c r="O3" s="1243"/>
      <c r="P3" s="1211"/>
      <c r="Q3" s="269"/>
      <c r="R3" s="270"/>
      <c r="S3" s="1215" t="e">
        <f>INDEX(PT_DIFFERENTIATION_NUM_TER,MATCH(B3,PT_DIFFERENTIATION_TER_ID,0))</f>
        <v>#N/A</v>
      </c>
      <c r="T3" s="226" t="s">
        <v>475</v>
      </c>
      <c r="U3" s="218"/>
      <c r="V3" s="5362"/>
      <c r="W3" s="5363"/>
      <c r="X3" s="5363"/>
      <c r="Y3" s="5363"/>
      <c r="Z3" s="5363"/>
      <c r="AA3" s="5363"/>
      <c r="AB3" s="5363"/>
      <c r="AC3" s="5364"/>
      <c r="AD3" s="5362" t="e">
        <f>INDEX(PT_DIFFERENTIATION_TER,MATCH(B3,PT_DIFFERENTIATION_TER_ID,0))</f>
        <v>#N/A</v>
      </c>
      <c r="AE3" s="5363"/>
      <c r="AF3" s="5363"/>
      <c r="AG3" s="5363"/>
      <c r="AH3" s="5363"/>
      <c r="AI3" s="5363"/>
      <c r="AJ3" s="5363"/>
      <c r="AK3" s="5363"/>
      <c r="AL3" s="5364"/>
      <c r="AM3" s="1141" t="s">
        <v>476</v>
      </c>
      <c r="AO3" s="408"/>
      <c r="AP3" s="408" t="str">
        <f t="shared" si="0"/>
        <v>Территория действия тарифа</v>
      </c>
      <c r="AQ3" s="408"/>
      <c r="AR3" s="408"/>
    </row>
    <row r="4" spans="1:44" ht="23.25" hidden="1" customHeight="1">
      <c r="A4" s="1241"/>
      <c r="B4" s="1241"/>
      <c r="C4" s="1241"/>
      <c r="D4" s="1241"/>
      <c r="E4" s="5377"/>
      <c r="F4" s="5377"/>
      <c r="G4" s="5376">
        <v>1</v>
      </c>
      <c r="H4" s="1241"/>
      <c r="I4" s="1241"/>
      <c r="J4" s="1241"/>
      <c r="K4" s="1241"/>
      <c r="L4" s="1242"/>
      <c r="M4" s="1243"/>
      <c r="N4" s="1243"/>
      <c r="O4" s="1243"/>
      <c r="P4" s="271"/>
      <c r="Q4" s="269"/>
      <c r="R4" s="270"/>
      <c r="S4" s="1215" t="e">
        <f>INDEX(PT_DIFFERENTIATION_NUM_CS,MATCH(C4,PT_DIFFERENTIATION_CS_ID,0))</f>
        <v>#N/A</v>
      </c>
      <c r="T4" s="227" t="s">
        <v>477</v>
      </c>
      <c r="U4" s="218"/>
      <c r="V4" s="5362"/>
      <c r="W4" s="5363"/>
      <c r="X4" s="5363"/>
      <c r="Y4" s="5363"/>
      <c r="Z4" s="5363"/>
      <c r="AA4" s="5363"/>
      <c r="AB4" s="5363"/>
      <c r="AC4" s="5364"/>
      <c r="AD4" s="5362" t="e">
        <f>INDEX(PT_DIFFERENTIATION_CS,MATCH(C4,PT_DIFFERENTIATION_CS_ID,0))</f>
        <v>#N/A</v>
      </c>
      <c r="AE4" s="5363"/>
      <c r="AF4" s="5363"/>
      <c r="AG4" s="5363"/>
      <c r="AH4" s="5363"/>
      <c r="AI4" s="5363"/>
      <c r="AJ4" s="5363"/>
      <c r="AK4" s="5363"/>
      <c r="AL4" s="5364"/>
      <c r="AM4" s="1141" t="s">
        <v>478</v>
      </c>
      <c r="AO4" s="408"/>
      <c r="AP4" s="408" t="str">
        <f t="shared" si="0"/>
        <v xml:space="preserve">Наименование системы теплоснабжения </v>
      </c>
      <c r="AQ4" s="408"/>
      <c r="AR4" s="408"/>
    </row>
    <row r="5" spans="1:44" ht="21" hidden="1" customHeight="1">
      <c r="A5" s="1241"/>
      <c r="B5" s="1241"/>
      <c r="C5" s="1241"/>
      <c r="D5" s="1241"/>
      <c r="E5" s="5377"/>
      <c r="F5" s="5377"/>
      <c r="G5" s="5377"/>
      <c r="H5" s="5376">
        <v>1</v>
      </c>
      <c r="I5" s="1241"/>
      <c r="J5" s="1241"/>
      <c r="K5" s="1241"/>
      <c r="L5" s="1242"/>
      <c r="M5" s="1243"/>
      <c r="N5" s="1243"/>
      <c r="O5" s="1243"/>
      <c r="P5" s="271"/>
      <c r="Q5" s="269"/>
      <c r="R5" s="270"/>
      <c r="S5" s="1215" t="e">
        <f>INDEX(PT_DIFFERENTIATION_NUM_IST_TE,MATCH(D5,PT_DIFFERENTIATION_IST_TE_ID,0))</f>
        <v>#N/A</v>
      </c>
      <c r="T5" s="228" t="s">
        <v>479</v>
      </c>
      <c r="U5" s="218"/>
      <c r="V5" s="5362"/>
      <c r="W5" s="5363"/>
      <c r="X5" s="5363"/>
      <c r="Y5" s="5363"/>
      <c r="Z5" s="5363"/>
      <c r="AA5" s="5363"/>
      <c r="AB5" s="5363"/>
      <c r="AC5" s="5364"/>
      <c r="AD5" s="5362" t="e">
        <f>INDEX(PT_DIFFERENTIATION_IST_TE,MATCH(D5,PT_DIFFERENTIATION_IST_TE_ID,0))</f>
        <v>#N/A</v>
      </c>
      <c r="AE5" s="5363"/>
      <c r="AF5" s="5363"/>
      <c r="AG5" s="5363"/>
      <c r="AH5" s="5363"/>
      <c r="AI5" s="5363"/>
      <c r="AJ5" s="5363"/>
      <c r="AK5" s="5363"/>
      <c r="AL5" s="5364"/>
      <c r="AM5" s="1141" t="s">
        <v>480</v>
      </c>
      <c r="AO5" s="408"/>
      <c r="AP5" s="408" t="str">
        <f t="shared" si="0"/>
        <v xml:space="preserve">Источник тепловой энергии  </v>
      </c>
      <c r="AQ5" s="408"/>
      <c r="AR5" s="408"/>
    </row>
    <row r="6" spans="1:44" ht="14.25" hidden="1" customHeight="1">
      <c r="A6" s="1241"/>
      <c r="B6" s="1241"/>
      <c r="C6" s="1241"/>
      <c r="D6" s="1241"/>
      <c r="E6" s="5377"/>
      <c r="F6" s="5377"/>
      <c r="G6" s="5377"/>
      <c r="H6" s="5377"/>
      <c r="I6" s="5374" t="e">
        <f>S5&amp;".1"</f>
        <v>#N/A</v>
      </c>
      <c r="J6" s="1241"/>
      <c r="K6" s="1241"/>
      <c r="L6" s="1242" t="s">
        <v>481</v>
      </c>
      <c r="M6" s="444"/>
      <c r="P6" s="5375">
        <v>1</v>
      </c>
      <c r="Q6" s="1210"/>
      <c r="R6" s="273"/>
      <c r="S6" s="931"/>
      <c r="T6" s="1261"/>
      <c r="U6" s="1262"/>
      <c r="V6" s="5405"/>
      <c r="W6" s="5406"/>
      <c r="X6" s="5406"/>
      <c r="Y6" s="5406"/>
      <c r="Z6" s="5406"/>
      <c r="AA6" s="5406"/>
      <c r="AB6" s="5406"/>
      <c r="AC6" s="5407"/>
      <c r="AD6" s="5405"/>
      <c r="AE6" s="5406"/>
      <c r="AF6" s="5406"/>
      <c r="AG6" s="5406"/>
      <c r="AH6" s="5406"/>
      <c r="AI6" s="5406"/>
      <c r="AJ6" s="5406"/>
      <c r="AK6" s="5406"/>
      <c r="AL6" s="5407"/>
      <c r="AM6" s="1263"/>
      <c r="AO6" s="408"/>
      <c r="AP6" s="408" t="str">
        <f t="shared" si="0"/>
        <v/>
      </c>
      <c r="AQ6" s="408"/>
      <c r="AR6" s="408"/>
    </row>
    <row r="7" spans="1:44" ht="21" hidden="1" customHeight="1">
      <c r="A7" s="1241"/>
      <c r="B7" s="1241"/>
      <c r="C7" s="1241"/>
      <c r="D7" s="1241"/>
      <c r="E7" s="5377"/>
      <c r="F7" s="5377"/>
      <c r="G7" s="5377"/>
      <c r="H7" s="5377"/>
      <c r="I7" s="5397"/>
      <c r="J7" s="5374" t="e">
        <f>I6&amp;".1"</f>
        <v>#N/A</v>
      </c>
      <c r="K7" s="1241"/>
      <c r="L7" s="1242" t="s">
        <v>484</v>
      </c>
      <c r="M7" s="444"/>
      <c r="N7" s="1244"/>
      <c r="P7" s="5375"/>
      <c r="Q7" s="5375">
        <v>1</v>
      </c>
      <c r="R7" s="274"/>
      <c r="S7" s="1215" t="e">
        <f>$J7</f>
        <v>#N/A</v>
      </c>
      <c r="T7" s="204" t="s">
        <v>485</v>
      </c>
      <c r="U7" s="218"/>
      <c r="V7" s="5365"/>
      <c r="W7" s="5366"/>
      <c r="X7" s="5366"/>
      <c r="Y7" s="5366"/>
      <c r="Z7" s="5366"/>
      <c r="AA7" s="5366"/>
      <c r="AB7" s="5366"/>
      <c r="AC7" s="5367"/>
      <c r="AD7" s="5365"/>
      <c r="AE7" s="5366"/>
      <c r="AF7" s="5366"/>
      <c r="AG7" s="5366"/>
      <c r="AH7" s="5366"/>
      <c r="AI7" s="5366"/>
      <c r="AJ7" s="5366"/>
      <c r="AK7" s="5366"/>
      <c r="AL7" s="5367"/>
      <c r="AM7" s="1141" t="s">
        <v>486</v>
      </c>
      <c r="AO7" s="408"/>
      <c r="AP7" s="408" t="str">
        <f t="shared" si="0"/>
        <v>Группа потребителей</v>
      </c>
      <c r="AQ7" s="408"/>
      <c r="AR7" s="408"/>
    </row>
    <row r="8" spans="1:44" ht="21" hidden="1" customHeight="1">
      <c r="A8" s="1241"/>
      <c r="B8" s="1241"/>
      <c r="C8" s="1241"/>
      <c r="D8" s="1241"/>
      <c r="E8" s="5377"/>
      <c r="F8" s="5377"/>
      <c r="G8" s="5377"/>
      <c r="H8" s="5377"/>
      <c r="I8" s="5397"/>
      <c r="J8" s="5397"/>
      <c r="K8" s="5374" t="e">
        <f>J7&amp;".1"</f>
        <v>#N/A</v>
      </c>
      <c r="L8" s="1242" t="s">
        <v>487</v>
      </c>
      <c r="M8" s="444"/>
      <c r="N8" s="1244"/>
      <c r="O8" s="1244"/>
      <c r="P8" s="5375"/>
      <c r="Q8" s="5375"/>
      <c r="R8" s="274">
        <v>1</v>
      </c>
      <c r="S8" s="1215" t="e">
        <f>$K8</f>
        <v>#N/A</v>
      </c>
      <c r="T8" s="1226"/>
      <c r="U8" s="218"/>
      <c r="V8" s="650"/>
      <c r="W8" s="243"/>
      <c r="X8" s="650"/>
      <c r="Y8" s="1140"/>
      <c r="Z8" s="5379"/>
      <c r="AA8" s="5225" t="s">
        <v>64</v>
      </c>
      <c r="AB8" s="5379"/>
      <c r="AC8" s="5225" t="s">
        <v>64</v>
      </c>
      <c r="AD8" s="650"/>
      <c r="AE8" s="243"/>
      <c r="AF8" s="650"/>
      <c r="AG8" s="1140"/>
      <c r="AH8" s="5379"/>
      <c r="AI8" s="5225" t="s">
        <v>64</v>
      </c>
      <c r="AJ8" s="5379"/>
      <c r="AK8" s="5225" t="s">
        <v>64</v>
      </c>
      <c r="AL8" s="243"/>
      <c r="AM8" s="5371" t="s">
        <v>488</v>
      </c>
      <c r="AN8" s="419" t="e">
        <f ca="1">STRCHECKDATE(V9:AL9)</f>
        <v>#NAME?</v>
      </c>
      <c r="AO8" s="408"/>
      <c r="AP8" s="408" t="str">
        <f t="shared" si="0"/>
        <v/>
      </c>
      <c r="AQ8" s="408"/>
      <c r="AR8" s="408"/>
    </row>
    <row r="9" spans="1:44" ht="14.25" hidden="1" customHeight="1">
      <c r="A9" s="1241"/>
      <c r="B9" s="1241"/>
      <c r="C9" s="1241"/>
      <c r="D9" s="1241"/>
      <c r="E9" s="5377"/>
      <c r="F9" s="5377"/>
      <c r="G9" s="5377"/>
      <c r="H9" s="5377"/>
      <c r="I9" s="5397"/>
      <c r="J9" s="5397"/>
      <c r="K9" s="5374"/>
      <c r="L9" s="1242"/>
      <c r="M9" s="444"/>
      <c r="N9" s="1244"/>
      <c r="O9" s="1244"/>
      <c r="P9" s="5375"/>
      <c r="Q9" s="5375"/>
      <c r="R9" s="274"/>
      <c r="S9" s="1221"/>
      <c r="T9" s="218"/>
      <c r="U9" s="218"/>
      <c r="V9" s="243"/>
      <c r="W9" s="243"/>
      <c r="X9" s="243"/>
      <c r="Y9" s="246" t="str">
        <f>Z8&amp;"-"&amp;AB8</f>
        <v>-</v>
      </c>
      <c r="Z9" s="5380"/>
      <c r="AA9" s="5225"/>
      <c r="AB9" s="5380"/>
      <c r="AC9" s="5225"/>
      <c r="AD9" s="243"/>
      <c r="AE9" s="243"/>
      <c r="AF9" s="243"/>
      <c r="AG9" s="246" t="str">
        <f>AH8&amp;"-"&amp;AJ8</f>
        <v>-</v>
      </c>
      <c r="AH9" s="5380"/>
      <c r="AI9" s="5225"/>
      <c r="AJ9" s="5380"/>
      <c r="AK9" s="5225"/>
      <c r="AL9" s="243"/>
      <c r="AM9" s="5372"/>
      <c r="AO9" s="408"/>
      <c r="AP9" s="408" t="str">
        <f t="shared" si="0"/>
        <v/>
      </c>
      <c r="AQ9" s="408"/>
      <c r="AR9" s="408"/>
    </row>
    <row r="10" spans="1:44" ht="15" hidden="1" customHeight="1">
      <c r="A10" s="1241"/>
      <c r="B10" s="1241"/>
      <c r="C10" s="1241"/>
      <c r="D10" s="1241"/>
      <c r="E10" s="5377"/>
      <c r="F10" s="5377"/>
      <c r="G10" s="5377"/>
      <c r="H10" s="5377"/>
      <c r="I10" s="5397"/>
      <c r="J10" s="5374"/>
      <c r="K10" s="1241"/>
      <c r="L10" s="1242"/>
      <c r="M10" s="444"/>
      <c r="N10" s="1244"/>
      <c r="P10" s="5375"/>
      <c r="Q10" s="5375"/>
      <c r="R10" s="273"/>
      <c r="S10" s="1161"/>
      <c r="T10" s="205" t="s">
        <v>489</v>
      </c>
      <c r="U10" s="283"/>
      <c r="V10" s="283"/>
      <c r="W10" s="283"/>
      <c r="X10" s="283"/>
      <c r="Y10" s="283"/>
      <c r="Z10" s="283"/>
      <c r="AA10" s="283"/>
      <c r="AB10" s="283"/>
      <c r="AC10" s="283"/>
      <c r="AD10" s="283"/>
      <c r="AE10" s="283"/>
      <c r="AF10" s="283"/>
      <c r="AG10" s="283"/>
      <c r="AH10" s="283"/>
      <c r="AI10" s="283"/>
      <c r="AJ10" s="283"/>
      <c r="AK10" s="283"/>
      <c r="AL10" s="242"/>
      <c r="AM10" s="5373"/>
      <c r="AO10" s="408"/>
      <c r="AP10" s="408" t="str">
        <f t="shared" si="0"/>
        <v>Добавить вид теплоносителя (параметры теплоносителя)</v>
      </c>
      <c r="AQ10" s="408"/>
      <c r="AR10" s="408"/>
    </row>
    <row r="11" spans="1:44" ht="11.25" hidden="1" customHeight="1">
      <c r="A11" s="1241"/>
      <c r="B11" s="1241"/>
      <c r="C11" s="1241"/>
      <c r="D11" s="1241"/>
      <c r="E11" s="5377"/>
      <c r="F11" s="5377"/>
      <c r="G11" s="5377"/>
      <c r="H11" s="5377"/>
      <c r="I11" s="5374"/>
      <c r="J11" s="1241"/>
      <c r="K11" s="1241"/>
      <c r="L11" s="1242"/>
      <c r="M11" s="444"/>
      <c r="P11" s="5375"/>
      <c r="Q11" s="1210"/>
      <c r="R11" s="273"/>
      <c r="S11" s="1161"/>
      <c r="T11" s="281" t="s">
        <v>490</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1"/>
      <c r="B12" s="1241"/>
      <c r="C12" s="1241"/>
      <c r="D12" s="1241"/>
      <c r="E12" s="5377"/>
      <c r="F12" s="5377"/>
      <c r="G12" s="5377"/>
      <c r="H12" s="5376"/>
      <c r="I12" s="1241"/>
      <c r="J12" s="1241"/>
      <c r="K12" s="1241"/>
      <c r="L12" s="1242"/>
      <c r="M12" s="1243"/>
      <c r="N12" s="1243"/>
      <c r="O12" s="444"/>
      <c r="P12" s="277"/>
      <c r="Q12" s="291"/>
      <c r="R12" s="272"/>
      <c r="S12" s="1264"/>
      <c r="T12" s="1265"/>
      <c r="U12" s="1266"/>
      <c r="V12" s="1266"/>
      <c r="W12" s="1266"/>
      <c r="X12" s="1266"/>
      <c r="Y12" s="1266"/>
      <c r="Z12" s="1266"/>
      <c r="AA12" s="1266"/>
      <c r="AB12" s="1266"/>
      <c r="AC12" s="1266"/>
      <c r="AD12" s="1266"/>
      <c r="AE12" s="1266"/>
      <c r="AF12" s="1266"/>
      <c r="AG12" s="1266"/>
      <c r="AH12" s="1266"/>
      <c r="AI12" s="1266"/>
      <c r="AJ12" s="1266"/>
      <c r="AK12" s="1266"/>
      <c r="AL12" s="1266"/>
      <c r="AM12" s="1267"/>
      <c r="AO12" s="408"/>
      <c r="AP12" s="408" t="str">
        <f t="shared" si="0"/>
        <v/>
      </c>
      <c r="AQ12" s="408"/>
      <c r="AR12" s="408"/>
    </row>
    <row r="13" spans="1:44" s="4853" customFormat="1" ht="14.25" hidden="1" customHeight="1">
      <c r="A13" s="1194"/>
      <c r="B13" s="1194"/>
      <c r="C13" s="1194"/>
      <c r="D13" s="1194"/>
      <c r="E13" s="5377"/>
      <c r="F13" s="5377"/>
      <c r="G13" s="5376"/>
      <c r="H13" s="1194"/>
      <c r="I13" s="1194"/>
      <c r="J13" s="1194"/>
      <c r="K13" s="1194"/>
      <c r="L13" s="1218"/>
      <c r="M13" s="1195"/>
      <c r="N13" s="1195"/>
      <c r="P13" s="1196"/>
      <c r="Q13" s="1197"/>
      <c r="R13" s="1196"/>
      <c r="S13" s="1198"/>
      <c r="T13" s="1199" t="s">
        <v>492</v>
      </c>
      <c r="U13" s="1200"/>
      <c r="V13" s="1200"/>
      <c r="W13" s="1200"/>
      <c r="X13" s="1200"/>
      <c r="Y13" s="1200"/>
      <c r="Z13" s="1200"/>
      <c r="AA13" s="1200"/>
      <c r="AB13" s="1200"/>
      <c r="AC13" s="1200"/>
      <c r="AD13" s="1200"/>
      <c r="AE13" s="1200"/>
      <c r="AF13" s="1200"/>
      <c r="AG13" s="1200"/>
      <c r="AH13" s="1200"/>
      <c r="AI13" s="1200"/>
      <c r="AJ13" s="1200"/>
      <c r="AK13" s="1200"/>
      <c r="AL13" s="1200"/>
      <c r="AM13" s="1200"/>
      <c r="AO13" s="688"/>
      <c r="AP13" s="688" t="str">
        <f t="shared" si="0"/>
        <v>Добавить источник для дифференциации</v>
      </c>
      <c r="AQ13" s="688"/>
      <c r="AR13" s="688"/>
    </row>
    <row r="14" spans="1:44" s="4853" customFormat="1" ht="14.25" hidden="1" customHeight="1">
      <c r="A14" s="1194"/>
      <c r="B14" s="1194"/>
      <c r="C14" s="1194"/>
      <c r="D14" s="1194"/>
      <c r="E14" s="5377"/>
      <c r="F14" s="5376"/>
      <c r="G14" s="1194"/>
      <c r="H14" s="1194"/>
      <c r="I14" s="1194"/>
      <c r="J14" s="1194"/>
      <c r="K14" s="1194"/>
      <c r="L14" s="1218"/>
      <c r="M14" s="1201"/>
      <c r="N14" s="1201"/>
      <c r="P14" s="1196"/>
      <c r="Q14" s="1197"/>
      <c r="R14" s="1196"/>
      <c r="S14" s="1202"/>
      <c r="T14" s="1203" t="s">
        <v>271</v>
      </c>
      <c r="U14" s="1204"/>
      <c r="V14" s="1204"/>
      <c r="W14" s="1204"/>
      <c r="X14" s="1204"/>
      <c r="Y14" s="1204"/>
      <c r="Z14" s="1204"/>
      <c r="AA14" s="1204"/>
      <c r="AB14" s="1204"/>
      <c r="AC14" s="1204"/>
      <c r="AD14" s="1204"/>
      <c r="AE14" s="1204"/>
      <c r="AF14" s="1204"/>
      <c r="AG14" s="1204"/>
      <c r="AH14" s="1204"/>
      <c r="AI14" s="1204"/>
      <c r="AJ14" s="1204"/>
      <c r="AK14" s="1204"/>
      <c r="AL14" s="1204"/>
      <c r="AM14" s="1204"/>
      <c r="AO14" s="688"/>
      <c r="AP14" s="688" t="str">
        <f t="shared" si="0"/>
        <v>Добавить централизованную систему для дифференциации</v>
      </c>
      <c r="AQ14" s="688"/>
      <c r="AR14" s="688"/>
    </row>
    <row r="15" spans="1:44" s="4853" customFormat="1" ht="14.25" hidden="1" customHeight="1">
      <c r="A15" s="1194"/>
      <c r="B15" s="1194"/>
      <c r="C15" s="1194"/>
      <c r="D15" s="1194"/>
      <c r="E15" s="5376"/>
      <c r="F15" s="1194"/>
      <c r="G15" s="1194"/>
      <c r="H15" s="1194"/>
      <c r="I15" s="1194"/>
      <c r="J15" s="1194"/>
      <c r="K15" s="1194"/>
      <c r="L15" s="1218"/>
      <c r="M15" s="1201"/>
      <c r="N15" s="1201"/>
      <c r="P15" s="1196"/>
      <c r="Q15" s="1197"/>
      <c r="R15" s="1196"/>
      <c r="S15" s="1202"/>
      <c r="T15" s="1205" t="s">
        <v>330</v>
      </c>
      <c r="U15" s="1204"/>
      <c r="V15" s="1204"/>
      <c r="W15" s="1204"/>
      <c r="X15" s="1204"/>
      <c r="Y15" s="1204"/>
      <c r="Z15" s="1204"/>
      <c r="AA15" s="1204"/>
      <c r="AB15" s="1204"/>
      <c r="AC15" s="1204"/>
      <c r="AD15" s="1204"/>
      <c r="AE15" s="1204"/>
      <c r="AF15" s="1204"/>
      <c r="AG15" s="1204"/>
      <c r="AH15" s="1204"/>
      <c r="AI15" s="1204"/>
      <c r="AJ15" s="1204"/>
      <c r="AK15" s="1204"/>
      <c r="AL15" s="1204"/>
      <c r="AM15" s="1204"/>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8"/>
      <c r="AE17" s="1238"/>
      <c r="AF17" s="1238"/>
      <c r="AG17" s="1239"/>
      <c r="AH17" s="5381"/>
      <c r="AI17" s="5382" t="s">
        <v>64</v>
      </c>
      <c r="AJ17" s="5381"/>
      <c r="AK17" s="5382" t="s">
        <v>64</v>
      </c>
    </row>
    <row r="18" spans="1:44" ht="14.25" hidden="1" customHeight="1">
      <c r="AD18" s="1238"/>
      <c r="AE18" s="1238"/>
      <c r="AF18" s="1238"/>
      <c r="AG18" s="246" t="str">
        <f>AH17&amp;"-"&amp;AJ17</f>
        <v>-</v>
      </c>
      <c r="AH18" s="5382"/>
      <c r="AI18" s="5382"/>
      <c r="AJ18" s="5382"/>
      <c r="AK18" s="5382"/>
    </row>
    <row r="19" spans="1:44" ht="14.25" hidden="1" customHeight="1">
      <c r="AK19" s="245"/>
    </row>
    <row r="20" spans="1:44" s="4854" customFormat="1" ht="22.5" hidden="1" customHeight="1">
      <c r="L20" s="1208"/>
      <c r="M20" s="1240"/>
      <c r="N20" s="1240"/>
      <c r="O20" s="1245" t="s">
        <v>493</v>
      </c>
      <c r="P20" s="1240"/>
      <c r="Q20" s="1249"/>
      <c r="R20" s="1249"/>
      <c r="S20" s="630"/>
      <c r="Z20" s="1245"/>
      <c r="AB20" s="1245"/>
      <c r="AC20" s="1244"/>
      <c r="AH20" s="1245"/>
      <c r="AJ20" s="1245"/>
      <c r="AK20" s="1244"/>
      <c r="AN20" s="419"/>
      <c r="AO20" s="419"/>
      <c r="AP20" s="419"/>
      <c r="AQ20" s="419"/>
      <c r="AR20" s="419"/>
    </row>
    <row r="21" spans="1:44" s="4854" customFormat="1" ht="14.25" hidden="1" customHeight="1">
      <c r="L21" s="1208"/>
      <c r="M21" s="1240"/>
      <c r="N21" s="1240"/>
      <c r="O21" s="1240"/>
      <c r="P21" s="1240"/>
      <c r="Q21" s="1249"/>
      <c r="R21" s="1249"/>
      <c r="S21" s="630"/>
      <c r="AC21" s="1244"/>
      <c r="AK21" s="1244"/>
      <c r="AN21" s="419"/>
      <c r="AO21" s="419"/>
      <c r="AP21" s="419"/>
      <c r="AQ21" s="419"/>
      <c r="AR21" s="419"/>
    </row>
    <row r="22" spans="1:44" s="4854" customFormat="1" ht="14.25" hidden="1" customHeight="1">
      <c r="L22" s="1208"/>
      <c r="M22" s="1240"/>
      <c r="N22" s="1240"/>
      <c r="O22" s="1242" t="s">
        <v>494</v>
      </c>
      <c r="P22" s="1240"/>
      <c r="Q22" s="1249"/>
      <c r="R22" s="1249"/>
      <c r="S22" s="630"/>
      <c r="T22" s="1042" t="s">
        <v>495</v>
      </c>
      <c r="AA22" s="108" t="s">
        <v>496</v>
      </c>
      <c r="AC22" s="108" t="s">
        <v>497</v>
      </c>
      <c r="AD22" s="1042" t="s">
        <v>495</v>
      </c>
      <c r="AI22" s="108" t="s">
        <v>498</v>
      </c>
      <c r="AK22" s="108" t="s">
        <v>497</v>
      </c>
      <c r="AN22" s="419"/>
      <c r="AO22" s="419"/>
      <c r="AP22" s="419"/>
      <c r="AQ22" s="419"/>
      <c r="AR22" s="419"/>
    </row>
    <row r="23" spans="1:44" ht="14.25" hidden="1" customHeight="1">
      <c r="O23" s="1242"/>
    </row>
    <row r="24" spans="1:44" ht="14.25" hidden="1" customHeight="1">
      <c r="O24" s="1242"/>
    </row>
    <row r="25" spans="1:44" ht="14.25" customHeight="1">
      <c r="Q25" s="292"/>
      <c r="R25" s="292"/>
      <c r="S25" s="1158"/>
      <c r="T25" s="280"/>
      <c r="U25" s="280"/>
      <c r="V25" s="417"/>
      <c r="W25" s="417"/>
      <c r="X25" s="417"/>
      <c r="Y25" s="417"/>
      <c r="Z25" s="417"/>
      <c r="AA25" s="417"/>
      <c r="AB25" s="417"/>
      <c r="AC25" s="417"/>
      <c r="AD25" s="417"/>
      <c r="AE25" s="417"/>
      <c r="AF25" s="417"/>
      <c r="AG25" s="417"/>
      <c r="AH25" s="417"/>
      <c r="AI25" s="417"/>
      <c r="AJ25" s="417"/>
      <c r="AK25" s="417"/>
    </row>
    <row r="26" spans="1:44" ht="51.75" customHeight="1">
      <c r="Q26" s="292"/>
      <c r="R26" s="292"/>
      <c r="S26" s="532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321"/>
      <c r="U26" s="5321"/>
      <c r="V26" s="5321"/>
      <c r="W26" s="5321"/>
      <c r="X26" s="5321"/>
      <c r="Y26" s="5321"/>
      <c r="Z26" s="5321"/>
      <c r="AA26" s="5321"/>
      <c r="AB26" s="5321"/>
      <c r="AC26" s="5321"/>
      <c r="AD26" s="5321"/>
      <c r="AE26" s="5321"/>
      <c r="AF26" s="5321"/>
      <c r="AG26" s="5321"/>
      <c r="AH26" s="5321"/>
      <c r="AI26" s="5321"/>
      <c r="AJ26" s="5321"/>
      <c r="AK26" s="1126"/>
    </row>
    <row r="27" spans="1:44" ht="14.25" customHeight="1">
      <c r="Q27" s="292"/>
      <c r="R27" s="292"/>
      <c r="S27" s="5308" t="str">
        <f>IF(org=0,"Не определено",org)</f>
        <v>ООО «Газпром теплоэнерго МО»</v>
      </c>
      <c r="T27" s="5308"/>
      <c r="U27" s="5308"/>
      <c r="V27" s="5308"/>
      <c r="W27" s="5308"/>
      <c r="X27" s="5308"/>
      <c r="Y27" s="5308"/>
      <c r="Z27" s="5308"/>
      <c r="AA27" s="5308"/>
      <c r="AB27" s="5308"/>
      <c r="AC27" s="5308"/>
      <c r="AD27" s="5308"/>
      <c r="AE27" s="5308"/>
      <c r="AF27" s="5308"/>
      <c r="AG27" s="5308"/>
      <c r="AH27" s="5308"/>
      <c r="AI27" s="5308"/>
      <c r="AJ27" s="5308"/>
      <c r="AK27" s="1126"/>
    </row>
    <row r="28" spans="1:44" ht="14.25" customHeight="1">
      <c r="Q28" s="292"/>
      <c r="R28" s="292"/>
      <c r="S28" s="1158"/>
      <c r="T28" s="280"/>
      <c r="U28" s="280"/>
      <c r="V28" s="240"/>
      <c r="W28" s="240"/>
      <c r="X28" s="240"/>
      <c r="Y28" s="240"/>
      <c r="Z28" s="240"/>
      <c r="AA28" s="240"/>
      <c r="AB28" s="240"/>
      <c r="AC28" s="240"/>
      <c r="AD28" s="240"/>
      <c r="AE28" s="240"/>
      <c r="AF28" s="240"/>
      <c r="AG28" s="240"/>
      <c r="AH28" s="240"/>
      <c r="AI28" s="240"/>
      <c r="AJ28" s="240"/>
      <c r="AK28" s="240"/>
      <c r="AL28" s="417"/>
    </row>
    <row r="29" spans="1:44" s="4855" customFormat="1" ht="25.5" customHeight="1">
      <c r="A29" s="1246"/>
      <c r="B29" s="1246"/>
      <c r="C29" s="1246"/>
      <c r="D29" s="1246"/>
      <c r="E29" s="1246"/>
      <c r="F29" s="1246"/>
      <c r="G29" s="1246"/>
      <c r="H29" s="1246"/>
      <c r="I29" s="1246"/>
      <c r="J29" s="1246"/>
      <c r="K29" s="1246"/>
      <c r="L29" s="1247"/>
      <c r="M29" s="1246"/>
      <c r="N29" s="1246"/>
      <c r="O29" s="1246"/>
      <c r="S29" s="5368" t="s">
        <v>38</v>
      </c>
      <c r="T29" s="5368"/>
      <c r="U29" s="1250"/>
      <c r="V29" s="5369" t="str">
        <f>IF(TITLE_NAME_OR_PR_CHANGE="",IF(TITLE_NAME_OR_PR="","",TITLE_NAME_OR_PR),TITLE_NAME_OR_PR_CHANGE)</f>
        <v>Комитет по ценам и тарифам Московской области</v>
      </c>
      <c r="W29" s="5369"/>
      <c r="X29" s="5369"/>
      <c r="Y29" s="5369"/>
      <c r="Z29" s="5369"/>
      <c r="AA29" s="5369"/>
      <c r="AB29" s="5369"/>
      <c r="AC29" s="244"/>
      <c r="AD29" s="5369" t="str">
        <f>IF(TITLE_NAME_OR_PR_CHANGE="",IF(TITLE_NAME_OR_PR="","",TITLE_NAME_OR_PR),TITLE_NAME_OR_PR_CHANGE)</f>
        <v>Комитет по ценам и тарифам Московской области</v>
      </c>
      <c r="AE29" s="5369"/>
      <c r="AF29" s="5369"/>
      <c r="AG29" s="5369"/>
      <c r="AH29" s="5369"/>
      <c r="AI29" s="5369"/>
      <c r="AJ29" s="5369"/>
      <c r="AK29" s="244"/>
      <c r="AL29" s="244"/>
      <c r="AM29" s="199"/>
      <c r="AN29" s="284"/>
      <c r="AO29" s="284"/>
      <c r="AP29" s="284"/>
      <c r="AQ29" s="284"/>
      <c r="AR29" s="284"/>
    </row>
    <row r="30" spans="1:44" s="4855" customFormat="1" ht="18.75" customHeight="1">
      <c r="A30" s="1246"/>
      <c r="B30" s="1246"/>
      <c r="C30" s="1246"/>
      <c r="D30" s="1246"/>
      <c r="E30" s="1246"/>
      <c r="F30" s="1246"/>
      <c r="G30" s="1246"/>
      <c r="H30" s="1246"/>
      <c r="I30" s="1246"/>
      <c r="J30" s="1246"/>
      <c r="K30" s="1246"/>
      <c r="L30" s="1247"/>
      <c r="M30" s="1246"/>
      <c r="N30" s="1246"/>
      <c r="O30" s="1246"/>
      <c r="S30" s="5368" t="s">
        <v>499</v>
      </c>
      <c r="T30" s="5368"/>
      <c r="U30" s="1250"/>
      <c r="V30" s="5378">
        <f>IF(TITLE_DATE_PR_CHANGE="",IF(TITLE_DATE_PR="","",TITLE_DATE_PR),TITLE_DATE_PR_CHANGE)</f>
        <v>45280</v>
      </c>
      <c r="W30" s="5378"/>
      <c r="X30" s="5378"/>
      <c r="Y30" s="5378"/>
      <c r="Z30" s="5378"/>
      <c r="AA30" s="5378"/>
      <c r="AB30" s="5378"/>
      <c r="AC30" s="244"/>
      <c r="AD30" s="5378">
        <f>IF(TITLE_DATE_PR_CHANGE="",IF(TITLE_DATE_PR="","",TITLE_DATE_PR),TITLE_DATE_PR_CHANGE)</f>
        <v>45280</v>
      </c>
      <c r="AE30" s="5378"/>
      <c r="AF30" s="5378"/>
      <c r="AG30" s="5378"/>
      <c r="AH30" s="5378"/>
      <c r="AI30" s="5378"/>
      <c r="AJ30" s="5378"/>
      <c r="AK30" s="244"/>
      <c r="AL30" s="244"/>
      <c r="AM30" s="199"/>
      <c r="AN30" s="284"/>
      <c r="AO30" s="284"/>
      <c r="AP30" s="284"/>
      <c r="AQ30" s="284"/>
      <c r="AR30" s="284"/>
    </row>
    <row r="31" spans="1:44" s="4855" customFormat="1" ht="18.75" customHeight="1">
      <c r="A31" s="1246"/>
      <c r="B31" s="1246"/>
      <c r="C31" s="1246"/>
      <c r="D31" s="1246"/>
      <c r="E31" s="1246"/>
      <c r="F31" s="1246"/>
      <c r="G31" s="1246"/>
      <c r="H31" s="1246"/>
      <c r="I31" s="1246"/>
      <c r="J31" s="1246"/>
      <c r="K31" s="1246"/>
      <c r="L31" s="1247"/>
      <c r="M31" s="1246"/>
      <c r="N31" s="1246"/>
      <c r="O31" s="1246"/>
      <c r="S31" s="5368" t="s">
        <v>500</v>
      </c>
      <c r="T31" s="5368"/>
      <c r="U31" s="1250"/>
      <c r="V31" s="5369" t="str">
        <f>IF(TITLE_NUMBER_PR_CHANGE="",IF(TITLE_NUMBER_PR="","",TITLE_NUMBER_PR),TITLE_NUMBER_PR_CHANGE)</f>
        <v>317-Р</v>
      </c>
      <c r="W31" s="5369"/>
      <c r="X31" s="5369"/>
      <c r="Y31" s="5369"/>
      <c r="Z31" s="5369"/>
      <c r="AA31" s="5369"/>
      <c r="AB31" s="5369"/>
      <c r="AC31" s="244"/>
      <c r="AD31" s="5369" t="str">
        <f>IF(TITLE_NUMBER_PR_CHANGE="",IF(TITLE_NUMBER_PR="","",TITLE_NUMBER_PR),TITLE_NUMBER_PR_CHANGE)</f>
        <v>317-Р</v>
      </c>
      <c r="AE31" s="5369"/>
      <c r="AF31" s="5369"/>
      <c r="AG31" s="5369"/>
      <c r="AH31" s="5369"/>
      <c r="AI31" s="5369"/>
      <c r="AJ31" s="5369"/>
      <c r="AK31" s="244"/>
      <c r="AL31" s="244"/>
      <c r="AM31" s="199"/>
      <c r="AN31" s="284"/>
      <c r="AO31" s="284"/>
      <c r="AP31" s="284"/>
      <c r="AQ31" s="284"/>
      <c r="AR31" s="284"/>
    </row>
    <row r="32" spans="1:44" s="4855" customFormat="1" ht="18.75" customHeight="1">
      <c r="A32" s="1246"/>
      <c r="B32" s="1246"/>
      <c r="C32" s="1246"/>
      <c r="D32" s="1246"/>
      <c r="E32" s="1246"/>
      <c r="F32" s="1246"/>
      <c r="G32" s="1246"/>
      <c r="H32" s="1246"/>
      <c r="I32" s="1246"/>
      <c r="J32" s="1246"/>
      <c r="K32" s="1246"/>
      <c r="L32" s="1247"/>
      <c r="M32" s="1246"/>
      <c r="N32" s="1246"/>
      <c r="O32" s="1246"/>
      <c r="S32" s="5368" t="s">
        <v>40</v>
      </c>
      <c r="T32" s="5368"/>
      <c r="U32" s="1250"/>
      <c r="V32" s="5369" t="str">
        <f>IF(TITLE_IST_PUB_CHANGE="",IF(TITLE_IST_PUB="","",TITLE_IST_PUB),TITLE_IST_PUB_CHANGE)</f>
        <v>https://ktc.mosreg.ru/dokumenty/normotvorchestvo/rasporyazheniya/gosudarstvennoe-regulirovanie-tarifov-na-teplovuyu-energiyu-raspor/29-12-2023-16-47-50-rasporyazhenie-komiteta-po-tsenam-i-tarifam-moskov</v>
      </c>
      <c r="W32" s="5369"/>
      <c r="X32" s="5369"/>
      <c r="Y32" s="5369"/>
      <c r="Z32" s="5369"/>
      <c r="AA32" s="5369"/>
      <c r="AB32" s="5369"/>
      <c r="AC32" s="244"/>
      <c r="AD32" s="5369" t="str">
        <f>IF(TITLE_IST_PUB_CHANGE="",IF(TITLE_IST_PUB="","",TITLE_IST_PUB),TITLE_IST_PUB_CHANGE)</f>
        <v>https://ktc.mosreg.ru/dokumenty/normotvorchestvo/rasporyazheniya/gosudarstvennoe-regulirovanie-tarifov-na-teplovuyu-energiyu-raspor/29-12-2023-16-47-50-rasporyazhenie-komiteta-po-tsenam-i-tarifam-moskov</v>
      </c>
      <c r="AE32" s="5369"/>
      <c r="AF32" s="5369"/>
      <c r="AG32" s="5369"/>
      <c r="AH32" s="5369"/>
      <c r="AI32" s="5369"/>
      <c r="AJ32" s="5369"/>
      <c r="AK32" s="244"/>
      <c r="AL32" s="244"/>
      <c r="AM32" s="199"/>
      <c r="AN32" s="284"/>
      <c r="AO32" s="284"/>
      <c r="AP32" s="284"/>
      <c r="AQ32" s="284"/>
      <c r="AR32" s="284"/>
    </row>
    <row r="33" spans="1:44" ht="14.25" hidden="1" customHeight="1">
      <c r="Q33" s="292"/>
      <c r="R33" s="292"/>
      <c r="S33" s="1158"/>
      <c r="T33" s="280"/>
      <c r="U33" s="280"/>
      <c r="V33" s="240"/>
      <c r="W33" s="240"/>
      <c r="X33" s="240"/>
      <c r="Y33" s="240"/>
      <c r="Z33" s="240"/>
      <c r="AA33" s="240"/>
      <c r="AB33" s="240"/>
      <c r="AC33" s="240"/>
      <c r="AD33" s="240"/>
      <c r="AE33" s="240"/>
      <c r="AF33" s="240"/>
      <c r="AG33" s="240"/>
      <c r="AH33" s="240"/>
      <c r="AI33" s="240"/>
      <c r="AJ33" s="240"/>
      <c r="AK33" s="240"/>
      <c r="AL33" s="417"/>
    </row>
    <row r="34" spans="1:44" s="4855" customFormat="1" ht="18.75" hidden="1" customHeight="1">
      <c r="A34" s="1246"/>
      <c r="B34" s="1246"/>
      <c r="C34" s="1246"/>
      <c r="D34" s="1246"/>
      <c r="E34" s="1246"/>
      <c r="F34" s="1246"/>
      <c r="G34" s="1246"/>
      <c r="H34" s="1246"/>
      <c r="I34" s="1246"/>
      <c r="J34" s="1246"/>
      <c r="K34" s="1246"/>
      <c r="L34" s="1247"/>
      <c r="M34" s="1246"/>
      <c r="N34" s="1246"/>
      <c r="O34" s="1246"/>
      <c r="S34" s="5368" t="s">
        <v>501</v>
      </c>
      <c r="T34" s="5368"/>
      <c r="U34" s="1250"/>
      <c r="V34" s="5378">
        <f>IF(TITLE_DATE_PR_CHANGE="",IF(TITLE_DATE_PR="","",TITLE_DATE_PR),TITLE_DATE_PR_CHANGE)</f>
        <v>45280</v>
      </c>
      <c r="W34" s="5378"/>
      <c r="X34" s="5378"/>
      <c r="Y34" s="5378"/>
      <c r="Z34" s="5378"/>
      <c r="AA34" s="5378"/>
      <c r="AB34" s="5378"/>
      <c r="AC34" s="244"/>
      <c r="AD34" s="5378">
        <f>IF(TITLE_DATE_PR_CHANGE="",IF(TITLE_DATE_PR="","",TITLE_DATE_PR),TITLE_DATE_PR_CHANGE)</f>
        <v>45280</v>
      </c>
      <c r="AE34" s="5378"/>
      <c r="AF34" s="5378"/>
      <c r="AG34" s="5378"/>
      <c r="AH34" s="5378"/>
      <c r="AI34" s="5378"/>
      <c r="AJ34" s="5378"/>
      <c r="AK34" s="244"/>
      <c r="AL34" s="244"/>
      <c r="AM34" s="199"/>
      <c r="AN34" s="284"/>
      <c r="AO34" s="284"/>
      <c r="AP34" s="284"/>
      <c r="AQ34" s="284"/>
      <c r="AR34" s="284"/>
    </row>
    <row r="35" spans="1:44" s="4855" customFormat="1" ht="18.75" hidden="1" customHeight="1">
      <c r="A35" s="1246"/>
      <c r="B35" s="1246"/>
      <c r="C35" s="1246"/>
      <c r="D35" s="1246"/>
      <c r="E35" s="1246"/>
      <c r="F35" s="1246"/>
      <c r="G35" s="1246"/>
      <c r="H35" s="1246"/>
      <c r="I35" s="1246"/>
      <c r="J35" s="1246"/>
      <c r="K35" s="1246"/>
      <c r="L35" s="1247"/>
      <c r="M35" s="1246"/>
      <c r="N35" s="1246"/>
      <c r="O35" s="1246"/>
      <c r="S35" s="5368" t="s">
        <v>502</v>
      </c>
      <c r="T35" s="5368"/>
      <c r="U35" s="1250"/>
      <c r="V35" s="5369" t="str">
        <f>IF(TITLE_NUMBER_PR_CHANGE="",IF(TITLE_NUMBER_PR="","",TITLE_NUMBER_PR),TITLE_NUMBER_PR_CHANGE)</f>
        <v>317-Р</v>
      </c>
      <c r="W35" s="5369"/>
      <c r="X35" s="5369"/>
      <c r="Y35" s="5369"/>
      <c r="Z35" s="5369"/>
      <c r="AA35" s="5369"/>
      <c r="AB35" s="5369"/>
      <c r="AC35" s="244"/>
      <c r="AD35" s="5369" t="str">
        <f>IF(TITLE_NUMBER_PR_CHANGE="",IF(TITLE_NUMBER_PR="","",TITLE_NUMBER_PR),TITLE_NUMBER_PR_CHANGE)</f>
        <v>317-Р</v>
      </c>
      <c r="AE35" s="5369"/>
      <c r="AF35" s="5369"/>
      <c r="AG35" s="5369"/>
      <c r="AH35" s="5369"/>
      <c r="AI35" s="5369"/>
      <c r="AJ35" s="5369"/>
      <c r="AK35" s="244"/>
      <c r="AL35" s="244"/>
      <c r="AM35" s="199"/>
      <c r="AN35" s="284"/>
      <c r="AO35" s="284"/>
      <c r="AP35" s="284"/>
      <c r="AQ35" s="284"/>
      <c r="AR35" s="284"/>
    </row>
    <row r="36" spans="1:44" s="4855" customFormat="1" ht="0" hidden="1" customHeight="1">
      <c r="A36" s="1246"/>
      <c r="B36" s="1246"/>
      <c r="C36" s="1246"/>
      <c r="D36" s="1246"/>
      <c r="E36" s="1246"/>
      <c r="F36" s="1246"/>
      <c r="G36" s="1246"/>
      <c r="H36" s="1246"/>
      <c r="I36" s="1246"/>
      <c r="J36" s="1246"/>
      <c r="K36" s="1246"/>
      <c r="L36" s="1247"/>
      <c r="M36" s="1246"/>
      <c r="N36" s="1246"/>
      <c r="O36" s="1246"/>
      <c r="S36" s="241"/>
      <c r="T36" s="241"/>
      <c r="U36" s="1219"/>
      <c r="V36" s="244"/>
      <c r="W36" s="244"/>
      <c r="X36" s="244"/>
      <c r="Y36" s="244"/>
      <c r="Z36" s="244"/>
      <c r="AA36" s="244"/>
      <c r="AB36" s="244"/>
      <c r="AC36" s="197" t="s">
        <v>503</v>
      </c>
      <c r="AD36" s="244"/>
      <c r="AE36" s="244"/>
      <c r="AF36" s="244"/>
      <c r="AG36" s="244"/>
      <c r="AH36" s="244"/>
      <c r="AI36" s="244"/>
      <c r="AJ36" s="244"/>
      <c r="AK36" s="197" t="s">
        <v>503</v>
      </c>
      <c r="AN36" s="284"/>
      <c r="AO36" s="284"/>
      <c r="AP36" s="284"/>
      <c r="AQ36" s="284"/>
      <c r="AR36" s="284"/>
    </row>
    <row r="37" spans="1:44" ht="14.25" customHeight="1">
      <c r="Q37" s="292"/>
      <c r="R37" s="292"/>
      <c r="S37" s="1158"/>
      <c r="T37" s="280"/>
      <c r="U37" s="1127"/>
      <c r="V37" s="5370"/>
      <c r="W37" s="5370"/>
      <c r="X37" s="5370"/>
      <c r="Y37" s="5370"/>
      <c r="Z37" s="5370"/>
      <c r="AA37" s="5370"/>
      <c r="AB37" s="5370"/>
      <c r="AC37" s="5370"/>
      <c r="AD37" s="5370"/>
      <c r="AE37" s="5370"/>
      <c r="AF37" s="5370"/>
      <c r="AG37" s="5370"/>
      <c r="AH37" s="5370"/>
      <c r="AI37" s="5370"/>
      <c r="AJ37" s="5370"/>
      <c r="AK37" s="5370"/>
    </row>
    <row r="38" spans="1:44" ht="14.25" customHeight="1">
      <c r="Q38" s="292"/>
      <c r="R38" s="292"/>
      <c r="S38" s="5244" t="s">
        <v>378</v>
      </c>
      <c r="T38" s="5244"/>
      <c r="U38" s="5244"/>
      <c r="V38" s="5244"/>
      <c r="W38" s="5244"/>
      <c r="X38" s="5244"/>
      <c r="Y38" s="5244"/>
      <c r="Z38" s="5244"/>
      <c r="AA38" s="5244"/>
      <c r="AB38" s="5244"/>
      <c r="AC38" s="5244"/>
      <c r="AD38" s="5244"/>
      <c r="AE38" s="5244"/>
      <c r="AF38" s="5244"/>
      <c r="AG38" s="5244"/>
      <c r="AH38" s="5244"/>
      <c r="AI38" s="5244"/>
      <c r="AJ38" s="5244"/>
      <c r="AK38" s="5244"/>
      <c r="AL38" s="5244"/>
      <c r="AM38" s="5244" t="s">
        <v>379</v>
      </c>
    </row>
    <row r="39" spans="1:44" ht="14.25" customHeight="1">
      <c r="Q39" s="292"/>
      <c r="R39" s="292"/>
      <c r="S39" s="5384" t="s">
        <v>85</v>
      </c>
      <c r="T39" s="5336" t="s">
        <v>504</v>
      </c>
      <c r="U39" s="219"/>
      <c r="V39" s="5385" t="s">
        <v>505</v>
      </c>
      <c r="W39" s="5386"/>
      <c r="X39" s="5386"/>
      <c r="Y39" s="5386"/>
      <c r="Z39" s="5386"/>
      <c r="AA39" s="5386"/>
      <c r="AB39" s="5387"/>
      <c r="AC39" s="5388" t="s">
        <v>506</v>
      </c>
      <c r="AD39" s="5385" t="s">
        <v>505</v>
      </c>
      <c r="AE39" s="5386"/>
      <c r="AF39" s="5386"/>
      <c r="AG39" s="5386"/>
      <c r="AH39" s="5386"/>
      <c r="AI39" s="5386"/>
      <c r="AJ39" s="5387"/>
      <c r="AK39" s="5388" t="s">
        <v>507</v>
      </c>
      <c r="AL39" s="5391" t="s">
        <v>508</v>
      </c>
      <c r="AM39" s="5244"/>
    </row>
    <row r="40" spans="1:44" ht="33.75" customHeight="1">
      <c r="Q40" s="292"/>
      <c r="R40" s="292"/>
      <c r="S40" s="5384"/>
      <c r="T40" s="5336"/>
      <c r="U40" s="920"/>
      <c r="V40" s="5307" t="s">
        <v>509</v>
      </c>
      <c r="W40" s="5394"/>
      <c r="X40" s="5215" t="s">
        <v>511</v>
      </c>
      <c r="Y40" s="5214"/>
      <c r="Z40" s="5215" t="s">
        <v>512</v>
      </c>
      <c r="AA40" s="5220"/>
      <c r="AB40" s="5214"/>
      <c r="AC40" s="5389"/>
      <c r="AD40" s="5307" t="s">
        <v>525</v>
      </c>
      <c r="AE40" s="5394"/>
      <c r="AF40" s="5215" t="s">
        <v>511</v>
      </c>
      <c r="AG40" s="5214"/>
      <c r="AH40" s="5215" t="s">
        <v>512</v>
      </c>
      <c r="AI40" s="5220"/>
      <c r="AJ40" s="5214"/>
      <c r="AK40" s="5389"/>
      <c r="AL40" s="5392"/>
      <c r="AM40" s="5244"/>
    </row>
    <row r="41" spans="1:44" ht="33.75" customHeight="1">
      <c r="A41" s="1248"/>
      <c r="B41" s="1248" t="s">
        <v>153</v>
      </c>
      <c r="C41" s="1248" t="s">
        <v>154</v>
      </c>
      <c r="D41" s="1248" t="s">
        <v>155</v>
      </c>
      <c r="E41" s="1242" t="s">
        <v>513</v>
      </c>
      <c r="F41" s="1242" t="s">
        <v>514</v>
      </c>
      <c r="G41" s="1242" t="s">
        <v>515</v>
      </c>
      <c r="H41" s="1242" t="s">
        <v>516</v>
      </c>
      <c r="I41" s="1242" t="s">
        <v>517</v>
      </c>
      <c r="J41" s="1242" t="s">
        <v>518</v>
      </c>
      <c r="K41" s="1242" t="s">
        <v>519</v>
      </c>
      <c r="L41" s="1242" t="s">
        <v>494</v>
      </c>
      <c r="Q41" s="292"/>
      <c r="R41" s="292"/>
      <c r="S41" s="5384"/>
      <c r="T41" s="5336"/>
      <c r="U41" s="220"/>
      <c r="V41" s="5355"/>
      <c r="W41" s="5395"/>
      <c r="X41" s="1105" t="s">
        <v>520</v>
      </c>
      <c r="Y41" s="1105" t="s">
        <v>521</v>
      </c>
      <c r="Z41" s="1217" t="s">
        <v>522</v>
      </c>
      <c r="AA41" s="5344" t="s">
        <v>523</v>
      </c>
      <c r="AB41" s="5346"/>
      <c r="AC41" s="5390"/>
      <c r="AD41" s="5355"/>
      <c r="AE41" s="5395"/>
      <c r="AF41" s="1105" t="s">
        <v>520</v>
      </c>
      <c r="AG41" s="1105" t="s">
        <v>521</v>
      </c>
      <c r="AH41" s="1217" t="s">
        <v>522</v>
      </c>
      <c r="AI41" s="5344" t="s">
        <v>523</v>
      </c>
      <c r="AJ41" s="5346"/>
      <c r="AK41" s="5390"/>
      <c r="AL41" s="5393"/>
      <c r="AM41" s="5244"/>
    </row>
    <row r="42" spans="1:44" s="4840"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129</v>
      </c>
      <c r="T42" s="1138" t="s">
        <v>100</v>
      </c>
      <c r="U42" s="1128" t="str">
        <f ca="1">OFFSET(U42,0,-1)</f>
        <v>2</v>
      </c>
      <c r="V42" s="1214">
        <f ca="1">OFFSET(V42,0,-1)+1</f>
        <v>3</v>
      </c>
      <c r="W42" s="1214"/>
      <c r="X42" s="1214">
        <f ca="1">OFFSET(X42,0,-1)+1</f>
        <v>1</v>
      </c>
      <c r="Y42" s="1214">
        <f ca="1">OFFSET(Y42,0,-1)+1</f>
        <v>2</v>
      </c>
      <c r="Z42" s="1214">
        <f ca="1">OFFSET(Z42,0,-1)+1</f>
        <v>3</v>
      </c>
      <c r="AA42" s="5383">
        <f ca="1">OFFSET(AA42,0,-1)+1</f>
        <v>4</v>
      </c>
      <c r="AB42" s="5383"/>
      <c r="AC42" s="1214">
        <f ca="1">OFFSET(AC42,0,-2)+1</f>
        <v>5</v>
      </c>
      <c r="AD42" s="1214">
        <f ca="1">OFFSET(AD42,0,-1)+1</f>
        <v>6</v>
      </c>
      <c r="AE42" s="1214"/>
      <c r="AF42" s="1214">
        <f ca="1">OFFSET(AF42,0,-1)+1</f>
        <v>1</v>
      </c>
      <c r="AG42" s="1214">
        <f ca="1">OFFSET(AG42,0,-1)+1</f>
        <v>2</v>
      </c>
      <c r="AH42" s="1214">
        <f ca="1">OFFSET(AH42,0,-1)+1</f>
        <v>3</v>
      </c>
      <c r="AI42" s="5383">
        <f ca="1">OFFSET(AI42,0,-1)+1</f>
        <v>4</v>
      </c>
      <c r="AJ42" s="5383"/>
      <c r="AK42" s="1214">
        <f ca="1">OFFSET(AK42,0,-2)+1</f>
        <v>5</v>
      </c>
      <c r="AL42" s="1128">
        <f ca="1">OFFSET(AL42,0,-1)</f>
        <v>5</v>
      </c>
      <c r="AM42" s="1214">
        <f ca="1">OFFSET(AM42,0,-1)+1</f>
        <v>6</v>
      </c>
      <c r="AN42" s="419"/>
      <c r="AO42" s="419"/>
      <c r="AP42" s="419"/>
      <c r="AQ42" s="419"/>
      <c r="AR42" s="419"/>
    </row>
    <row r="43" spans="1:44" ht="21" customHeight="1">
      <c r="A43" s="1241" t="s">
        <v>197</v>
      </c>
      <c r="B43" s="1241"/>
      <c r="C43" s="1241"/>
      <c r="D43" s="1241"/>
      <c r="E43" s="5376">
        <v>1</v>
      </c>
      <c r="F43" s="1241"/>
      <c r="G43" s="1241"/>
      <c r="H43" s="1241"/>
      <c r="I43" s="1241"/>
      <c r="J43" s="1241"/>
      <c r="K43" s="1241"/>
      <c r="L43" s="1242"/>
      <c r="M43" s="1243"/>
      <c r="N43" s="1243"/>
      <c r="O43" s="1243"/>
      <c r="P43" s="278"/>
      <c r="Q43" s="277"/>
      <c r="R43" s="272"/>
      <c r="S43" s="1215">
        <f>INDEX(PT_DIFFERENTIATION_NUM_NTAR,MATCH(A43,PT_DIFFERENTIATION_NTAR_ID,0))</f>
        <v>0</v>
      </c>
      <c r="T43" s="216" t="s">
        <v>141</v>
      </c>
      <c r="U43" s="218"/>
      <c r="V43" s="5362"/>
      <c r="W43" s="5363"/>
      <c r="X43" s="5363"/>
      <c r="Y43" s="5363"/>
      <c r="Z43" s="5363"/>
      <c r="AA43" s="5363"/>
      <c r="AB43" s="5363"/>
      <c r="AC43" s="5364"/>
      <c r="AD43" s="5362" t="str">
        <f>INDEX(PT_DIFFERENTIATION_NTAR,MATCH(A43,PT_DIFFERENTIATION_NTAR_ID,0))</f>
        <v/>
      </c>
      <c r="AE43" s="5363"/>
      <c r="AF43" s="5363"/>
      <c r="AG43" s="5363"/>
      <c r="AH43" s="5363"/>
      <c r="AI43" s="5363"/>
      <c r="AJ43" s="5363"/>
      <c r="AK43" s="5363"/>
      <c r="AL43" s="5364"/>
      <c r="AM43" s="11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8"/>
      <c r="AP43" s="408" t="str">
        <f t="shared" ref="AP43:AP57" si="1">IF(T43="","",T43)</f>
        <v>Наименование тарифа</v>
      </c>
      <c r="AQ43" s="408"/>
      <c r="AR43" s="408"/>
    </row>
    <row r="44" spans="1:44" ht="21" customHeight="1">
      <c r="A44" s="1241" t="s">
        <v>197</v>
      </c>
      <c r="B44" s="1241" t="s">
        <v>198</v>
      </c>
      <c r="C44" s="1241"/>
      <c r="D44" s="1241"/>
      <c r="E44" s="5377"/>
      <c r="F44" s="5376">
        <v>1</v>
      </c>
      <c r="G44" s="1241"/>
      <c r="H44" s="1241"/>
      <c r="I44" s="1241"/>
      <c r="J44" s="1241"/>
      <c r="K44" s="1241"/>
      <c r="L44" s="1242"/>
      <c r="M44" s="1243"/>
      <c r="N44" s="1243"/>
      <c r="O44" s="1243"/>
      <c r="P44" s="1211"/>
      <c r="Q44" s="269"/>
      <c r="R44" s="270"/>
      <c r="S44" s="1215" t="str">
        <f>INDEX(PT_DIFFERENTIATION_NUM_TER,MATCH(B44,PT_DIFFERENTIATION_TER_ID,0))</f>
        <v>.</v>
      </c>
      <c r="T44" s="226" t="s">
        <v>475</v>
      </c>
      <c r="U44" s="218"/>
      <c r="V44" s="5362"/>
      <c r="W44" s="5363"/>
      <c r="X44" s="5363"/>
      <c r="Y44" s="5363"/>
      <c r="Z44" s="5363"/>
      <c r="AA44" s="5363"/>
      <c r="AB44" s="5363"/>
      <c r="AC44" s="5364"/>
      <c r="AD44" s="5362" t="str">
        <f>INDEX(PT_DIFFERENTIATION_TER,MATCH(B44,PT_DIFFERENTIATION_TER_ID,0))</f>
        <v/>
      </c>
      <c r="AE44" s="5363"/>
      <c r="AF44" s="5363"/>
      <c r="AG44" s="5363"/>
      <c r="AH44" s="5363"/>
      <c r="AI44" s="5363"/>
      <c r="AJ44" s="5363"/>
      <c r="AK44" s="5363"/>
      <c r="AL44" s="5364"/>
      <c r="AM44" s="1141" t="s">
        <v>476</v>
      </c>
      <c r="AO44" s="408"/>
      <c r="AP44" s="408" t="str">
        <f t="shared" si="1"/>
        <v>Территория действия тарифа</v>
      </c>
      <c r="AQ44" s="408"/>
      <c r="AR44" s="408"/>
    </row>
    <row r="45" spans="1:44" ht="23.25" customHeight="1">
      <c r="A45" s="1241" t="s">
        <v>197</v>
      </c>
      <c r="B45" s="1241" t="s">
        <v>198</v>
      </c>
      <c r="C45" s="1241" t="s">
        <v>199</v>
      </c>
      <c r="D45" s="1241"/>
      <c r="E45" s="5377"/>
      <c r="F45" s="5377"/>
      <c r="G45" s="5376">
        <v>1</v>
      </c>
      <c r="H45" s="1241"/>
      <c r="I45" s="1241"/>
      <c r="J45" s="1241"/>
      <c r="K45" s="1241"/>
      <c r="L45" s="1242"/>
      <c r="M45" s="1243"/>
      <c r="N45" s="1243"/>
      <c r="O45" s="1243"/>
      <c r="P45" s="271"/>
      <c r="Q45" s="269"/>
      <c r="R45" s="270"/>
      <c r="S45" s="1215" t="str">
        <f>INDEX(PT_DIFFERENTIATION_NUM_CS,MATCH(C45,PT_DIFFERENTIATION_CS_ID,0))</f>
        <v>..</v>
      </c>
      <c r="T45" s="227" t="s">
        <v>477</v>
      </c>
      <c r="U45" s="218"/>
      <c r="V45" s="5362"/>
      <c r="W45" s="5363"/>
      <c r="X45" s="5363"/>
      <c r="Y45" s="5363"/>
      <c r="Z45" s="5363"/>
      <c r="AA45" s="5363"/>
      <c r="AB45" s="5363"/>
      <c r="AC45" s="5364"/>
      <c r="AD45" s="5362" t="str">
        <f>INDEX(PT_DIFFERENTIATION_CS,MATCH(C45,PT_DIFFERENTIATION_CS_ID,0))</f>
        <v/>
      </c>
      <c r="AE45" s="5363"/>
      <c r="AF45" s="5363"/>
      <c r="AG45" s="5363"/>
      <c r="AH45" s="5363"/>
      <c r="AI45" s="5363"/>
      <c r="AJ45" s="5363"/>
      <c r="AK45" s="5363"/>
      <c r="AL45" s="5364"/>
      <c r="AM45" s="1141" t="s">
        <v>478</v>
      </c>
      <c r="AO45" s="408"/>
      <c r="AP45" s="408" t="str">
        <f t="shared" si="1"/>
        <v xml:space="preserve">Наименование системы теплоснабжения </v>
      </c>
      <c r="AQ45" s="408"/>
      <c r="AR45" s="408"/>
    </row>
    <row r="46" spans="1:44" ht="21" customHeight="1">
      <c r="A46" s="1241" t="s">
        <v>197</v>
      </c>
      <c r="B46" s="1241" t="s">
        <v>198</v>
      </c>
      <c r="C46" s="1241" t="s">
        <v>199</v>
      </c>
      <c r="D46" s="1241" t="s">
        <v>200</v>
      </c>
      <c r="E46" s="5377"/>
      <c r="F46" s="5377"/>
      <c r="G46" s="5377"/>
      <c r="H46" s="5376">
        <v>1</v>
      </c>
      <c r="I46" s="1241"/>
      <c r="J46" s="1241"/>
      <c r="K46" s="1241"/>
      <c r="L46" s="1242"/>
      <c r="M46" s="1243"/>
      <c r="N46" s="1243"/>
      <c r="O46" s="1243"/>
      <c r="P46" s="271"/>
      <c r="Q46" s="269"/>
      <c r="R46" s="270"/>
      <c r="S46" s="1215" t="str">
        <f>INDEX(PT_DIFFERENTIATION_NUM_IST_TE,MATCH(D46,PT_DIFFERENTIATION_IST_TE_ID,0))</f>
        <v>...</v>
      </c>
      <c r="T46" s="228" t="s">
        <v>479</v>
      </c>
      <c r="U46" s="218"/>
      <c r="V46" s="5362"/>
      <c r="W46" s="5363"/>
      <c r="X46" s="5363"/>
      <c r="Y46" s="5363"/>
      <c r="Z46" s="5363"/>
      <c r="AA46" s="5363"/>
      <c r="AB46" s="5363"/>
      <c r="AC46" s="5364"/>
      <c r="AD46" s="5362" t="str">
        <f>INDEX(PT_DIFFERENTIATION_IST_TE,MATCH(D46,PT_DIFFERENTIATION_IST_TE_ID,0))</f>
        <v/>
      </c>
      <c r="AE46" s="5363"/>
      <c r="AF46" s="5363"/>
      <c r="AG46" s="5363"/>
      <c r="AH46" s="5363"/>
      <c r="AI46" s="5363"/>
      <c r="AJ46" s="5363"/>
      <c r="AK46" s="5363"/>
      <c r="AL46" s="5364"/>
      <c r="AM46" s="1141" t="s">
        <v>480</v>
      </c>
      <c r="AO46" s="408"/>
      <c r="AP46" s="408" t="str">
        <f t="shared" si="1"/>
        <v xml:space="preserve">Источник тепловой энергии  </v>
      </c>
      <c r="AQ46" s="408"/>
      <c r="AR46" s="408"/>
    </row>
    <row r="47" spans="1:44" s="4856" customFormat="1" ht="0" hidden="1" customHeight="1">
      <c r="A47" s="1222" t="s">
        <v>197</v>
      </c>
      <c r="B47" s="1222" t="s">
        <v>198</v>
      </c>
      <c r="C47" s="1222" t="s">
        <v>199</v>
      </c>
      <c r="D47" s="1222" t="s">
        <v>200</v>
      </c>
      <c r="E47" s="5377"/>
      <c r="F47" s="5377"/>
      <c r="G47" s="5377"/>
      <c r="H47" s="5377"/>
      <c r="I47" s="5374" t="str">
        <f>S46&amp;".1"</f>
        <v>....1</v>
      </c>
      <c r="J47" s="1222"/>
      <c r="K47" s="1222"/>
      <c r="L47" s="1225" t="s">
        <v>481</v>
      </c>
      <c r="M47" s="418"/>
      <c r="N47" s="418"/>
      <c r="O47" s="418"/>
      <c r="P47" s="5375">
        <v>1</v>
      </c>
      <c r="Q47" s="1210"/>
      <c r="R47" s="273"/>
      <c r="S47" s="931"/>
      <c r="T47" s="1261"/>
      <c r="U47" s="1262"/>
      <c r="V47" s="5405"/>
      <c r="W47" s="5406"/>
      <c r="X47" s="5406"/>
      <c r="Y47" s="5406"/>
      <c r="Z47" s="5406"/>
      <c r="AA47" s="5406"/>
      <c r="AB47" s="5406"/>
      <c r="AC47" s="5407"/>
      <c r="AD47" s="5405"/>
      <c r="AE47" s="5406"/>
      <c r="AF47" s="5406"/>
      <c r="AG47" s="5406"/>
      <c r="AH47" s="5406"/>
      <c r="AI47" s="5406"/>
      <c r="AJ47" s="5406"/>
      <c r="AK47" s="5406"/>
      <c r="AL47" s="5407"/>
      <c r="AM47" s="1263"/>
      <c r="AO47" s="408"/>
      <c r="AP47" s="408" t="str">
        <f t="shared" si="1"/>
        <v/>
      </c>
      <c r="AQ47" s="408"/>
      <c r="AR47" s="408"/>
    </row>
    <row r="48" spans="1:44" ht="21" customHeight="1">
      <c r="A48" s="1241" t="s">
        <v>197</v>
      </c>
      <c r="B48" s="1241" t="s">
        <v>198</v>
      </c>
      <c r="C48" s="1241" t="s">
        <v>199</v>
      </c>
      <c r="D48" s="1241" t="s">
        <v>200</v>
      </c>
      <c r="E48" s="5377"/>
      <c r="F48" s="5377"/>
      <c r="G48" s="5377"/>
      <c r="H48" s="5377"/>
      <c r="I48" s="5397"/>
      <c r="J48" s="5374" t="str">
        <f>S46&amp;".1"</f>
        <v>....1</v>
      </c>
      <c r="K48" s="1241"/>
      <c r="L48" s="1242" t="s">
        <v>484</v>
      </c>
      <c r="P48" s="5375"/>
      <c r="Q48" s="5375">
        <v>1</v>
      </c>
      <c r="R48" s="274"/>
      <c r="S48" s="1215" t="str">
        <f>$J48</f>
        <v>....1</v>
      </c>
      <c r="T48" s="204" t="s">
        <v>485</v>
      </c>
      <c r="U48" s="218"/>
      <c r="V48" s="5365"/>
      <c r="W48" s="5366"/>
      <c r="X48" s="5366"/>
      <c r="Y48" s="5366"/>
      <c r="Z48" s="5366"/>
      <c r="AA48" s="5366"/>
      <c r="AB48" s="5366"/>
      <c r="AC48" s="5367"/>
      <c r="AD48" s="5365"/>
      <c r="AE48" s="5366"/>
      <c r="AF48" s="5366"/>
      <c r="AG48" s="5366"/>
      <c r="AH48" s="5366"/>
      <c r="AI48" s="5366"/>
      <c r="AJ48" s="5366"/>
      <c r="AK48" s="5366"/>
      <c r="AL48" s="5367"/>
      <c r="AM48" s="1141" t="s">
        <v>486</v>
      </c>
      <c r="AO48" s="408"/>
      <c r="AP48" s="408" t="str">
        <f t="shared" si="1"/>
        <v>Группа потребителей</v>
      </c>
      <c r="AQ48" s="408"/>
      <c r="AR48" s="408"/>
    </row>
    <row r="49" spans="1:44" ht="21" customHeight="1">
      <c r="A49" s="1241" t="s">
        <v>197</v>
      </c>
      <c r="B49" s="1241" t="s">
        <v>198</v>
      </c>
      <c r="C49" s="1241" t="s">
        <v>199</v>
      </c>
      <c r="D49" s="1241" t="s">
        <v>200</v>
      </c>
      <c r="E49" s="5377"/>
      <c r="F49" s="5377"/>
      <c r="G49" s="5377"/>
      <c r="H49" s="5377"/>
      <c r="I49" s="5397"/>
      <c r="J49" s="5397"/>
      <c r="K49" s="5374" t="str">
        <f>J48&amp;".1"</f>
        <v>....1.1</v>
      </c>
      <c r="L49" s="1242" t="s">
        <v>487</v>
      </c>
      <c r="P49" s="5375"/>
      <c r="Q49" s="5375"/>
      <c r="R49" s="274">
        <v>1</v>
      </c>
      <c r="S49" s="1215" t="str">
        <f>$K49</f>
        <v>....1.1</v>
      </c>
      <c r="T49" s="1226"/>
      <c r="U49" s="218"/>
      <c r="V49" s="650"/>
      <c r="W49" s="243"/>
      <c r="X49" s="650"/>
      <c r="Y49" s="1140"/>
      <c r="Z49" s="5379"/>
      <c r="AA49" s="5225" t="s">
        <v>64</v>
      </c>
      <c r="AB49" s="5379"/>
      <c r="AC49" s="5225" t="s">
        <v>64</v>
      </c>
      <c r="AD49" s="650"/>
      <c r="AE49" s="243"/>
      <c r="AF49" s="650"/>
      <c r="AG49" s="1140"/>
      <c r="AH49" s="5379"/>
      <c r="AI49" s="5225" t="s">
        <v>64</v>
      </c>
      <c r="AJ49" s="5398"/>
      <c r="AK49" s="5225" t="s">
        <v>64</v>
      </c>
      <c r="AL49" s="1227"/>
      <c r="AM49" s="5371" t="s">
        <v>526</v>
      </c>
      <c r="AN49" s="419" t="e">
        <f ca="1">STRCHECKDATE(V50:AL50)</f>
        <v>#NAME?</v>
      </c>
      <c r="AO49" s="408"/>
      <c r="AP49" s="408" t="str">
        <f t="shared" si="1"/>
        <v/>
      </c>
      <c r="AQ49" s="408"/>
      <c r="AR49" s="408"/>
    </row>
    <row r="50" spans="1:44" ht="0.75" customHeight="1">
      <c r="A50" s="1241" t="s">
        <v>197</v>
      </c>
      <c r="B50" s="1241" t="s">
        <v>198</v>
      </c>
      <c r="C50" s="1241" t="s">
        <v>199</v>
      </c>
      <c r="D50" s="1241" t="s">
        <v>200</v>
      </c>
      <c r="E50" s="5377"/>
      <c r="F50" s="5377"/>
      <c r="G50" s="5377"/>
      <c r="H50" s="5377"/>
      <c r="I50" s="5397"/>
      <c r="J50" s="5397"/>
      <c r="K50" s="5374"/>
      <c r="L50" s="1242"/>
      <c r="P50" s="5375"/>
      <c r="Q50" s="5375"/>
      <c r="R50" s="274"/>
      <c r="S50" s="1221"/>
      <c r="T50" s="218"/>
      <c r="U50" s="218"/>
      <c r="V50" s="243"/>
      <c r="W50" s="243"/>
      <c r="X50" s="243"/>
      <c r="Y50" s="246" t="str">
        <f>Z49&amp;"-"&amp;AB49</f>
        <v>-</v>
      </c>
      <c r="Z50" s="5380"/>
      <c r="AA50" s="5225"/>
      <c r="AB50" s="5380"/>
      <c r="AC50" s="5225"/>
      <c r="AD50" s="243"/>
      <c r="AE50" s="243"/>
      <c r="AF50" s="243"/>
      <c r="AG50" s="246" t="str">
        <f>AH49&amp;"-"&amp;AJ49</f>
        <v>-</v>
      </c>
      <c r="AH50" s="5380"/>
      <c r="AI50" s="5225"/>
      <c r="AJ50" s="5399"/>
      <c r="AK50" s="5225"/>
      <c r="AL50" s="1228"/>
      <c r="AM50" s="5372"/>
      <c r="AO50" s="408"/>
      <c r="AP50" s="408" t="str">
        <f t="shared" si="1"/>
        <v/>
      </c>
      <c r="AQ50" s="408"/>
      <c r="AR50" s="408"/>
    </row>
    <row r="51" spans="1:44" ht="11.25" customHeight="1">
      <c r="A51" s="1241" t="s">
        <v>197</v>
      </c>
      <c r="B51" s="1241" t="s">
        <v>198</v>
      </c>
      <c r="C51" s="1241" t="s">
        <v>199</v>
      </c>
      <c r="D51" s="1241" t="s">
        <v>200</v>
      </c>
      <c r="E51" s="5377"/>
      <c r="F51" s="5377"/>
      <c r="G51" s="5377"/>
      <c r="H51" s="5377"/>
      <c r="I51" s="5397"/>
      <c r="J51" s="5374"/>
      <c r="K51" s="1241"/>
      <c r="L51" s="1242"/>
      <c r="P51" s="5375"/>
      <c r="Q51" s="5375"/>
      <c r="R51" s="273"/>
      <c r="S51" s="1161"/>
      <c r="T51" s="205" t="s">
        <v>489</v>
      </c>
      <c r="U51" s="283"/>
      <c r="V51" s="283"/>
      <c r="W51" s="283"/>
      <c r="X51" s="283"/>
      <c r="Y51" s="283"/>
      <c r="Z51" s="283"/>
      <c r="AA51" s="283"/>
      <c r="AB51" s="283"/>
      <c r="AC51" s="283"/>
      <c r="AD51" s="283"/>
      <c r="AE51" s="283"/>
      <c r="AF51" s="283"/>
      <c r="AG51" s="283"/>
      <c r="AH51" s="283"/>
      <c r="AI51" s="283"/>
      <c r="AJ51" s="283"/>
      <c r="AK51" s="283"/>
      <c r="AL51" s="242"/>
      <c r="AM51" s="5373"/>
      <c r="AO51" s="408"/>
      <c r="AP51" s="408" t="str">
        <f t="shared" si="1"/>
        <v>Добавить вид теплоносителя (параметры теплоносителя)</v>
      </c>
      <c r="AQ51" s="408"/>
      <c r="AR51" s="408"/>
    </row>
    <row r="52" spans="1:44" ht="11.25" customHeight="1">
      <c r="A52" s="1241" t="s">
        <v>197</v>
      </c>
      <c r="B52" s="1241" t="s">
        <v>198</v>
      </c>
      <c r="C52" s="1241" t="s">
        <v>199</v>
      </c>
      <c r="D52" s="1241" t="s">
        <v>200</v>
      </c>
      <c r="E52" s="5377"/>
      <c r="F52" s="5377"/>
      <c r="G52" s="5377"/>
      <c r="H52" s="5377"/>
      <c r="I52" s="5374"/>
      <c r="J52" s="1241"/>
      <c r="K52" s="1241"/>
      <c r="L52" s="1242"/>
      <c r="P52" s="5375"/>
      <c r="Q52" s="1210"/>
      <c r="R52" s="273"/>
      <c r="S52" s="1161"/>
      <c r="T52" s="281" t="s">
        <v>490</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41" t="s">
        <v>197</v>
      </c>
      <c r="B53" s="1241" t="s">
        <v>198</v>
      </c>
      <c r="C53" s="1241" t="s">
        <v>199</v>
      </c>
      <c r="D53" s="1241" t="s">
        <v>200</v>
      </c>
      <c r="E53" s="5377"/>
      <c r="F53" s="5377"/>
      <c r="G53" s="5377"/>
      <c r="H53" s="5376"/>
      <c r="I53" s="1241"/>
      <c r="J53" s="1241"/>
      <c r="K53" s="1241"/>
      <c r="L53" s="1242"/>
      <c r="M53" s="1243"/>
      <c r="N53" s="1243"/>
      <c r="O53" s="444"/>
      <c r="P53" s="277"/>
      <c r="Q53" s="291"/>
      <c r="R53" s="272"/>
      <c r="S53" s="1264"/>
      <c r="T53" s="1265"/>
      <c r="U53" s="1266"/>
      <c r="V53" s="1266"/>
      <c r="W53" s="1266"/>
      <c r="X53" s="1266"/>
      <c r="Y53" s="1266"/>
      <c r="Z53" s="1266"/>
      <c r="AA53" s="1266"/>
      <c r="AB53" s="1266"/>
      <c r="AC53" s="1266"/>
      <c r="AD53" s="1266"/>
      <c r="AE53" s="1266"/>
      <c r="AF53" s="1266"/>
      <c r="AG53" s="1266"/>
      <c r="AH53" s="1266"/>
      <c r="AI53" s="1266"/>
      <c r="AJ53" s="1266"/>
      <c r="AK53" s="1266"/>
      <c r="AL53" s="1266"/>
      <c r="AM53" s="1267"/>
      <c r="AO53" s="408"/>
      <c r="AP53" s="408" t="str">
        <f t="shared" si="1"/>
        <v/>
      </c>
      <c r="AQ53" s="408"/>
      <c r="AR53" s="408"/>
    </row>
    <row r="54" spans="1:44" s="4853" customFormat="1" ht="0.75" customHeight="1">
      <c r="A54" s="1222" t="s">
        <v>197</v>
      </c>
      <c r="B54" s="1222" t="s">
        <v>198</v>
      </c>
      <c r="C54" s="1222" t="s">
        <v>199</v>
      </c>
      <c r="D54" s="1194"/>
      <c r="E54" s="5377"/>
      <c r="F54" s="5377"/>
      <c r="G54" s="5376"/>
      <c r="H54" s="1194"/>
      <c r="I54" s="1194"/>
      <c r="J54" s="1194"/>
      <c r="K54" s="1194"/>
      <c r="L54" s="1218"/>
      <c r="M54" s="1195"/>
      <c r="N54" s="1195"/>
      <c r="P54" s="1196"/>
      <c r="Q54" s="1197"/>
      <c r="R54" s="1196"/>
      <c r="S54" s="1202"/>
      <c r="T54" s="1205" t="s">
        <v>492</v>
      </c>
      <c r="U54" s="1204"/>
      <c r="V54" s="1204"/>
      <c r="W54" s="1204"/>
      <c r="X54" s="1204"/>
      <c r="Y54" s="1204"/>
      <c r="Z54" s="1204"/>
      <c r="AA54" s="1204"/>
      <c r="AB54" s="1204"/>
      <c r="AC54" s="1204"/>
      <c r="AD54" s="1204"/>
      <c r="AE54" s="1204"/>
      <c r="AF54" s="1204"/>
      <c r="AG54" s="1204"/>
      <c r="AH54" s="1204"/>
      <c r="AI54" s="1204"/>
      <c r="AJ54" s="1204"/>
      <c r="AK54" s="1204"/>
      <c r="AL54" s="1204"/>
      <c r="AM54" s="1204"/>
      <c r="AO54" s="688"/>
      <c r="AP54" s="688" t="str">
        <f t="shared" si="1"/>
        <v>Добавить источник для дифференциации</v>
      </c>
      <c r="AQ54" s="688"/>
      <c r="AR54" s="688"/>
    </row>
    <row r="55" spans="1:44" s="4853" customFormat="1" ht="0.75" customHeight="1">
      <c r="A55" s="1222" t="s">
        <v>197</v>
      </c>
      <c r="B55" s="1222" t="s">
        <v>198</v>
      </c>
      <c r="C55" s="1194"/>
      <c r="D55" s="1194"/>
      <c r="E55" s="5377"/>
      <c r="F55" s="5376"/>
      <c r="G55" s="1194"/>
      <c r="H55" s="1194"/>
      <c r="I55" s="1194"/>
      <c r="J55" s="1194"/>
      <c r="K55" s="1194"/>
      <c r="L55" s="1218"/>
      <c r="M55" s="1201"/>
      <c r="N55" s="1201"/>
      <c r="P55" s="1196"/>
      <c r="Q55" s="1197"/>
      <c r="R55" s="1196"/>
      <c r="S55" s="1202"/>
      <c r="T55" s="1205" t="s">
        <v>271</v>
      </c>
      <c r="U55" s="1204"/>
      <c r="V55" s="1204"/>
      <c r="W55" s="1204"/>
      <c r="X55" s="1204"/>
      <c r="Y55" s="1204"/>
      <c r="Z55" s="1204"/>
      <c r="AA55" s="1204"/>
      <c r="AB55" s="1204"/>
      <c r="AC55" s="1204"/>
      <c r="AD55" s="1204"/>
      <c r="AE55" s="1204"/>
      <c r="AF55" s="1204"/>
      <c r="AG55" s="1204"/>
      <c r="AH55" s="1204"/>
      <c r="AI55" s="1204"/>
      <c r="AJ55" s="1204"/>
      <c r="AK55" s="1204"/>
      <c r="AL55" s="1204"/>
      <c r="AM55" s="1204"/>
      <c r="AO55" s="688"/>
      <c r="AP55" s="688" t="str">
        <f t="shared" si="1"/>
        <v>Добавить централизованную систему для дифференциации</v>
      </c>
      <c r="AQ55" s="688"/>
      <c r="AR55" s="688"/>
    </row>
    <row r="56" spans="1:44" s="4856" customFormat="1" ht="0.75" customHeight="1">
      <c r="A56" s="1222" t="s">
        <v>197</v>
      </c>
      <c r="B56" s="1222"/>
      <c r="C56" s="1222"/>
      <c r="D56" s="1222"/>
      <c r="E56" s="5376"/>
      <c r="F56" s="1222"/>
      <c r="G56" s="1222"/>
      <c r="H56" s="1222"/>
      <c r="I56" s="1222"/>
      <c r="J56" s="1222"/>
      <c r="K56" s="1222"/>
      <c r="L56" s="1225"/>
      <c r="M56" s="1201"/>
      <c r="N56" s="1201"/>
      <c r="O56" s="426"/>
      <c r="P56" s="296"/>
      <c r="Q56" s="1223"/>
      <c r="R56" s="296"/>
      <c r="S56" s="1202"/>
      <c r="T56" s="1205" t="s">
        <v>330</v>
      </c>
      <c r="U56" s="1204"/>
      <c r="V56" s="1204"/>
      <c r="W56" s="1204"/>
      <c r="X56" s="1204"/>
      <c r="Y56" s="1204"/>
      <c r="Z56" s="1204"/>
      <c r="AA56" s="1204"/>
      <c r="AB56" s="1204"/>
      <c r="AC56" s="1204"/>
      <c r="AD56" s="1204"/>
      <c r="AE56" s="1204"/>
      <c r="AF56" s="1204"/>
      <c r="AG56" s="1204"/>
      <c r="AH56" s="1204"/>
      <c r="AI56" s="1204"/>
      <c r="AJ56" s="1204"/>
      <c r="AK56" s="1204"/>
      <c r="AL56" s="1204"/>
      <c r="AM56" s="1204"/>
      <c r="AO56" s="408"/>
      <c r="AP56" s="408" t="str">
        <f t="shared" si="1"/>
        <v>Добавить территорию для дифференциации</v>
      </c>
      <c r="AQ56" s="408"/>
      <c r="AR56" s="408"/>
    </row>
    <row r="57" spans="1:44" s="4853" customFormat="1" ht="0.75" customHeight="1">
      <c r="A57" s="1194"/>
      <c r="B57" s="1194"/>
      <c r="C57" s="1194"/>
      <c r="D57" s="1194"/>
      <c r="E57" s="1222"/>
      <c r="F57" s="1194"/>
      <c r="G57" s="1194"/>
      <c r="H57" s="1194"/>
      <c r="I57" s="1194"/>
      <c r="J57" s="1194"/>
      <c r="K57" s="1194"/>
      <c r="L57" s="1218"/>
      <c r="M57" s="1201"/>
      <c r="N57" s="1201"/>
      <c r="P57" s="1196"/>
      <c r="Q57" s="1197"/>
      <c r="R57" s="1196"/>
      <c r="S57" s="1202"/>
      <c r="T57" s="1205" t="s">
        <v>331</v>
      </c>
      <c r="U57" s="1204"/>
      <c r="V57" s="1204"/>
      <c r="W57" s="1204"/>
      <c r="X57" s="1204"/>
      <c r="Y57" s="1204"/>
      <c r="Z57" s="1204"/>
      <c r="AA57" s="1204"/>
      <c r="AB57" s="1204"/>
      <c r="AC57" s="1204"/>
      <c r="AD57" s="1204"/>
      <c r="AE57" s="1204"/>
      <c r="AF57" s="1204"/>
      <c r="AG57" s="1204"/>
      <c r="AH57" s="1204"/>
      <c r="AI57" s="1204"/>
      <c r="AJ57" s="1204"/>
      <c r="AK57" s="1204"/>
      <c r="AL57" s="1204"/>
      <c r="AM57" s="1204"/>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21.75" customHeight="1">
      <c r="O59" s="444"/>
      <c r="S59" s="1136"/>
      <c r="T59" s="5396"/>
      <c r="U59" s="5396"/>
      <c r="V59" s="5396"/>
      <c r="W59" s="5396"/>
      <c r="X59" s="5396"/>
      <c r="Y59" s="5396"/>
      <c r="Z59" s="5396"/>
      <c r="AA59" s="5396"/>
      <c r="AB59" s="5396"/>
      <c r="AC59" s="5396"/>
      <c r="AD59" s="5396"/>
      <c r="AE59" s="5396"/>
      <c r="AF59" s="5396"/>
      <c r="AG59" s="5396"/>
      <c r="AH59" s="5396"/>
      <c r="AI59" s="5396"/>
      <c r="AJ59" s="5396"/>
      <c r="AK59" s="5396"/>
      <c r="AL59" s="5396"/>
      <c r="AM59" s="5396"/>
    </row>
    <row r="60" spans="1:44" ht="29.25" customHeight="1">
      <c r="O60" s="444"/>
      <c r="T60" s="5396"/>
      <c r="U60" s="5396"/>
      <c r="V60" s="5396"/>
      <c r="W60" s="5396"/>
      <c r="X60" s="5396"/>
      <c r="Y60" s="5396"/>
      <c r="Z60" s="5396"/>
      <c r="AA60" s="5396"/>
      <c r="AB60" s="5396"/>
      <c r="AC60" s="5396"/>
      <c r="AD60" s="5396"/>
      <c r="AE60" s="5396"/>
      <c r="AF60" s="5396"/>
      <c r="AG60" s="5396"/>
      <c r="AH60" s="5396"/>
      <c r="AI60" s="5396"/>
      <c r="AJ60" s="5396"/>
      <c r="AK60" s="5396"/>
      <c r="AL60" s="5396"/>
      <c r="AM60" s="5396"/>
    </row>
    <row r="61" spans="1:44" ht="39.75" customHeight="1">
      <c r="O61" s="444"/>
      <c r="T61" s="5396"/>
      <c r="U61" s="5396"/>
      <c r="V61" s="5396"/>
      <c r="W61" s="5396"/>
      <c r="X61" s="5396"/>
      <c r="Y61" s="5396"/>
      <c r="Z61" s="5396"/>
      <c r="AA61" s="5396"/>
      <c r="AB61" s="5396"/>
      <c r="AC61" s="5396"/>
      <c r="AD61" s="5396"/>
      <c r="AE61" s="5396"/>
      <c r="AF61" s="5396"/>
      <c r="AG61" s="5396"/>
      <c r="AH61" s="5396"/>
      <c r="AI61" s="5396"/>
      <c r="AJ61" s="5396"/>
      <c r="AK61" s="5396"/>
      <c r="AL61" s="5396"/>
      <c r="AM61" s="5396"/>
    </row>
    <row r="62" spans="1:44" ht="14.25" customHeight="1">
      <c r="O62" s="444"/>
    </row>
    <row r="63" spans="1:44" ht="19.5" customHeight="1">
      <c r="O63" s="444"/>
      <c r="S63" s="1136"/>
      <c r="T63" s="5289"/>
      <c r="U63" s="5396"/>
      <c r="V63" s="5396"/>
      <c r="W63" s="5396"/>
      <c r="X63" s="5396"/>
      <c r="Y63" s="5396"/>
      <c r="Z63" s="5396"/>
      <c r="AA63" s="5396"/>
      <c r="AB63" s="5396"/>
      <c r="AC63" s="5396"/>
      <c r="AD63" s="5396"/>
      <c r="AE63" s="5396"/>
      <c r="AF63" s="5396"/>
      <c r="AG63" s="5396"/>
      <c r="AH63" s="5396"/>
      <c r="AI63" s="5396"/>
      <c r="AJ63" s="5396"/>
      <c r="AK63" s="5396"/>
      <c r="AL63" s="5396"/>
      <c r="AM63" s="5396"/>
    </row>
    <row r="64" spans="1:44" ht="27.75" customHeight="1">
      <c r="O64" s="444"/>
      <c r="T64" s="5396"/>
      <c r="U64" s="5396"/>
      <c r="V64" s="5396"/>
      <c r="W64" s="5396"/>
      <c r="X64" s="5396"/>
      <c r="Y64" s="5396"/>
      <c r="Z64" s="5396"/>
      <c r="AA64" s="5396"/>
      <c r="AB64" s="5396"/>
      <c r="AC64" s="5396"/>
      <c r="AD64" s="5396"/>
      <c r="AE64" s="5396"/>
      <c r="AF64" s="5396"/>
      <c r="AG64" s="5396"/>
      <c r="AH64" s="5396"/>
      <c r="AI64" s="5396"/>
      <c r="AJ64" s="5396"/>
      <c r="AK64" s="5396"/>
      <c r="AL64" s="5396"/>
      <c r="AM64" s="5396"/>
    </row>
    <row r="65" spans="20:39" ht="33.75" customHeight="1">
      <c r="T65" s="5396"/>
      <c r="U65" s="5396"/>
      <c r="V65" s="5396"/>
      <c r="W65" s="5396"/>
      <c r="X65" s="5396"/>
      <c r="Y65" s="5396"/>
      <c r="Z65" s="5396"/>
      <c r="AA65" s="5396"/>
      <c r="AB65" s="5396"/>
      <c r="AC65" s="5396"/>
      <c r="AD65" s="5396"/>
      <c r="AE65" s="5396"/>
      <c r="AF65" s="5396"/>
      <c r="AG65" s="5396"/>
      <c r="AH65" s="5396"/>
      <c r="AI65" s="5396"/>
      <c r="AJ65" s="5396"/>
      <c r="AK65" s="5396"/>
      <c r="AL65" s="5396"/>
      <c r="AM65" s="5396"/>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2" style="4854" hidden="1" customWidth="1"/>
    <col min="10" max="10" width="9.85546875" style="4854" hidden="1" customWidth="1"/>
    <col min="11" max="11" width="11.42578125" style="4854" hidden="1" customWidth="1"/>
    <col min="12" max="12" width="19.140625" style="4857" hidden="1" customWidth="1"/>
    <col min="13" max="14" width="12.28515625" style="4858" hidden="1" customWidth="1"/>
    <col min="15" max="15" width="23.42578125" style="4858" hidden="1" customWidth="1"/>
    <col min="16" max="16" width="3.7109375" style="4863" hidden="1" customWidth="1"/>
    <col min="17" max="18" width="3.7109375" style="4860" customWidth="1"/>
    <col min="19" max="19" width="12.7109375" style="4861" customWidth="1"/>
    <col min="20" max="20" width="32" style="4862" customWidth="1"/>
    <col min="21" max="21" width="0.140625" style="4862" customWidth="1"/>
    <col min="22" max="22" width="24.7109375" style="4862" hidden="1" customWidth="1"/>
    <col min="23" max="23" width="0.140625" style="4862" hidden="1" customWidth="1"/>
    <col min="24" max="25" width="24.7109375" style="4862" hidden="1" customWidth="1"/>
    <col min="26" max="26" width="11.7109375" style="4862" hidden="1" customWidth="1"/>
    <col min="27" max="27" width="3.7109375" style="4862" hidden="1" customWidth="1"/>
    <col min="28" max="28" width="11.7109375" style="4862" hidden="1" customWidth="1"/>
    <col min="29" max="29" width="8.5703125" style="4862" hidden="1" customWidth="1"/>
    <col min="30" max="30" width="24.7109375" style="4862" customWidth="1"/>
    <col min="31" max="31" width="0.140625" style="4862" customWidth="1"/>
    <col min="32" max="33" width="24.7109375" style="4862" customWidth="1"/>
    <col min="34" max="34" width="11.7109375" style="4862" customWidth="1"/>
    <col min="35" max="35" width="3.7109375" style="4862" customWidth="1"/>
    <col min="36" max="36" width="11.7109375" style="4862" customWidth="1"/>
    <col min="37" max="37" width="8.5703125" style="4862" hidden="1" customWidth="1"/>
    <col min="38" max="38" width="4.7109375" style="4862" customWidth="1"/>
    <col min="39" max="39" width="115.7109375" style="4862" customWidth="1"/>
    <col min="40" max="41" width="10.5703125" style="4856"/>
    <col min="42" max="42" width="11.140625" style="4856" customWidth="1"/>
    <col min="43" max="44" width="10.5703125" style="4856"/>
  </cols>
  <sheetData>
    <row r="1" spans="1:44" ht="14.25" hidden="1" customHeight="1">
      <c r="Y1" s="245"/>
      <c r="Z1" s="245"/>
      <c r="AG1" s="245"/>
      <c r="AH1" s="245"/>
    </row>
    <row r="2" spans="1:44" ht="21" hidden="1" customHeight="1">
      <c r="A2" s="1241"/>
      <c r="B2" s="1241"/>
      <c r="C2" s="1241"/>
      <c r="D2" s="1241"/>
      <c r="E2" s="5376">
        <v>1</v>
      </c>
      <c r="F2" s="1241"/>
      <c r="G2" s="1241"/>
      <c r="H2" s="1241"/>
      <c r="I2" s="1241"/>
      <c r="J2" s="1241"/>
      <c r="K2" s="1241"/>
      <c r="L2" s="1242"/>
      <c r="M2" s="1243"/>
      <c r="N2" s="1243"/>
      <c r="O2" s="1243"/>
      <c r="P2" s="278"/>
      <c r="Q2" s="277"/>
      <c r="R2" s="272"/>
      <c r="S2" s="1215" t="e">
        <f>INDEX(PT_DIFFERENTIATION_NUM_NTAR,MATCH(A2,PT_DIFFERENTIATION_NTAR_ID,0))</f>
        <v>#N/A</v>
      </c>
      <c r="T2" s="216" t="s">
        <v>141</v>
      </c>
      <c r="U2" s="218"/>
      <c r="V2" s="5362"/>
      <c r="W2" s="5363"/>
      <c r="X2" s="5363"/>
      <c r="Y2" s="5363"/>
      <c r="Z2" s="5363"/>
      <c r="AA2" s="5363"/>
      <c r="AB2" s="5363"/>
      <c r="AC2" s="5364"/>
      <c r="AD2" s="5362" t="e">
        <f>INDEX(PT_DIFFERENTIATION_NTAR,MATCH(A2,PT_DIFFERENTIATION_NTAR_ID,0))</f>
        <v>#N/A</v>
      </c>
      <c r="AE2" s="5363"/>
      <c r="AF2" s="5363"/>
      <c r="AG2" s="5363"/>
      <c r="AH2" s="5363"/>
      <c r="AI2" s="5363"/>
      <c r="AJ2" s="5363"/>
      <c r="AK2" s="5363"/>
      <c r="AL2" s="5364"/>
      <c r="AM2" s="1141" t="s">
        <v>474</v>
      </c>
      <c r="AO2" s="408"/>
      <c r="AP2" s="408" t="str">
        <f t="shared" ref="AP2:AP15" si="0">IF(T2="","",T2)</f>
        <v>Наименование тарифа</v>
      </c>
      <c r="AQ2" s="408"/>
      <c r="AR2" s="408"/>
    </row>
    <row r="3" spans="1:44" ht="21" hidden="1" customHeight="1">
      <c r="A3" s="1241"/>
      <c r="B3" s="1241"/>
      <c r="C3" s="1241"/>
      <c r="D3" s="1241"/>
      <c r="E3" s="5377"/>
      <c r="F3" s="5376">
        <v>1</v>
      </c>
      <c r="G3" s="1241"/>
      <c r="H3" s="1241"/>
      <c r="I3" s="1241"/>
      <c r="J3" s="1241"/>
      <c r="K3" s="1241"/>
      <c r="L3" s="1242"/>
      <c r="M3" s="1243"/>
      <c r="N3" s="1243"/>
      <c r="O3" s="1243"/>
      <c r="P3" s="1211"/>
      <c r="Q3" s="269"/>
      <c r="R3" s="270"/>
      <c r="S3" s="1215" t="e">
        <f>INDEX(PT_DIFFERENTIATION_NUM_TER,MATCH(B3,PT_DIFFERENTIATION_TER_ID,0))</f>
        <v>#N/A</v>
      </c>
      <c r="T3" s="226" t="s">
        <v>475</v>
      </c>
      <c r="U3" s="218"/>
      <c r="V3" s="5362"/>
      <c r="W3" s="5363"/>
      <c r="X3" s="5363"/>
      <c r="Y3" s="5363"/>
      <c r="Z3" s="5363"/>
      <c r="AA3" s="5363"/>
      <c r="AB3" s="5363"/>
      <c r="AC3" s="5364"/>
      <c r="AD3" s="5362" t="e">
        <f>INDEX(PT_DIFFERENTIATION_TER,MATCH(B3,PT_DIFFERENTIATION_TER_ID,0))</f>
        <v>#N/A</v>
      </c>
      <c r="AE3" s="5363"/>
      <c r="AF3" s="5363"/>
      <c r="AG3" s="5363"/>
      <c r="AH3" s="5363"/>
      <c r="AI3" s="5363"/>
      <c r="AJ3" s="5363"/>
      <c r="AK3" s="5363"/>
      <c r="AL3" s="5364"/>
      <c r="AM3" s="1141" t="s">
        <v>476</v>
      </c>
      <c r="AO3" s="408"/>
      <c r="AP3" s="408" t="str">
        <f t="shared" si="0"/>
        <v>Территория действия тарифа</v>
      </c>
      <c r="AQ3" s="408"/>
      <c r="AR3" s="408"/>
    </row>
    <row r="4" spans="1:44" ht="23.25" hidden="1" customHeight="1">
      <c r="A4" s="1241"/>
      <c r="B4" s="1241"/>
      <c r="C4" s="1241"/>
      <c r="D4" s="1241"/>
      <c r="E4" s="5377"/>
      <c r="F4" s="5377"/>
      <c r="G4" s="5376">
        <v>1</v>
      </c>
      <c r="H4" s="1241"/>
      <c r="I4" s="1241"/>
      <c r="J4" s="1241"/>
      <c r="K4" s="1241"/>
      <c r="L4" s="1242"/>
      <c r="M4" s="1243"/>
      <c r="N4" s="1243"/>
      <c r="O4" s="1243"/>
      <c r="P4" s="271"/>
      <c r="Q4" s="269"/>
      <c r="R4" s="270"/>
      <c r="S4" s="1215" t="e">
        <f>INDEX(PT_DIFFERENTIATION_NUM_CS,MATCH(C4,PT_DIFFERENTIATION_CS_ID,0))</f>
        <v>#N/A</v>
      </c>
      <c r="T4" s="227" t="s">
        <v>477</v>
      </c>
      <c r="U4" s="218"/>
      <c r="V4" s="5362"/>
      <c r="W4" s="5363"/>
      <c r="X4" s="5363"/>
      <c r="Y4" s="5363"/>
      <c r="Z4" s="5363"/>
      <c r="AA4" s="5363"/>
      <c r="AB4" s="5363"/>
      <c r="AC4" s="5364"/>
      <c r="AD4" s="5362" t="e">
        <f>INDEX(PT_DIFFERENTIATION_CS,MATCH(C4,PT_DIFFERENTIATION_CS_ID,0))</f>
        <v>#N/A</v>
      </c>
      <c r="AE4" s="5363"/>
      <c r="AF4" s="5363"/>
      <c r="AG4" s="5363"/>
      <c r="AH4" s="5363"/>
      <c r="AI4" s="5363"/>
      <c r="AJ4" s="5363"/>
      <c r="AK4" s="5363"/>
      <c r="AL4" s="5364"/>
      <c r="AM4" s="1141" t="s">
        <v>478</v>
      </c>
      <c r="AO4" s="408"/>
      <c r="AP4" s="408" t="str">
        <f t="shared" si="0"/>
        <v xml:space="preserve">Наименование системы теплоснабжения </v>
      </c>
      <c r="AQ4" s="408"/>
      <c r="AR4" s="408"/>
    </row>
    <row r="5" spans="1:44" ht="21" hidden="1" customHeight="1">
      <c r="A5" s="1241"/>
      <c r="B5" s="1241"/>
      <c r="C5" s="1241"/>
      <c r="D5" s="1241"/>
      <c r="E5" s="5377"/>
      <c r="F5" s="5377"/>
      <c r="G5" s="5377"/>
      <c r="H5" s="5376">
        <v>1</v>
      </c>
      <c r="I5" s="1241"/>
      <c r="J5" s="1241"/>
      <c r="K5" s="1241"/>
      <c r="L5" s="1242"/>
      <c r="M5" s="1243"/>
      <c r="N5" s="1243"/>
      <c r="O5" s="1243"/>
      <c r="P5" s="271"/>
      <c r="Q5" s="269"/>
      <c r="R5" s="270"/>
      <c r="S5" s="1215" t="e">
        <f>INDEX(PT_DIFFERENTIATION_NUM_IST_TE,MATCH(D5,PT_DIFFERENTIATION_IST_TE_ID,0))</f>
        <v>#N/A</v>
      </c>
      <c r="T5" s="228" t="s">
        <v>479</v>
      </c>
      <c r="U5" s="218"/>
      <c r="V5" s="5362"/>
      <c r="W5" s="5363"/>
      <c r="X5" s="5363"/>
      <c r="Y5" s="5363"/>
      <c r="Z5" s="5363"/>
      <c r="AA5" s="5363"/>
      <c r="AB5" s="5363"/>
      <c r="AC5" s="5364"/>
      <c r="AD5" s="5362" t="e">
        <f>INDEX(PT_DIFFERENTIATION_IST_TE,MATCH(D5,PT_DIFFERENTIATION_IST_TE_ID,0))</f>
        <v>#N/A</v>
      </c>
      <c r="AE5" s="5363"/>
      <c r="AF5" s="5363"/>
      <c r="AG5" s="5363"/>
      <c r="AH5" s="5363"/>
      <c r="AI5" s="5363"/>
      <c r="AJ5" s="5363"/>
      <c r="AK5" s="5363"/>
      <c r="AL5" s="5364"/>
      <c r="AM5" s="1141" t="s">
        <v>480</v>
      </c>
      <c r="AO5" s="408"/>
      <c r="AP5" s="408" t="str">
        <f t="shared" si="0"/>
        <v xml:space="preserve">Источник тепловой энергии  </v>
      </c>
      <c r="AQ5" s="408"/>
      <c r="AR5" s="408"/>
    </row>
    <row r="6" spans="1:44" ht="14.25" hidden="1" customHeight="1">
      <c r="A6" s="1241"/>
      <c r="B6" s="1241"/>
      <c r="C6" s="1241"/>
      <c r="D6" s="1241"/>
      <c r="E6" s="5377"/>
      <c r="F6" s="5377"/>
      <c r="G6" s="5377"/>
      <c r="H6" s="5377"/>
      <c r="I6" s="5374" t="e">
        <f>S5&amp;".1"</f>
        <v>#N/A</v>
      </c>
      <c r="J6" s="1241"/>
      <c r="K6" s="1241"/>
      <c r="L6" s="1242" t="s">
        <v>481</v>
      </c>
      <c r="M6" s="444"/>
      <c r="P6" s="5375">
        <v>1</v>
      </c>
      <c r="Q6" s="1210"/>
      <c r="R6" s="273"/>
      <c r="S6" s="931"/>
      <c r="T6" s="1261"/>
      <c r="U6" s="1262"/>
      <c r="V6" s="5405"/>
      <c r="W6" s="5406"/>
      <c r="X6" s="5406"/>
      <c r="Y6" s="5406"/>
      <c r="Z6" s="5406"/>
      <c r="AA6" s="5406"/>
      <c r="AB6" s="5406"/>
      <c r="AC6" s="5407"/>
      <c r="AD6" s="5405"/>
      <c r="AE6" s="5406"/>
      <c r="AF6" s="5406"/>
      <c r="AG6" s="5406"/>
      <c r="AH6" s="5406"/>
      <c r="AI6" s="5406"/>
      <c r="AJ6" s="5406"/>
      <c r="AK6" s="5406"/>
      <c r="AL6" s="5407"/>
      <c r="AM6" s="1263"/>
      <c r="AO6" s="408"/>
      <c r="AP6" s="408" t="str">
        <f t="shared" si="0"/>
        <v/>
      </c>
      <c r="AQ6" s="408"/>
      <c r="AR6" s="408"/>
    </row>
    <row r="7" spans="1:44" ht="21" hidden="1" customHeight="1">
      <c r="A7" s="1241"/>
      <c r="B7" s="1241"/>
      <c r="C7" s="1241"/>
      <c r="D7" s="1241"/>
      <c r="E7" s="5377"/>
      <c r="F7" s="5377"/>
      <c r="G7" s="5377"/>
      <c r="H7" s="5377"/>
      <c r="I7" s="5397"/>
      <c r="J7" s="5374" t="e">
        <f>I6&amp;".1"</f>
        <v>#N/A</v>
      </c>
      <c r="K7" s="1241"/>
      <c r="L7" s="1242" t="s">
        <v>484</v>
      </c>
      <c r="M7" s="444"/>
      <c r="N7" s="1244"/>
      <c r="P7" s="5375"/>
      <c r="Q7" s="5375">
        <v>1</v>
      </c>
      <c r="R7" s="274"/>
      <c r="S7" s="1215" t="e">
        <f>$J7</f>
        <v>#N/A</v>
      </c>
      <c r="T7" s="204" t="s">
        <v>485</v>
      </c>
      <c r="U7" s="218"/>
      <c r="V7" s="5365"/>
      <c r="W7" s="5366"/>
      <c r="X7" s="5366"/>
      <c r="Y7" s="5366"/>
      <c r="Z7" s="5366"/>
      <c r="AA7" s="5366"/>
      <c r="AB7" s="5366"/>
      <c r="AC7" s="5367"/>
      <c r="AD7" s="5365"/>
      <c r="AE7" s="5366"/>
      <c r="AF7" s="5366"/>
      <c r="AG7" s="5366"/>
      <c r="AH7" s="5366"/>
      <c r="AI7" s="5366"/>
      <c r="AJ7" s="5366"/>
      <c r="AK7" s="5366"/>
      <c r="AL7" s="5367"/>
      <c r="AM7" s="1141" t="s">
        <v>486</v>
      </c>
      <c r="AO7" s="408"/>
      <c r="AP7" s="408" t="str">
        <f t="shared" si="0"/>
        <v>Группа потребителей</v>
      </c>
      <c r="AQ7" s="408"/>
      <c r="AR7" s="408"/>
    </row>
    <row r="8" spans="1:44" ht="21" hidden="1" customHeight="1">
      <c r="A8" s="1241"/>
      <c r="B8" s="1241"/>
      <c r="C8" s="1241"/>
      <c r="D8" s="1241"/>
      <c r="E8" s="5377"/>
      <c r="F8" s="5377"/>
      <c r="G8" s="5377"/>
      <c r="H8" s="5377"/>
      <c r="I8" s="5397"/>
      <c r="J8" s="5397"/>
      <c r="K8" s="5374" t="e">
        <f>J7&amp;".1"</f>
        <v>#N/A</v>
      </c>
      <c r="L8" s="1242" t="s">
        <v>487</v>
      </c>
      <c r="M8" s="444"/>
      <c r="N8" s="1244"/>
      <c r="O8" s="1244"/>
      <c r="P8" s="5375"/>
      <c r="Q8" s="5375"/>
      <c r="R8" s="274">
        <v>1</v>
      </c>
      <c r="S8" s="1215" t="e">
        <f>$K8</f>
        <v>#N/A</v>
      </c>
      <c r="T8" s="1226"/>
      <c r="U8" s="218"/>
      <c r="V8" s="650"/>
      <c r="W8" s="243"/>
      <c r="X8" s="650"/>
      <c r="Y8" s="1140"/>
      <c r="Z8" s="5379"/>
      <c r="AA8" s="5225" t="s">
        <v>64</v>
      </c>
      <c r="AB8" s="5379"/>
      <c r="AC8" s="5225" t="s">
        <v>64</v>
      </c>
      <c r="AD8" s="650"/>
      <c r="AE8" s="243"/>
      <c r="AF8" s="650"/>
      <c r="AG8" s="1140"/>
      <c r="AH8" s="5379"/>
      <c r="AI8" s="5225" t="s">
        <v>64</v>
      </c>
      <c r="AJ8" s="5379"/>
      <c r="AK8" s="5225" t="s">
        <v>64</v>
      </c>
      <c r="AL8" s="243"/>
      <c r="AM8" s="5371" t="s">
        <v>488</v>
      </c>
      <c r="AN8" s="419" t="e">
        <f ca="1">STRCHECKDATE(V9:AL9)</f>
        <v>#NAME?</v>
      </c>
      <c r="AO8" s="408"/>
      <c r="AP8" s="408" t="str">
        <f t="shared" si="0"/>
        <v/>
      </c>
      <c r="AQ8" s="408"/>
      <c r="AR8" s="408"/>
    </row>
    <row r="9" spans="1:44" ht="14.25" hidden="1" customHeight="1">
      <c r="A9" s="1241"/>
      <c r="B9" s="1241"/>
      <c r="C9" s="1241"/>
      <c r="D9" s="1241"/>
      <c r="E9" s="5377"/>
      <c r="F9" s="5377"/>
      <c r="G9" s="5377"/>
      <c r="H9" s="5377"/>
      <c r="I9" s="5397"/>
      <c r="J9" s="5397"/>
      <c r="K9" s="5374"/>
      <c r="L9" s="1242"/>
      <c r="M9" s="444"/>
      <c r="N9" s="1244"/>
      <c r="O9" s="1244"/>
      <c r="P9" s="5375"/>
      <c r="Q9" s="5375"/>
      <c r="R9" s="274"/>
      <c r="S9" s="1221"/>
      <c r="T9" s="218"/>
      <c r="U9" s="218"/>
      <c r="V9" s="243"/>
      <c r="W9" s="243"/>
      <c r="X9" s="243"/>
      <c r="Y9" s="246" t="str">
        <f>Z8&amp;"-"&amp;AB8</f>
        <v>-</v>
      </c>
      <c r="Z9" s="5380"/>
      <c r="AA9" s="5225"/>
      <c r="AB9" s="5380"/>
      <c r="AC9" s="5225"/>
      <c r="AD9" s="243"/>
      <c r="AE9" s="243"/>
      <c r="AF9" s="243"/>
      <c r="AG9" s="246" t="str">
        <f>AH8&amp;"-"&amp;AJ8</f>
        <v>-</v>
      </c>
      <c r="AH9" s="5380"/>
      <c r="AI9" s="5225"/>
      <c r="AJ9" s="5380"/>
      <c r="AK9" s="5225"/>
      <c r="AL9" s="243"/>
      <c r="AM9" s="5372"/>
      <c r="AO9" s="408"/>
      <c r="AP9" s="408" t="str">
        <f t="shared" si="0"/>
        <v/>
      </c>
      <c r="AQ9" s="408"/>
      <c r="AR9" s="408"/>
    </row>
    <row r="10" spans="1:44" ht="15" hidden="1" customHeight="1">
      <c r="A10" s="1241"/>
      <c r="B10" s="1241"/>
      <c r="C10" s="1241"/>
      <c r="D10" s="1241"/>
      <c r="E10" s="5377"/>
      <c r="F10" s="5377"/>
      <c r="G10" s="5377"/>
      <c r="H10" s="5377"/>
      <c r="I10" s="5397"/>
      <c r="J10" s="5374"/>
      <c r="K10" s="1241"/>
      <c r="L10" s="1242"/>
      <c r="M10" s="444"/>
      <c r="N10" s="1244"/>
      <c r="P10" s="5375"/>
      <c r="Q10" s="5375"/>
      <c r="R10" s="273"/>
      <c r="S10" s="1161"/>
      <c r="T10" s="205" t="s">
        <v>489</v>
      </c>
      <c r="U10" s="283"/>
      <c r="V10" s="283"/>
      <c r="W10" s="283"/>
      <c r="X10" s="283"/>
      <c r="Y10" s="283"/>
      <c r="Z10" s="283"/>
      <c r="AA10" s="283"/>
      <c r="AB10" s="283"/>
      <c r="AC10" s="283"/>
      <c r="AD10" s="283"/>
      <c r="AE10" s="283"/>
      <c r="AF10" s="283"/>
      <c r="AG10" s="283"/>
      <c r="AH10" s="283"/>
      <c r="AI10" s="283"/>
      <c r="AJ10" s="283"/>
      <c r="AK10" s="283"/>
      <c r="AL10" s="242"/>
      <c r="AM10" s="5373"/>
      <c r="AO10" s="408"/>
      <c r="AP10" s="408" t="str">
        <f t="shared" si="0"/>
        <v>Добавить вид теплоносителя (параметры теплоносителя)</v>
      </c>
      <c r="AQ10" s="408"/>
      <c r="AR10" s="408"/>
    </row>
    <row r="11" spans="1:44" ht="11.25" hidden="1" customHeight="1">
      <c r="A11" s="1241"/>
      <c r="B11" s="1241"/>
      <c r="C11" s="1241"/>
      <c r="D11" s="1241"/>
      <c r="E11" s="5377"/>
      <c r="F11" s="5377"/>
      <c r="G11" s="5377"/>
      <c r="H11" s="5377"/>
      <c r="I11" s="5374"/>
      <c r="J11" s="1241"/>
      <c r="K11" s="1241"/>
      <c r="L11" s="1242"/>
      <c r="M11" s="444"/>
      <c r="P11" s="5375"/>
      <c r="Q11" s="1210"/>
      <c r="R11" s="273"/>
      <c r="S11" s="1161"/>
      <c r="T11" s="281" t="s">
        <v>490</v>
      </c>
      <c r="U11" s="283"/>
      <c r="V11" s="283"/>
      <c r="W11" s="283"/>
      <c r="X11" s="283"/>
      <c r="Y11" s="283"/>
      <c r="Z11" s="283"/>
      <c r="AA11" s="283"/>
      <c r="AB11" s="283"/>
      <c r="AC11" s="282"/>
      <c r="AD11" s="283"/>
      <c r="AE11" s="283"/>
      <c r="AF11" s="283"/>
      <c r="AG11" s="283"/>
      <c r="AH11" s="283"/>
      <c r="AI11" s="283"/>
      <c r="AJ11" s="283"/>
      <c r="AK11" s="282"/>
      <c r="AL11" s="283"/>
      <c r="AM11" s="221"/>
      <c r="AO11" s="408"/>
      <c r="AP11" s="408" t="str">
        <f t="shared" si="0"/>
        <v>Добавить группу потребителей</v>
      </c>
      <c r="AQ11" s="408"/>
      <c r="AR11" s="408"/>
    </row>
    <row r="12" spans="1:44" ht="14.25" hidden="1" customHeight="1">
      <c r="A12" s="1241"/>
      <c r="B12" s="1241"/>
      <c r="C12" s="1241"/>
      <c r="D12" s="1241"/>
      <c r="E12" s="5377"/>
      <c r="F12" s="5377"/>
      <c r="G12" s="5377"/>
      <c r="H12" s="5376"/>
      <c r="I12" s="1241"/>
      <c r="J12" s="1241"/>
      <c r="K12" s="1241"/>
      <c r="L12" s="1242"/>
      <c r="M12" s="1243"/>
      <c r="N12" s="1243"/>
      <c r="O12" s="444"/>
      <c r="P12" s="277"/>
      <c r="Q12" s="291"/>
      <c r="R12" s="272"/>
      <c r="S12" s="1264"/>
      <c r="T12" s="1265"/>
      <c r="U12" s="1266"/>
      <c r="V12" s="1266"/>
      <c r="W12" s="1266"/>
      <c r="X12" s="1266"/>
      <c r="Y12" s="1266"/>
      <c r="Z12" s="1266"/>
      <c r="AA12" s="1266"/>
      <c r="AB12" s="1266"/>
      <c r="AC12" s="1266"/>
      <c r="AD12" s="1266"/>
      <c r="AE12" s="1266"/>
      <c r="AF12" s="1266"/>
      <c r="AG12" s="1266"/>
      <c r="AH12" s="1266"/>
      <c r="AI12" s="1266"/>
      <c r="AJ12" s="1266"/>
      <c r="AK12" s="1266"/>
      <c r="AL12" s="1266"/>
      <c r="AM12" s="1267"/>
      <c r="AO12" s="408"/>
      <c r="AP12" s="408" t="str">
        <f t="shared" si="0"/>
        <v/>
      </c>
      <c r="AQ12" s="408"/>
      <c r="AR12" s="408"/>
    </row>
    <row r="13" spans="1:44" s="4853" customFormat="1" ht="14.25" hidden="1" customHeight="1">
      <c r="A13" s="1194"/>
      <c r="B13" s="1194"/>
      <c r="C13" s="1194"/>
      <c r="D13" s="1194"/>
      <c r="E13" s="5377"/>
      <c r="F13" s="5377"/>
      <c r="G13" s="5376"/>
      <c r="H13" s="1194"/>
      <c r="I13" s="1194"/>
      <c r="J13" s="1194"/>
      <c r="K13" s="1194"/>
      <c r="L13" s="1218"/>
      <c r="M13" s="1195"/>
      <c r="N13" s="1195"/>
      <c r="P13" s="1196"/>
      <c r="Q13" s="1197"/>
      <c r="R13" s="1196"/>
      <c r="S13" s="1198"/>
      <c r="T13" s="1199" t="s">
        <v>492</v>
      </c>
      <c r="U13" s="1200"/>
      <c r="V13" s="1200"/>
      <c r="W13" s="1200"/>
      <c r="X13" s="1200"/>
      <c r="Y13" s="1200"/>
      <c r="Z13" s="1200"/>
      <c r="AA13" s="1200"/>
      <c r="AB13" s="1200"/>
      <c r="AC13" s="1200"/>
      <c r="AD13" s="1200"/>
      <c r="AE13" s="1200"/>
      <c r="AF13" s="1200"/>
      <c r="AG13" s="1200"/>
      <c r="AH13" s="1200"/>
      <c r="AI13" s="1200"/>
      <c r="AJ13" s="1200"/>
      <c r="AK13" s="1200"/>
      <c r="AL13" s="1200"/>
      <c r="AM13" s="1200"/>
      <c r="AO13" s="688"/>
      <c r="AP13" s="688" t="str">
        <f t="shared" si="0"/>
        <v>Добавить источник для дифференциации</v>
      </c>
      <c r="AQ13" s="688"/>
      <c r="AR13" s="688"/>
    </row>
    <row r="14" spans="1:44" s="4853" customFormat="1" ht="14.25" hidden="1" customHeight="1">
      <c r="A14" s="1194"/>
      <c r="B14" s="1194"/>
      <c r="C14" s="1194"/>
      <c r="D14" s="1194"/>
      <c r="E14" s="5377"/>
      <c r="F14" s="5376"/>
      <c r="G14" s="1194"/>
      <c r="H14" s="1194"/>
      <c r="I14" s="1194"/>
      <c r="J14" s="1194"/>
      <c r="K14" s="1194"/>
      <c r="L14" s="1218"/>
      <c r="M14" s="1201"/>
      <c r="N14" s="1201"/>
      <c r="P14" s="1196"/>
      <c r="Q14" s="1197"/>
      <c r="R14" s="1196"/>
      <c r="S14" s="1202"/>
      <c r="T14" s="1203" t="s">
        <v>271</v>
      </c>
      <c r="U14" s="1204"/>
      <c r="V14" s="1204"/>
      <c r="W14" s="1204"/>
      <c r="X14" s="1204"/>
      <c r="Y14" s="1204"/>
      <c r="Z14" s="1204"/>
      <c r="AA14" s="1204"/>
      <c r="AB14" s="1204"/>
      <c r="AC14" s="1204"/>
      <c r="AD14" s="1204"/>
      <c r="AE14" s="1204"/>
      <c r="AF14" s="1204"/>
      <c r="AG14" s="1204"/>
      <c r="AH14" s="1204"/>
      <c r="AI14" s="1204"/>
      <c r="AJ14" s="1204"/>
      <c r="AK14" s="1204"/>
      <c r="AL14" s="1204"/>
      <c r="AM14" s="1204"/>
      <c r="AO14" s="688"/>
      <c r="AP14" s="688" t="str">
        <f t="shared" si="0"/>
        <v>Добавить централизованную систему для дифференциации</v>
      </c>
      <c r="AQ14" s="688"/>
      <c r="AR14" s="688"/>
    </row>
    <row r="15" spans="1:44" s="4853" customFormat="1" ht="14.25" hidden="1" customHeight="1">
      <c r="A15" s="1194"/>
      <c r="B15" s="1194"/>
      <c r="C15" s="1194"/>
      <c r="D15" s="1194"/>
      <c r="E15" s="5376"/>
      <c r="F15" s="1194"/>
      <c r="G15" s="1194"/>
      <c r="H15" s="1194"/>
      <c r="I15" s="1194"/>
      <c r="J15" s="1194"/>
      <c r="K15" s="1194"/>
      <c r="L15" s="1218"/>
      <c r="M15" s="1201"/>
      <c r="N15" s="1201"/>
      <c r="P15" s="1196"/>
      <c r="Q15" s="1197"/>
      <c r="R15" s="1196"/>
      <c r="S15" s="1202"/>
      <c r="T15" s="1205" t="s">
        <v>330</v>
      </c>
      <c r="U15" s="1204"/>
      <c r="V15" s="1204"/>
      <c r="W15" s="1204"/>
      <c r="X15" s="1204"/>
      <c r="Y15" s="1204"/>
      <c r="Z15" s="1204"/>
      <c r="AA15" s="1204"/>
      <c r="AB15" s="1204"/>
      <c r="AC15" s="1204"/>
      <c r="AD15" s="1204"/>
      <c r="AE15" s="1204"/>
      <c r="AF15" s="1204"/>
      <c r="AG15" s="1204"/>
      <c r="AH15" s="1204"/>
      <c r="AI15" s="1204"/>
      <c r="AJ15" s="1204"/>
      <c r="AK15" s="1204"/>
      <c r="AL15" s="1204"/>
      <c r="AM15" s="1204"/>
      <c r="AO15" s="688"/>
      <c r="AP15" s="688" t="str">
        <f t="shared" si="0"/>
        <v>Добавить территорию для дифференциации</v>
      </c>
      <c r="AQ15" s="688"/>
      <c r="AR15" s="688"/>
    </row>
    <row r="16" spans="1:44" ht="14.25" hidden="1" customHeight="1">
      <c r="AC16" s="245"/>
      <c r="AK16" s="245"/>
    </row>
    <row r="17" spans="1:44" ht="14.25" hidden="1" customHeight="1">
      <c r="AD17" s="1238"/>
      <c r="AE17" s="1238"/>
      <c r="AF17" s="1238"/>
      <c r="AG17" s="1239"/>
      <c r="AH17" s="5381"/>
      <c r="AI17" s="5382" t="s">
        <v>64</v>
      </c>
      <c r="AJ17" s="5381"/>
      <c r="AK17" s="5382" t="s">
        <v>64</v>
      </c>
    </row>
    <row r="18" spans="1:44" ht="14.25" hidden="1" customHeight="1">
      <c r="AD18" s="1238"/>
      <c r="AE18" s="1238"/>
      <c r="AF18" s="1238"/>
      <c r="AG18" s="246" t="str">
        <f>AH17&amp;"-"&amp;AJ17</f>
        <v>-</v>
      </c>
      <c r="AH18" s="5382"/>
      <c r="AI18" s="5382"/>
      <c r="AJ18" s="5382"/>
      <c r="AK18" s="5382"/>
    </row>
    <row r="19" spans="1:44" ht="14.25" hidden="1" customHeight="1">
      <c r="AK19" s="245"/>
    </row>
    <row r="20" spans="1:44" s="4854" customFormat="1" ht="22.5" hidden="1" customHeight="1">
      <c r="L20" s="1208"/>
      <c r="M20" s="1240"/>
      <c r="N20" s="1240"/>
      <c r="O20" s="1245" t="s">
        <v>493</v>
      </c>
      <c r="P20" s="1240"/>
      <c r="Q20" s="1249"/>
      <c r="R20" s="1249"/>
      <c r="S20" s="630"/>
      <c r="Z20" s="1245"/>
      <c r="AB20" s="1245"/>
      <c r="AC20" s="1244"/>
      <c r="AH20" s="1245"/>
      <c r="AJ20" s="1245"/>
      <c r="AK20" s="1244"/>
      <c r="AN20" s="419"/>
      <c r="AO20" s="419"/>
      <c r="AP20" s="419"/>
      <c r="AQ20" s="419"/>
      <c r="AR20" s="419"/>
    </row>
    <row r="21" spans="1:44" s="4854" customFormat="1" ht="14.25" hidden="1" customHeight="1">
      <c r="L21" s="1208"/>
      <c r="M21" s="1240"/>
      <c r="N21" s="1240"/>
      <c r="O21" s="1240"/>
      <c r="P21" s="1240"/>
      <c r="Q21" s="1249"/>
      <c r="R21" s="1249"/>
      <c r="S21" s="630"/>
      <c r="AC21" s="1244"/>
      <c r="AK21" s="1244"/>
      <c r="AN21" s="419"/>
      <c r="AO21" s="419"/>
      <c r="AP21" s="419"/>
      <c r="AQ21" s="419"/>
      <c r="AR21" s="419"/>
    </row>
    <row r="22" spans="1:44" s="4854" customFormat="1" ht="14.25" hidden="1" customHeight="1">
      <c r="L22" s="1208"/>
      <c r="M22" s="1240"/>
      <c r="N22" s="1240"/>
      <c r="O22" s="1242" t="s">
        <v>494</v>
      </c>
      <c r="P22" s="1240"/>
      <c r="Q22" s="1249"/>
      <c r="R22" s="1249"/>
      <c r="S22" s="630"/>
      <c r="T22" s="1042" t="s">
        <v>495</v>
      </c>
      <c r="AA22" s="108" t="s">
        <v>496</v>
      </c>
      <c r="AC22" s="108" t="s">
        <v>497</v>
      </c>
      <c r="AD22" s="1042" t="s">
        <v>495</v>
      </c>
      <c r="AI22" s="108" t="s">
        <v>498</v>
      </c>
      <c r="AK22" s="108" t="s">
        <v>497</v>
      </c>
      <c r="AN22" s="419"/>
      <c r="AO22" s="419"/>
      <c r="AP22" s="419"/>
      <c r="AQ22" s="419"/>
      <c r="AR22" s="419"/>
    </row>
    <row r="23" spans="1:44" ht="14.25" hidden="1" customHeight="1">
      <c r="O23" s="1242"/>
    </row>
    <row r="24" spans="1:44" ht="14.25" hidden="1" customHeight="1">
      <c r="O24" s="1242"/>
    </row>
    <row r="25" spans="1:44" ht="14.25" customHeight="1">
      <c r="Q25" s="292"/>
      <c r="R25" s="292"/>
      <c r="S25" s="1158"/>
      <c r="T25" s="280"/>
      <c r="U25" s="280"/>
      <c r="V25" s="417"/>
      <c r="W25" s="417"/>
      <c r="X25" s="417"/>
      <c r="Y25" s="417"/>
      <c r="Z25" s="417"/>
      <c r="AA25" s="417"/>
      <c r="AB25" s="417"/>
      <c r="AC25" s="417"/>
      <c r="AD25" s="417"/>
      <c r="AE25" s="417"/>
      <c r="AF25" s="417"/>
      <c r="AG25" s="417"/>
      <c r="AH25" s="417"/>
      <c r="AI25" s="417"/>
      <c r="AJ25" s="417"/>
      <c r="AK25" s="417"/>
    </row>
    <row r="26" spans="1:44" ht="51" customHeight="1">
      <c r="Q26" s="292"/>
      <c r="R26" s="292"/>
      <c r="S26" s="536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360"/>
      <c r="U26" s="5360"/>
      <c r="V26" s="5360"/>
      <c r="W26" s="5360"/>
      <c r="X26" s="5360"/>
      <c r="Y26" s="5360"/>
      <c r="Z26" s="5360"/>
      <c r="AA26" s="5360"/>
      <c r="AB26" s="5360"/>
      <c r="AC26" s="5360"/>
      <c r="AD26" s="5360"/>
      <c r="AE26" s="5360"/>
      <c r="AF26" s="5360"/>
      <c r="AG26" s="5360"/>
      <c r="AH26" s="5360"/>
      <c r="AI26" s="5360"/>
      <c r="AJ26" s="5360"/>
      <c r="AK26" s="1126"/>
    </row>
    <row r="27" spans="1:44" ht="14.25" customHeight="1">
      <c r="Q27" s="292"/>
      <c r="R27" s="292"/>
      <c r="S27" s="5308" t="str">
        <f>IF(org=0,"Не определено",org)</f>
        <v>ООО «Газпром теплоэнерго МО»</v>
      </c>
      <c r="T27" s="5308"/>
      <c r="U27" s="5308"/>
      <c r="V27" s="5308"/>
      <c r="W27" s="5308"/>
      <c r="X27" s="5308"/>
      <c r="Y27" s="5308"/>
      <c r="Z27" s="5308"/>
      <c r="AA27" s="5308"/>
      <c r="AB27" s="5308"/>
      <c r="AC27" s="5308"/>
      <c r="AD27" s="5308"/>
      <c r="AE27" s="5308"/>
      <c r="AF27" s="5308"/>
      <c r="AG27" s="5308"/>
      <c r="AH27" s="5308"/>
      <c r="AI27" s="5308"/>
      <c r="AJ27" s="5308"/>
      <c r="AK27" s="1126"/>
    </row>
    <row r="28" spans="1:44" ht="14.25" customHeight="1">
      <c r="Q28" s="292"/>
      <c r="R28" s="292"/>
      <c r="S28" s="1158"/>
      <c r="T28" s="280"/>
      <c r="U28" s="280"/>
      <c r="V28" s="240"/>
      <c r="W28" s="240"/>
      <c r="X28" s="240"/>
      <c r="Y28" s="240"/>
      <c r="Z28" s="240"/>
      <c r="AA28" s="240"/>
      <c r="AB28" s="240"/>
      <c r="AC28" s="240"/>
      <c r="AD28" s="240"/>
      <c r="AE28" s="240"/>
      <c r="AF28" s="240"/>
      <c r="AG28" s="240"/>
      <c r="AH28" s="240"/>
      <c r="AI28" s="240"/>
      <c r="AJ28" s="240"/>
      <c r="AK28" s="240"/>
      <c r="AL28" s="417"/>
    </row>
    <row r="29" spans="1:44" s="4855" customFormat="1" ht="25.5" customHeight="1">
      <c r="A29" s="1246"/>
      <c r="B29" s="1246"/>
      <c r="C29" s="1246"/>
      <c r="D29" s="1246"/>
      <c r="E29" s="1246"/>
      <c r="F29" s="1246"/>
      <c r="G29" s="1246"/>
      <c r="H29" s="1246"/>
      <c r="I29" s="1246"/>
      <c r="J29" s="1246"/>
      <c r="K29" s="1246"/>
      <c r="L29" s="1247"/>
      <c r="M29" s="1246"/>
      <c r="N29" s="1246"/>
      <c r="O29" s="1246"/>
      <c r="S29" s="5368" t="s">
        <v>38</v>
      </c>
      <c r="T29" s="5368"/>
      <c r="U29" s="1250"/>
      <c r="V29" s="5369" t="str">
        <f>IF(TITLE_NAME_OR_PR_CHANGE="",IF(TITLE_NAME_OR_PR="","",TITLE_NAME_OR_PR),TITLE_NAME_OR_PR_CHANGE)</f>
        <v>Комитет по ценам и тарифам Московской области</v>
      </c>
      <c r="W29" s="5369"/>
      <c r="X29" s="5369"/>
      <c r="Y29" s="5369"/>
      <c r="Z29" s="5369"/>
      <c r="AA29" s="5369"/>
      <c r="AB29" s="5369"/>
      <c r="AC29" s="244"/>
      <c r="AD29" s="5369" t="str">
        <f>IF(TITLE_NAME_OR_PR_CHANGE="",IF(TITLE_NAME_OR_PR="","",TITLE_NAME_OR_PR),TITLE_NAME_OR_PR_CHANGE)</f>
        <v>Комитет по ценам и тарифам Московской области</v>
      </c>
      <c r="AE29" s="5369"/>
      <c r="AF29" s="5369"/>
      <c r="AG29" s="5369"/>
      <c r="AH29" s="5369"/>
      <c r="AI29" s="5369"/>
      <c r="AJ29" s="5369"/>
      <c r="AK29" s="244"/>
      <c r="AL29" s="244"/>
      <c r="AM29" s="199"/>
      <c r="AN29" s="284"/>
      <c r="AO29" s="284"/>
      <c r="AP29" s="284"/>
      <c r="AQ29" s="284"/>
      <c r="AR29" s="284"/>
    </row>
    <row r="30" spans="1:44" s="4855" customFormat="1" ht="18.75" customHeight="1">
      <c r="A30" s="1246"/>
      <c r="B30" s="1246"/>
      <c r="C30" s="1246"/>
      <c r="D30" s="1246"/>
      <c r="E30" s="1246"/>
      <c r="F30" s="1246"/>
      <c r="G30" s="1246"/>
      <c r="H30" s="1246"/>
      <c r="I30" s="1246"/>
      <c r="J30" s="1246"/>
      <c r="K30" s="1246"/>
      <c r="L30" s="1247"/>
      <c r="M30" s="1246"/>
      <c r="N30" s="1246"/>
      <c r="O30" s="1246"/>
      <c r="S30" s="5368" t="s">
        <v>499</v>
      </c>
      <c r="T30" s="5368"/>
      <c r="U30" s="1250"/>
      <c r="V30" s="5378">
        <f>IF(TITLE_DATE_PR_CHANGE="",IF(TITLE_DATE_PR="","",TITLE_DATE_PR),TITLE_DATE_PR_CHANGE)</f>
        <v>45280</v>
      </c>
      <c r="W30" s="5378"/>
      <c r="X30" s="5378"/>
      <c r="Y30" s="5378"/>
      <c r="Z30" s="5378"/>
      <c r="AA30" s="5378"/>
      <c r="AB30" s="5378"/>
      <c r="AC30" s="244"/>
      <c r="AD30" s="5378">
        <f>IF(TITLE_DATE_PR_CHANGE="",IF(TITLE_DATE_PR="","",TITLE_DATE_PR),TITLE_DATE_PR_CHANGE)</f>
        <v>45280</v>
      </c>
      <c r="AE30" s="5378"/>
      <c r="AF30" s="5378"/>
      <c r="AG30" s="5378"/>
      <c r="AH30" s="5378"/>
      <c r="AI30" s="5378"/>
      <c r="AJ30" s="5378"/>
      <c r="AK30" s="244"/>
      <c r="AL30" s="244"/>
      <c r="AM30" s="199"/>
      <c r="AN30" s="284"/>
      <c r="AO30" s="284"/>
      <c r="AP30" s="284"/>
      <c r="AQ30" s="284"/>
      <c r="AR30" s="284"/>
    </row>
    <row r="31" spans="1:44" s="4855" customFormat="1" ht="18.75" customHeight="1">
      <c r="A31" s="1246"/>
      <c r="B31" s="1246"/>
      <c r="C31" s="1246"/>
      <c r="D31" s="1246"/>
      <c r="E31" s="1246"/>
      <c r="F31" s="1246"/>
      <c r="G31" s="1246"/>
      <c r="H31" s="1246"/>
      <c r="I31" s="1246"/>
      <c r="J31" s="1246"/>
      <c r="K31" s="1246"/>
      <c r="L31" s="1247"/>
      <c r="M31" s="1246"/>
      <c r="N31" s="1246"/>
      <c r="O31" s="1246"/>
      <c r="S31" s="5368" t="s">
        <v>500</v>
      </c>
      <c r="T31" s="5368"/>
      <c r="U31" s="1250"/>
      <c r="V31" s="5369" t="str">
        <f>IF(TITLE_NUMBER_PR_CHANGE="",IF(TITLE_NUMBER_PR="","",TITLE_NUMBER_PR),TITLE_NUMBER_PR_CHANGE)</f>
        <v>317-Р</v>
      </c>
      <c r="W31" s="5369"/>
      <c r="X31" s="5369"/>
      <c r="Y31" s="5369"/>
      <c r="Z31" s="5369"/>
      <c r="AA31" s="5369"/>
      <c r="AB31" s="5369"/>
      <c r="AC31" s="244"/>
      <c r="AD31" s="5369" t="str">
        <f>IF(TITLE_NUMBER_PR_CHANGE="",IF(TITLE_NUMBER_PR="","",TITLE_NUMBER_PR),TITLE_NUMBER_PR_CHANGE)</f>
        <v>317-Р</v>
      </c>
      <c r="AE31" s="5369"/>
      <c r="AF31" s="5369"/>
      <c r="AG31" s="5369"/>
      <c r="AH31" s="5369"/>
      <c r="AI31" s="5369"/>
      <c r="AJ31" s="5369"/>
      <c r="AK31" s="244"/>
      <c r="AL31" s="244"/>
      <c r="AM31" s="199"/>
      <c r="AN31" s="284"/>
      <c r="AO31" s="284"/>
      <c r="AP31" s="284"/>
      <c r="AQ31" s="284"/>
      <c r="AR31" s="284"/>
    </row>
    <row r="32" spans="1:44" s="4855" customFormat="1" ht="18.75" customHeight="1">
      <c r="A32" s="1246"/>
      <c r="B32" s="1246"/>
      <c r="C32" s="1246"/>
      <c r="D32" s="1246"/>
      <c r="E32" s="1246"/>
      <c r="F32" s="1246"/>
      <c r="G32" s="1246"/>
      <c r="H32" s="1246"/>
      <c r="I32" s="1246"/>
      <c r="J32" s="1246"/>
      <c r="K32" s="1246"/>
      <c r="L32" s="1247"/>
      <c r="M32" s="1246"/>
      <c r="N32" s="1246"/>
      <c r="O32" s="1246"/>
      <c r="S32" s="5368" t="s">
        <v>40</v>
      </c>
      <c r="T32" s="5368"/>
      <c r="U32" s="1250"/>
      <c r="V32" s="5369" t="str">
        <f>IF(TITLE_IST_PUB_CHANGE="",IF(TITLE_IST_PUB="","",TITLE_IST_PUB),TITLE_IST_PUB_CHANGE)</f>
        <v>https://ktc.mosreg.ru/dokumenty/normotvorchestvo/rasporyazheniya/gosudarstvennoe-regulirovanie-tarifov-na-teplovuyu-energiyu-raspor/29-12-2023-16-47-50-rasporyazhenie-komiteta-po-tsenam-i-tarifam-moskov</v>
      </c>
      <c r="W32" s="5369"/>
      <c r="X32" s="5369"/>
      <c r="Y32" s="5369"/>
      <c r="Z32" s="5369"/>
      <c r="AA32" s="5369"/>
      <c r="AB32" s="5369"/>
      <c r="AC32" s="244"/>
      <c r="AD32" s="5369" t="str">
        <f>IF(TITLE_IST_PUB_CHANGE="",IF(TITLE_IST_PUB="","",TITLE_IST_PUB),TITLE_IST_PUB_CHANGE)</f>
        <v>https://ktc.mosreg.ru/dokumenty/normotvorchestvo/rasporyazheniya/gosudarstvennoe-regulirovanie-tarifov-na-teplovuyu-energiyu-raspor/29-12-2023-16-47-50-rasporyazhenie-komiteta-po-tsenam-i-tarifam-moskov</v>
      </c>
      <c r="AE32" s="5369"/>
      <c r="AF32" s="5369"/>
      <c r="AG32" s="5369"/>
      <c r="AH32" s="5369"/>
      <c r="AI32" s="5369"/>
      <c r="AJ32" s="5369"/>
      <c r="AK32" s="244"/>
      <c r="AL32" s="244"/>
      <c r="AM32" s="199"/>
      <c r="AN32" s="284"/>
      <c r="AO32" s="284"/>
      <c r="AP32" s="284"/>
      <c r="AQ32" s="284"/>
      <c r="AR32" s="284"/>
    </row>
    <row r="33" spans="1:44" ht="14.25" hidden="1" customHeight="1">
      <c r="Q33" s="292"/>
      <c r="R33" s="292"/>
      <c r="S33" s="1158"/>
      <c r="T33" s="280"/>
      <c r="U33" s="280"/>
      <c r="V33" s="240"/>
      <c r="W33" s="240"/>
      <c r="X33" s="240"/>
      <c r="Y33" s="240"/>
      <c r="Z33" s="240"/>
      <c r="AA33" s="240"/>
      <c r="AB33" s="240"/>
      <c r="AC33" s="240"/>
      <c r="AD33" s="240"/>
      <c r="AE33" s="240"/>
      <c r="AF33" s="240"/>
      <c r="AG33" s="240"/>
      <c r="AH33" s="240"/>
      <c r="AI33" s="240"/>
      <c r="AJ33" s="240"/>
      <c r="AK33" s="240"/>
      <c r="AL33" s="417"/>
    </row>
    <row r="34" spans="1:44" s="4855" customFormat="1" ht="18.75" hidden="1" customHeight="1">
      <c r="A34" s="1246"/>
      <c r="B34" s="1246"/>
      <c r="C34" s="1246"/>
      <c r="D34" s="1246"/>
      <c r="E34" s="1246"/>
      <c r="F34" s="1246"/>
      <c r="G34" s="1246"/>
      <c r="H34" s="1246"/>
      <c r="I34" s="1246"/>
      <c r="J34" s="1246"/>
      <c r="K34" s="1246"/>
      <c r="L34" s="1247"/>
      <c r="M34" s="1246"/>
      <c r="N34" s="1246"/>
      <c r="O34" s="1246"/>
      <c r="S34" s="5368" t="s">
        <v>501</v>
      </c>
      <c r="T34" s="5368"/>
      <c r="U34" s="1250"/>
      <c r="V34" s="5378">
        <f>IF(TITLE_DATE_PR_CHANGE="",IF(TITLE_DATE_PR="","",TITLE_DATE_PR),TITLE_DATE_PR_CHANGE)</f>
        <v>45280</v>
      </c>
      <c r="W34" s="5378"/>
      <c r="X34" s="5378"/>
      <c r="Y34" s="5378"/>
      <c r="Z34" s="5378"/>
      <c r="AA34" s="5378"/>
      <c r="AB34" s="5378"/>
      <c r="AC34" s="244"/>
      <c r="AD34" s="5378">
        <f>IF(TITLE_DATE_PR_CHANGE="",IF(TITLE_DATE_PR="","",TITLE_DATE_PR),TITLE_DATE_PR_CHANGE)</f>
        <v>45280</v>
      </c>
      <c r="AE34" s="5378"/>
      <c r="AF34" s="5378"/>
      <c r="AG34" s="5378"/>
      <c r="AH34" s="5378"/>
      <c r="AI34" s="5378"/>
      <c r="AJ34" s="5378"/>
      <c r="AK34" s="244"/>
      <c r="AL34" s="244"/>
      <c r="AM34" s="199"/>
      <c r="AN34" s="284"/>
      <c r="AO34" s="284"/>
      <c r="AP34" s="284"/>
      <c r="AQ34" s="284"/>
      <c r="AR34" s="284"/>
    </row>
    <row r="35" spans="1:44" s="4855" customFormat="1" ht="25.5" hidden="1" customHeight="1">
      <c r="A35" s="1246"/>
      <c r="B35" s="1246"/>
      <c r="C35" s="1246"/>
      <c r="D35" s="1246"/>
      <c r="E35" s="1246"/>
      <c r="F35" s="1246"/>
      <c r="G35" s="1246"/>
      <c r="H35" s="1246"/>
      <c r="I35" s="1246"/>
      <c r="J35" s="1246"/>
      <c r="K35" s="1246"/>
      <c r="L35" s="1247"/>
      <c r="M35" s="1246"/>
      <c r="N35" s="1246"/>
      <c r="O35" s="1246"/>
      <c r="S35" s="5368" t="s">
        <v>502</v>
      </c>
      <c r="T35" s="5368"/>
      <c r="U35" s="1250"/>
      <c r="V35" s="5369" t="str">
        <f>IF(TITLE_NUMBER_PR_CHANGE="",IF(TITLE_NUMBER_PR="","",TITLE_NUMBER_PR),TITLE_NUMBER_PR_CHANGE)</f>
        <v>317-Р</v>
      </c>
      <c r="W35" s="5369"/>
      <c r="X35" s="5369"/>
      <c r="Y35" s="5369"/>
      <c r="Z35" s="5369"/>
      <c r="AA35" s="5369"/>
      <c r="AB35" s="5369"/>
      <c r="AC35" s="244"/>
      <c r="AD35" s="5369" t="str">
        <f>IF(TITLE_NUMBER_PR_CHANGE="",IF(TITLE_NUMBER_PR="","",TITLE_NUMBER_PR),TITLE_NUMBER_PR_CHANGE)</f>
        <v>317-Р</v>
      </c>
      <c r="AE35" s="5369"/>
      <c r="AF35" s="5369"/>
      <c r="AG35" s="5369"/>
      <c r="AH35" s="5369"/>
      <c r="AI35" s="5369"/>
      <c r="AJ35" s="5369"/>
      <c r="AK35" s="244"/>
      <c r="AL35" s="244"/>
      <c r="AM35" s="199"/>
      <c r="AN35" s="284"/>
      <c r="AO35" s="284"/>
      <c r="AP35" s="284"/>
      <c r="AQ35" s="284"/>
      <c r="AR35" s="284"/>
    </row>
    <row r="36" spans="1:44" s="4855" customFormat="1" ht="0" hidden="1" customHeight="1">
      <c r="A36" s="1246"/>
      <c r="B36" s="1246"/>
      <c r="C36" s="1246"/>
      <c r="D36" s="1246"/>
      <c r="E36" s="1246"/>
      <c r="F36" s="1246"/>
      <c r="G36" s="1246"/>
      <c r="H36" s="1246"/>
      <c r="I36" s="1246"/>
      <c r="J36" s="1246"/>
      <c r="K36" s="1246"/>
      <c r="L36" s="1247"/>
      <c r="M36" s="1246"/>
      <c r="N36" s="1246"/>
      <c r="O36" s="1246"/>
      <c r="S36" s="241"/>
      <c r="T36" s="241"/>
      <c r="U36" s="1219"/>
      <c r="V36" s="244"/>
      <c r="W36" s="244"/>
      <c r="X36" s="244"/>
      <c r="Y36" s="244"/>
      <c r="Z36" s="244"/>
      <c r="AA36" s="244"/>
      <c r="AB36" s="244"/>
      <c r="AC36" s="197" t="s">
        <v>503</v>
      </c>
      <c r="AD36" s="244"/>
      <c r="AE36" s="244"/>
      <c r="AF36" s="244"/>
      <c r="AG36" s="244"/>
      <c r="AH36" s="244"/>
      <c r="AI36" s="244"/>
      <c r="AJ36" s="244"/>
      <c r="AK36" s="197" t="s">
        <v>503</v>
      </c>
      <c r="AN36" s="284"/>
      <c r="AO36" s="284"/>
      <c r="AP36" s="284"/>
      <c r="AQ36" s="284"/>
      <c r="AR36" s="284"/>
    </row>
    <row r="37" spans="1:44" ht="14.25" customHeight="1">
      <c r="Q37" s="292"/>
      <c r="R37" s="292"/>
      <c r="S37" s="1158"/>
      <c r="T37" s="280"/>
      <c r="U37" s="1127"/>
      <c r="V37" s="5370"/>
      <c r="W37" s="5370"/>
      <c r="X37" s="5370"/>
      <c r="Y37" s="5370"/>
      <c r="Z37" s="5370"/>
      <c r="AA37" s="5370"/>
      <c r="AB37" s="5370"/>
      <c r="AC37" s="5370"/>
      <c r="AD37" s="5370"/>
      <c r="AE37" s="5370"/>
      <c r="AF37" s="5370"/>
      <c r="AG37" s="5370"/>
      <c r="AH37" s="5370"/>
      <c r="AI37" s="5370"/>
      <c r="AJ37" s="5370"/>
      <c r="AK37" s="5370"/>
    </row>
    <row r="38" spans="1:44" ht="14.25" customHeight="1">
      <c r="Q38" s="292"/>
      <c r="R38" s="292"/>
      <c r="S38" s="5244" t="s">
        <v>378</v>
      </c>
      <c r="T38" s="5244"/>
      <c r="U38" s="5244"/>
      <c r="V38" s="5244"/>
      <c r="W38" s="5244"/>
      <c r="X38" s="5244"/>
      <c r="Y38" s="5244"/>
      <c r="Z38" s="5244"/>
      <c r="AA38" s="5244"/>
      <c r="AB38" s="5244"/>
      <c r="AC38" s="5244"/>
      <c r="AD38" s="5244"/>
      <c r="AE38" s="5244"/>
      <c r="AF38" s="5244"/>
      <c r="AG38" s="5244"/>
      <c r="AH38" s="5244"/>
      <c r="AI38" s="5244"/>
      <c r="AJ38" s="5244"/>
      <c r="AK38" s="5244"/>
      <c r="AL38" s="5244"/>
      <c r="AM38" s="5244" t="s">
        <v>379</v>
      </c>
    </row>
    <row r="39" spans="1:44" ht="14.25" customHeight="1">
      <c r="Q39" s="292"/>
      <c r="R39" s="292"/>
      <c r="S39" s="5384" t="s">
        <v>85</v>
      </c>
      <c r="T39" s="5336" t="s">
        <v>504</v>
      </c>
      <c r="U39" s="219"/>
      <c r="V39" s="5385" t="s">
        <v>505</v>
      </c>
      <c r="W39" s="5386"/>
      <c r="X39" s="5386"/>
      <c r="Y39" s="5386"/>
      <c r="Z39" s="5386"/>
      <c r="AA39" s="5386"/>
      <c r="AB39" s="5387"/>
      <c r="AC39" s="5388" t="s">
        <v>506</v>
      </c>
      <c r="AD39" s="5385" t="s">
        <v>505</v>
      </c>
      <c r="AE39" s="5386"/>
      <c r="AF39" s="5386"/>
      <c r="AG39" s="5386"/>
      <c r="AH39" s="5386"/>
      <c r="AI39" s="5386"/>
      <c r="AJ39" s="5387"/>
      <c r="AK39" s="5388" t="s">
        <v>507</v>
      </c>
      <c r="AL39" s="5391" t="s">
        <v>508</v>
      </c>
      <c r="AM39" s="5244"/>
    </row>
    <row r="40" spans="1:44" ht="33.75" customHeight="1">
      <c r="Q40" s="292"/>
      <c r="R40" s="292"/>
      <c r="S40" s="5384"/>
      <c r="T40" s="5336"/>
      <c r="U40" s="920"/>
      <c r="V40" s="5307" t="s">
        <v>509</v>
      </c>
      <c r="W40" s="5394"/>
      <c r="X40" s="5215" t="s">
        <v>511</v>
      </c>
      <c r="Y40" s="5214"/>
      <c r="Z40" s="5215" t="s">
        <v>512</v>
      </c>
      <c r="AA40" s="5220"/>
      <c r="AB40" s="5214"/>
      <c r="AC40" s="5389"/>
      <c r="AD40" s="5307" t="s">
        <v>525</v>
      </c>
      <c r="AE40" s="5394"/>
      <c r="AF40" s="5215" t="s">
        <v>511</v>
      </c>
      <c r="AG40" s="5214"/>
      <c r="AH40" s="5215" t="s">
        <v>512</v>
      </c>
      <c r="AI40" s="5220"/>
      <c r="AJ40" s="5214"/>
      <c r="AK40" s="5389"/>
      <c r="AL40" s="5392"/>
      <c r="AM40" s="5244"/>
    </row>
    <row r="41" spans="1:44" ht="33.75" customHeight="1">
      <c r="A41" s="1248"/>
      <c r="B41" s="1248" t="s">
        <v>153</v>
      </c>
      <c r="C41" s="1248" t="s">
        <v>154</v>
      </c>
      <c r="D41" s="1248" t="s">
        <v>155</v>
      </c>
      <c r="E41" s="1242" t="s">
        <v>513</v>
      </c>
      <c r="F41" s="1242" t="s">
        <v>514</v>
      </c>
      <c r="G41" s="1242" t="s">
        <v>515</v>
      </c>
      <c r="H41" s="1242" t="s">
        <v>516</v>
      </c>
      <c r="I41" s="1242" t="s">
        <v>517</v>
      </c>
      <c r="J41" s="1242" t="s">
        <v>518</v>
      </c>
      <c r="K41" s="1242" t="s">
        <v>519</v>
      </c>
      <c r="L41" s="1242" t="s">
        <v>494</v>
      </c>
      <c r="Q41" s="292"/>
      <c r="R41" s="292"/>
      <c r="S41" s="5384"/>
      <c r="T41" s="5336"/>
      <c r="U41" s="220"/>
      <c r="V41" s="5355"/>
      <c r="W41" s="5395"/>
      <c r="X41" s="1105" t="s">
        <v>520</v>
      </c>
      <c r="Y41" s="1105" t="s">
        <v>521</v>
      </c>
      <c r="Z41" s="1217" t="s">
        <v>522</v>
      </c>
      <c r="AA41" s="5344" t="s">
        <v>523</v>
      </c>
      <c r="AB41" s="5346"/>
      <c r="AC41" s="5390"/>
      <c r="AD41" s="5355"/>
      <c r="AE41" s="5395"/>
      <c r="AF41" s="1105" t="s">
        <v>520</v>
      </c>
      <c r="AG41" s="1105" t="s">
        <v>521</v>
      </c>
      <c r="AH41" s="1217" t="s">
        <v>522</v>
      </c>
      <c r="AI41" s="5344" t="s">
        <v>523</v>
      </c>
      <c r="AJ41" s="5346"/>
      <c r="AK41" s="5390"/>
      <c r="AL41" s="5393"/>
      <c r="AM41" s="5244"/>
    </row>
    <row r="42" spans="1:44" s="4840" customFormat="1" ht="11.25" hidden="1" customHeight="1">
      <c r="A42" s="1248"/>
      <c r="B42" s="1248"/>
      <c r="C42" s="1248"/>
      <c r="D42" s="1248"/>
      <c r="E42" s="1248"/>
      <c r="F42" s="1248"/>
      <c r="G42" s="1248"/>
      <c r="H42" s="1248"/>
      <c r="I42" s="1248"/>
      <c r="J42" s="1248"/>
      <c r="K42" s="1248"/>
      <c r="L42" s="1242"/>
      <c r="M42" s="1240"/>
      <c r="N42" s="1240"/>
      <c r="O42" s="1240"/>
      <c r="P42" s="1129"/>
      <c r="Q42" s="1130"/>
      <c r="R42" s="1137">
        <v>1</v>
      </c>
      <c r="S42" s="1160" t="s">
        <v>129</v>
      </c>
      <c r="T42" s="1138" t="s">
        <v>100</v>
      </c>
      <c r="U42" s="1128" t="str">
        <f ca="1">OFFSET(U42,0,-1)</f>
        <v>2</v>
      </c>
      <c r="V42" s="1214">
        <f ca="1">OFFSET(V42,0,-1)+1</f>
        <v>3</v>
      </c>
      <c r="W42" s="1214"/>
      <c r="X42" s="1214">
        <f ca="1">OFFSET(X42,0,-1)+1</f>
        <v>1</v>
      </c>
      <c r="Y42" s="1214">
        <f ca="1">OFFSET(Y42,0,-1)+1</f>
        <v>2</v>
      </c>
      <c r="Z42" s="1214">
        <f ca="1">OFFSET(Z42,0,-1)+1</f>
        <v>3</v>
      </c>
      <c r="AA42" s="5383">
        <f ca="1">OFFSET(AA42,0,-1)+1</f>
        <v>4</v>
      </c>
      <c r="AB42" s="5383"/>
      <c r="AC42" s="1214">
        <f ca="1">OFFSET(AC42,0,-2)+1</f>
        <v>5</v>
      </c>
      <c r="AD42" s="1214">
        <f ca="1">OFFSET(AD42,0,-1)+1</f>
        <v>6</v>
      </c>
      <c r="AE42" s="1214"/>
      <c r="AF42" s="1214">
        <f ca="1">OFFSET(AF42,0,-1)+1</f>
        <v>1</v>
      </c>
      <c r="AG42" s="1214">
        <f ca="1">OFFSET(AG42,0,-1)+1</f>
        <v>2</v>
      </c>
      <c r="AH42" s="1214">
        <f ca="1">OFFSET(AH42,0,-1)+1</f>
        <v>3</v>
      </c>
      <c r="AI42" s="5383">
        <f ca="1">OFFSET(AI42,0,-1)+1</f>
        <v>4</v>
      </c>
      <c r="AJ42" s="5383"/>
      <c r="AK42" s="1214">
        <f ca="1">OFFSET(AK42,0,-2)+1</f>
        <v>5</v>
      </c>
      <c r="AL42" s="1128">
        <f ca="1">OFFSET(AL42,0,-1)</f>
        <v>5</v>
      </c>
      <c r="AM42" s="1214">
        <f ca="1">OFFSET(AM42,0,-1)+1</f>
        <v>6</v>
      </c>
      <c r="AN42" s="419"/>
      <c r="AO42" s="419"/>
      <c r="AP42" s="419"/>
      <c r="AQ42" s="419"/>
      <c r="AR42" s="419"/>
    </row>
    <row r="43" spans="1:44" ht="21" customHeight="1">
      <c r="A43" s="1241" t="s">
        <v>203</v>
      </c>
      <c r="B43" s="1241"/>
      <c r="C43" s="1241"/>
      <c r="D43" s="1241"/>
      <c r="E43" s="5376">
        <v>1</v>
      </c>
      <c r="F43" s="1241"/>
      <c r="G43" s="1241"/>
      <c r="H43" s="1241"/>
      <c r="I43" s="1241"/>
      <c r="J43" s="1241"/>
      <c r="K43" s="1241"/>
      <c r="L43" s="1242"/>
      <c r="M43" s="1243"/>
      <c r="N43" s="1243"/>
      <c r="O43" s="1243"/>
      <c r="P43" s="278"/>
      <c r="Q43" s="277"/>
      <c r="R43" s="272"/>
      <c r="S43" s="1215">
        <f>INDEX(PT_DIFFERENTIATION_NUM_NTAR,MATCH(A43,PT_DIFFERENTIATION_NTAR_ID,0))</f>
        <v>0</v>
      </c>
      <c r="T43" s="216" t="s">
        <v>141</v>
      </c>
      <c r="U43" s="218"/>
      <c r="V43" s="5362"/>
      <c r="W43" s="5363"/>
      <c r="X43" s="5363"/>
      <c r="Y43" s="5363"/>
      <c r="Z43" s="5363"/>
      <c r="AA43" s="5363"/>
      <c r="AB43" s="5363"/>
      <c r="AC43" s="5364"/>
      <c r="AD43" s="5362" t="str">
        <f>INDEX(PT_DIFFERENTIATION_NTAR,MATCH(A43,PT_DIFFERENTIATION_NTAR_ID,0))</f>
        <v/>
      </c>
      <c r="AE43" s="5363"/>
      <c r="AF43" s="5363"/>
      <c r="AG43" s="5363"/>
      <c r="AH43" s="5363"/>
      <c r="AI43" s="5363"/>
      <c r="AJ43" s="5363"/>
      <c r="AK43" s="5363"/>
      <c r="AL43" s="5364"/>
      <c r="AM43" s="11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8"/>
      <c r="AP43" s="408" t="str">
        <f t="shared" ref="AP43:AP57" si="1">IF(T43="","",T43)</f>
        <v>Наименование тарифа</v>
      </c>
      <c r="AQ43" s="408"/>
      <c r="AR43" s="408"/>
    </row>
    <row r="44" spans="1:44" ht="21" customHeight="1">
      <c r="A44" s="1241" t="s">
        <v>203</v>
      </c>
      <c r="B44" s="1241" t="s">
        <v>204</v>
      </c>
      <c r="C44" s="1241"/>
      <c r="D44" s="1241"/>
      <c r="E44" s="5377"/>
      <c r="F44" s="5376">
        <v>1</v>
      </c>
      <c r="G44" s="1241"/>
      <c r="H44" s="1241"/>
      <c r="I44" s="1241"/>
      <c r="J44" s="1241"/>
      <c r="K44" s="1241"/>
      <c r="L44" s="1242"/>
      <c r="M44" s="1243"/>
      <c r="N44" s="1243"/>
      <c r="O44" s="1243"/>
      <c r="P44" s="1211"/>
      <c r="Q44" s="269"/>
      <c r="R44" s="270"/>
      <c r="S44" s="1215" t="str">
        <f>INDEX(PT_DIFFERENTIATION_NUM_TER,MATCH(B44,PT_DIFFERENTIATION_TER_ID,0))</f>
        <v>.</v>
      </c>
      <c r="T44" s="226" t="s">
        <v>475</v>
      </c>
      <c r="U44" s="218"/>
      <c r="V44" s="5362"/>
      <c r="W44" s="5363"/>
      <c r="X44" s="5363"/>
      <c r="Y44" s="5363"/>
      <c r="Z44" s="5363"/>
      <c r="AA44" s="5363"/>
      <c r="AB44" s="5363"/>
      <c r="AC44" s="5364"/>
      <c r="AD44" s="5362" t="str">
        <f>INDEX(PT_DIFFERENTIATION_TER,MATCH(B44,PT_DIFFERENTIATION_TER_ID,0))</f>
        <v/>
      </c>
      <c r="AE44" s="5363"/>
      <c r="AF44" s="5363"/>
      <c r="AG44" s="5363"/>
      <c r="AH44" s="5363"/>
      <c r="AI44" s="5363"/>
      <c r="AJ44" s="5363"/>
      <c r="AK44" s="5363"/>
      <c r="AL44" s="5364"/>
      <c r="AM44" s="1141" t="s">
        <v>476</v>
      </c>
      <c r="AO44" s="408"/>
      <c r="AP44" s="408" t="str">
        <f t="shared" si="1"/>
        <v>Территория действия тарифа</v>
      </c>
      <c r="AQ44" s="408"/>
      <c r="AR44" s="408"/>
    </row>
    <row r="45" spans="1:44" ht="23.25" customHeight="1">
      <c r="A45" s="1241" t="s">
        <v>203</v>
      </c>
      <c r="B45" s="1241" t="s">
        <v>204</v>
      </c>
      <c r="C45" s="1241" t="s">
        <v>205</v>
      </c>
      <c r="D45" s="1241"/>
      <c r="E45" s="5377"/>
      <c r="F45" s="5377"/>
      <c r="G45" s="5376">
        <v>1</v>
      </c>
      <c r="H45" s="1241"/>
      <c r="I45" s="1241"/>
      <c r="J45" s="1241"/>
      <c r="K45" s="1241"/>
      <c r="L45" s="1242"/>
      <c r="M45" s="1243"/>
      <c r="N45" s="1243"/>
      <c r="O45" s="1243"/>
      <c r="P45" s="271"/>
      <c r="Q45" s="269"/>
      <c r="R45" s="270"/>
      <c r="S45" s="1215" t="str">
        <f>INDEX(PT_DIFFERENTIATION_NUM_CS,MATCH(C45,PT_DIFFERENTIATION_CS_ID,0))</f>
        <v>..</v>
      </c>
      <c r="T45" s="227" t="s">
        <v>477</v>
      </c>
      <c r="U45" s="218"/>
      <c r="V45" s="5362"/>
      <c r="W45" s="5363"/>
      <c r="X45" s="5363"/>
      <c r="Y45" s="5363"/>
      <c r="Z45" s="5363"/>
      <c r="AA45" s="5363"/>
      <c r="AB45" s="5363"/>
      <c r="AC45" s="5364"/>
      <c r="AD45" s="5362" t="str">
        <f>INDEX(PT_DIFFERENTIATION_CS,MATCH(C45,PT_DIFFERENTIATION_CS_ID,0))</f>
        <v/>
      </c>
      <c r="AE45" s="5363"/>
      <c r="AF45" s="5363"/>
      <c r="AG45" s="5363"/>
      <c r="AH45" s="5363"/>
      <c r="AI45" s="5363"/>
      <c r="AJ45" s="5363"/>
      <c r="AK45" s="5363"/>
      <c r="AL45" s="5364"/>
      <c r="AM45" s="1141" t="s">
        <v>478</v>
      </c>
      <c r="AO45" s="408"/>
      <c r="AP45" s="408" t="str">
        <f t="shared" si="1"/>
        <v xml:space="preserve">Наименование системы теплоснабжения </v>
      </c>
      <c r="AQ45" s="408"/>
      <c r="AR45" s="408"/>
    </row>
    <row r="46" spans="1:44" ht="21" customHeight="1">
      <c r="A46" s="1241" t="s">
        <v>203</v>
      </c>
      <c r="B46" s="1241" t="s">
        <v>204</v>
      </c>
      <c r="C46" s="1241" t="s">
        <v>205</v>
      </c>
      <c r="D46" s="1241" t="s">
        <v>206</v>
      </c>
      <c r="E46" s="5377"/>
      <c r="F46" s="5377"/>
      <c r="G46" s="5377"/>
      <c r="H46" s="5376">
        <v>1</v>
      </c>
      <c r="I46" s="1241"/>
      <c r="J46" s="1241"/>
      <c r="K46" s="1241"/>
      <c r="L46" s="1242"/>
      <c r="M46" s="1243"/>
      <c r="N46" s="1243"/>
      <c r="O46" s="1243"/>
      <c r="P46" s="271"/>
      <c r="Q46" s="269"/>
      <c r="R46" s="270"/>
      <c r="S46" s="1215" t="str">
        <f>INDEX(PT_DIFFERENTIATION_NUM_IST_TE,MATCH(D46,PT_DIFFERENTIATION_IST_TE_ID,0))</f>
        <v>...</v>
      </c>
      <c r="T46" s="228" t="s">
        <v>479</v>
      </c>
      <c r="U46" s="218"/>
      <c r="V46" s="5362"/>
      <c r="W46" s="5363"/>
      <c r="X46" s="5363"/>
      <c r="Y46" s="5363"/>
      <c r="Z46" s="5363"/>
      <c r="AA46" s="5363"/>
      <c r="AB46" s="5363"/>
      <c r="AC46" s="5364"/>
      <c r="AD46" s="5362" t="str">
        <f>INDEX(PT_DIFFERENTIATION_IST_TE,MATCH(D46,PT_DIFFERENTIATION_IST_TE_ID,0))</f>
        <v/>
      </c>
      <c r="AE46" s="5363"/>
      <c r="AF46" s="5363"/>
      <c r="AG46" s="5363"/>
      <c r="AH46" s="5363"/>
      <c r="AI46" s="5363"/>
      <c r="AJ46" s="5363"/>
      <c r="AK46" s="5363"/>
      <c r="AL46" s="5364"/>
      <c r="AM46" s="1141" t="s">
        <v>480</v>
      </c>
      <c r="AO46" s="408"/>
      <c r="AP46" s="408" t="str">
        <f t="shared" si="1"/>
        <v xml:space="preserve">Источник тепловой энергии  </v>
      </c>
      <c r="AQ46" s="408"/>
      <c r="AR46" s="408"/>
    </row>
    <row r="47" spans="1:44" s="4856" customFormat="1" ht="0" hidden="1" customHeight="1">
      <c r="A47" s="1222" t="s">
        <v>203</v>
      </c>
      <c r="B47" s="1222" t="s">
        <v>204</v>
      </c>
      <c r="C47" s="1222" t="s">
        <v>205</v>
      </c>
      <c r="D47" s="1222" t="s">
        <v>206</v>
      </c>
      <c r="E47" s="5377"/>
      <c r="F47" s="5377"/>
      <c r="G47" s="5377"/>
      <c r="H47" s="5377"/>
      <c r="I47" s="5374" t="str">
        <f>S46&amp;".1"</f>
        <v>....1</v>
      </c>
      <c r="J47" s="1222"/>
      <c r="K47" s="1222"/>
      <c r="L47" s="1225" t="s">
        <v>481</v>
      </c>
      <c r="M47" s="418"/>
      <c r="N47" s="418"/>
      <c r="O47" s="418"/>
      <c r="P47" s="5375">
        <v>1</v>
      </c>
      <c r="Q47" s="1210"/>
      <c r="R47" s="273"/>
      <c r="S47" s="931"/>
      <c r="T47" s="1261"/>
      <c r="U47" s="1262"/>
      <c r="V47" s="5405"/>
      <c r="W47" s="5406"/>
      <c r="X47" s="5406"/>
      <c r="Y47" s="5406"/>
      <c r="Z47" s="5406"/>
      <c r="AA47" s="5406"/>
      <c r="AB47" s="5406"/>
      <c r="AC47" s="5407"/>
      <c r="AD47" s="5405"/>
      <c r="AE47" s="5406"/>
      <c r="AF47" s="5406"/>
      <c r="AG47" s="5406"/>
      <c r="AH47" s="5406"/>
      <c r="AI47" s="5406"/>
      <c r="AJ47" s="5406"/>
      <c r="AK47" s="5406"/>
      <c r="AL47" s="5407"/>
      <c r="AM47" s="1263"/>
      <c r="AO47" s="408"/>
      <c r="AP47" s="408" t="str">
        <f t="shared" si="1"/>
        <v/>
      </c>
      <c r="AQ47" s="408"/>
      <c r="AR47" s="408"/>
    </row>
    <row r="48" spans="1:44" ht="21" customHeight="1">
      <c r="A48" s="1241" t="s">
        <v>203</v>
      </c>
      <c r="B48" s="1241" t="s">
        <v>204</v>
      </c>
      <c r="C48" s="1241" t="s">
        <v>205</v>
      </c>
      <c r="D48" s="1241" t="s">
        <v>206</v>
      </c>
      <c r="E48" s="5377"/>
      <c r="F48" s="5377"/>
      <c r="G48" s="5377"/>
      <c r="H48" s="5377"/>
      <c r="I48" s="5397"/>
      <c r="J48" s="5374" t="str">
        <f>S46&amp;".1"</f>
        <v>....1</v>
      </c>
      <c r="K48" s="1241"/>
      <c r="L48" s="1242" t="s">
        <v>484</v>
      </c>
      <c r="P48" s="5375"/>
      <c r="Q48" s="5375">
        <v>1</v>
      </c>
      <c r="R48" s="274"/>
      <c r="S48" s="1215" t="str">
        <f>$J48</f>
        <v>....1</v>
      </c>
      <c r="T48" s="204" t="s">
        <v>485</v>
      </c>
      <c r="U48" s="218"/>
      <c r="V48" s="5365"/>
      <c r="W48" s="5366"/>
      <c r="X48" s="5366"/>
      <c r="Y48" s="5366"/>
      <c r="Z48" s="5366"/>
      <c r="AA48" s="5366"/>
      <c r="AB48" s="5366"/>
      <c r="AC48" s="5367"/>
      <c r="AD48" s="5365"/>
      <c r="AE48" s="5366"/>
      <c r="AF48" s="5366"/>
      <c r="AG48" s="5366"/>
      <c r="AH48" s="5366"/>
      <c r="AI48" s="5366"/>
      <c r="AJ48" s="5366"/>
      <c r="AK48" s="5366"/>
      <c r="AL48" s="5367"/>
      <c r="AM48" s="1141" t="s">
        <v>486</v>
      </c>
      <c r="AO48" s="408"/>
      <c r="AP48" s="408" t="str">
        <f t="shared" si="1"/>
        <v>Группа потребителей</v>
      </c>
      <c r="AQ48" s="408"/>
      <c r="AR48" s="408"/>
    </row>
    <row r="49" spans="1:44" ht="21" customHeight="1">
      <c r="A49" s="1241" t="s">
        <v>203</v>
      </c>
      <c r="B49" s="1241" t="s">
        <v>204</v>
      </c>
      <c r="C49" s="1241" t="s">
        <v>205</v>
      </c>
      <c r="D49" s="1241" t="s">
        <v>206</v>
      </c>
      <c r="E49" s="5377"/>
      <c r="F49" s="5377"/>
      <c r="G49" s="5377"/>
      <c r="H49" s="5377"/>
      <c r="I49" s="5397"/>
      <c r="J49" s="5397"/>
      <c r="K49" s="5374" t="str">
        <f>J48&amp;".1"</f>
        <v>....1.1</v>
      </c>
      <c r="L49" s="1242" t="s">
        <v>487</v>
      </c>
      <c r="P49" s="5375"/>
      <c r="Q49" s="5375"/>
      <c r="R49" s="274">
        <v>1</v>
      </c>
      <c r="S49" s="1215" t="str">
        <f>$K49</f>
        <v>....1.1</v>
      </c>
      <c r="T49" s="1226"/>
      <c r="U49" s="218"/>
      <c r="V49" s="650"/>
      <c r="W49" s="243"/>
      <c r="X49" s="650"/>
      <c r="Y49" s="1140"/>
      <c r="Z49" s="5379"/>
      <c r="AA49" s="5225" t="s">
        <v>64</v>
      </c>
      <c r="AB49" s="5379"/>
      <c r="AC49" s="5225" t="s">
        <v>64</v>
      </c>
      <c r="AD49" s="650"/>
      <c r="AE49" s="243"/>
      <c r="AF49" s="650"/>
      <c r="AG49" s="1140"/>
      <c r="AH49" s="5379"/>
      <c r="AI49" s="5225" t="s">
        <v>64</v>
      </c>
      <c r="AJ49" s="5398"/>
      <c r="AK49" s="5225" t="s">
        <v>64</v>
      </c>
      <c r="AL49" s="1227"/>
      <c r="AM49" s="5371" t="s">
        <v>526</v>
      </c>
      <c r="AN49" s="419" t="e">
        <f ca="1">STRCHECKDATE(V50:AL50)</f>
        <v>#NAME?</v>
      </c>
      <c r="AO49" s="408"/>
      <c r="AP49" s="408" t="str">
        <f t="shared" si="1"/>
        <v/>
      </c>
      <c r="AQ49" s="408"/>
      <c r="AR49" s="408"/>
    </row>
    <row r="50" spans="1:44" ht="0" hidden="1" customHeight="1">
      <c r="A50" s="1241" t="s">
        <v>203</v>
      </c>
      <c r="B50" s="1241" t="s">
        <v>204</v>
      </c>
      <c r="C50" s="1241" t="s">
        <v>205</v>
      </c>
      <c r="D50" s="1241" t="s">
        <v>206</v>
      </c>
      <c r="E50" s="5377"/>
      <c r="F50" s="5377"/>
      <c r="G50" s="5377"/>
      <c r="H50" s="5377"/>
      <c r="I50" s="5397"/>
      <c r="J50" s="5397"/>
      <c r="K50" s="5374"/>
      <c r="L50" s="1242"/>
      <c r="P50" s="5375"/>
      <c r="Q50" s="5375"/>
      <c r="R50" s="274"/>
      <c r="S50" s="1221"/>
      <c r="T50" s="218"/>
      <c r="U50" s="218"/>
      <c r="V50" s="243"/>
      <c r="W50" s="243"/>
      <c r="X50" s="243"/>
      <c r="Y50" s="246" t="str">
        <f>Z49&amp;"-"&amp;AB49</f>
        <v>-</v>
      </c>
      <c r="Z50" s="5380"/>
      <c r="AA50" s="5225"/>
      <c r="AB50" s="5380"/>
      <c r="AC50" s="5225"/>
      <c r="AD50" s="243"/>
      <c r="AE50" s="243"/>
      <c r="AF50" s="243"/>
      <c r="AG50" s="246" t="str">
        <f>AH49&amp;"-"&amp;AJ49</f>
        <v>-</v>
      </c>
      <c r="AH50" s="5380"/>
      <c r="AI50" s="5225"/>
      <c r="AJ50" s="5399"/>
      <c r="AK50" s="5225"/>
      <c r="AL50" s="1228"/>
      <c r="AM50" s="5372"/>
      <c r="AO50" s="408"/>
      <c r="AP50" s="408" t="str">
        <f t="shared" si="1"/>
        <v/>
      </c>
      <c r="AQ50" s="408"/>
      <c r="AR50" s="408"/>
    </row>
    <row r="51" spans="1:44" ht="11.25" customHeight="1">
      <c r="A51" s="1241" t="s">
        <v>203</v>
      </c>
      <c r="B51" s="1241" t="s">
        <v>204</v>
      </c>
      <c r="C51" s="1241" t="s">
        <v>205</v>
      </c>
      <c r="D51" s="1241" t="s">
        <v>206</v>
      </c>
      <c r="E51" s="5377"/>
      <c r="F51" s="5377"/>
      <c r="G51" s="5377"/>
      <c r="H51" s="5377"/>
      <c r="I51" s="5397"/>
      <c r="J51" s="5374"/>
      <c r="K51" s="1241"/>
      <c r="L51" s="1242"/>
      <c r="P51" s="5375"/>
      <c r="Q51" s="5375"/>
      <c r="R51" s="273"/>
      <c r="S51" s="1161"/>
      <c r="T51" s="205" t="s">
        <v>489</v>
      </c>
      <c r="U51" s="283"/>
      <c r="V51" s="283"/>
      <c r="W51" s="283"/>
      <c r="X51" s="283"/>
      <c r="Y51" s="283"/>
      <c r="Z51" s="283"/>
      <c r="AA51" s="283"/>
      <c r="AB51" s="283"/>
      <c r="AC51" s="283"/>
      <c r="AD51" s="283"/>
      <c r="AE51" s="283"/>
      <c r="AF51" s="283"/>
      <c r="AG51" s="283"/>
      <c r="AH51" s="283"/>
      <c r="AI51" s="283"/>
      <c r="AJ51" s="283"/>
      <c r="AK51" s="283"/>
      <c r="AL51" s="242"/>
      <c r="AM51" s="5373"/>
      <c r="AO51" s="408"/>
      <c r="AP51" s="408" t="str">
        <f t="shared" si="1"/>
        <v>Добавить вид теплоносителя (параметры теплоносителя)</v>
      </c>
      <c r="AQ51" s="408"/>
      <c r="AR51" s="408"/>
    </row>
    <row r="52" spans="1:44" ht="11.25" customHeight="1">
      <c r="A52" s="1241" t="s">
        <v>203</v>
      </c>
      <c r="B52" s="1241" t="s">
        <v>204</v>
      </c>
      <c r="C52" s="1241" t="s">
        <v>205</v>
      </c>
      <c r="D52" s="1241" t="s">
        <v>206</v>
      </c>
      <c r="E52" s="5377"/>
      <c r="F52" s="5377"/>
      <c r="G52" s="5377"/>
      <c r="H52" s="5377"/>
      <c r="I52" s="5374"/>
      <c r="J52" s="1241"/>
      <c r="K52" s="1241"/>
      <c r="L52" s="1242"/>
      <c r="P52" s="5375"/>
      <c r="Q52" s="1210"/>
      <c r="R52" s="273"/>
      <c r="S52" s="1161"/>
      <c r="T52" s="281" t="s">
        <v>490</v>
      </c>
      <c r="U52" s="283"/>
      <c r="V52" s="283"/>
      <c r="W52" s="283"/>
      <c r="X52" s="283"/>
      <c r="Y52" s="283"/>
      <c r="Z52" s="283"/>
      <c r="AA52" s="283"/>
      <c r="AB52" s="283"/>
      <c r="AC52" s="282"/>
      <c r="AD52" s="283"/>
      <c r="AE52" s="283"/>
      <c r="AF52" s="283"/>
      <c r="AG52" s="283"/>
      <c r="AH52" s="283"/>
      <c r="AI52" s="283"/>
      <c r="AJ52" s="283"/>
      <c r="AK52" s="282"/>
      <c r="AL52" s="283"/>
      <c r="AM52" s="221"/>
      <c r="AO52" s="408"/>
      <c r="AP52" s="408" t="str">
        <f t="shared" si="1"/>
        <v>Добавить группу потребителей</v>
      </c>
      <c r="AQ52" s="408"/>
      <c r="AR52" s="408"/>
    </row>
    <row r="53" spans="1:44" ht="0" hidden="1" customHeight="1">
      <c r="A53" s="1241" t="s">
        <v>203</v>
      </c>
      <c r="B53" s="1241" t="s">
        <v>204</v>
      </c>
      <c r="C53" s="1241" t="s">
        <v>205</v>
      </c>
      <c r="D53" s="1241" t="s">
        <v>206</v>
      </c>
      <c r="E53" s="5377"/>
      <c r="F53" s="5377"/>
      <c r="G53" s="5377"/>
      <c r="H53" s="5376"/>
      <c r="I53" s="1241"/>
      <c r="J53" s="1241"/>
      <c r="K53" s="1241"/>
      <c r="L53" s="1242"/>
      <c r="M53" s="1243"/>
      <c r="N53" s="1243"/>
      <c r="O53" s="444"/>
      <c r="P53" s="277"/>
      <c r="Q53" s="291"/>
      <c r="R53" s="272"/>
      <c r="S53" s="1264"/>
      <c r="T53" s="1265"/>
      <c r="U53" s="1266"/>
      <c r="V53" s="1266"/>
      <c r="W53" s="1266"/>
      <c r="X53" s="1266"/>
      <c r="Y53" s="1266"/>
      <c r="Z53" s="1266"/>
      <c r="AA53" s="1266"/>
      <c r="AB53" s="1266"/>
      <c r="AC53" s="1266"/>
      <c r="AD53" s="1266"/>
      <c r="AE53" s="1266"/>
      <c r="AF53" s="1266"/>
      <c r="AG53" s="1266"/>
      <c r="AH53" s="1266"/>
      <c r="AI53" s="1266"/>
      <c r="AJ53" s="1266"/>
      <c r="AK53" s="1266"/>
      <c r="AL53" s="1266"/>
      <c r="AM53" s="1267"/>
      <c r="AO53" s="408"/>
      <c r="AP53" s="408" t="str">
        <f t="shared" si="1"/>
        <v/>
      </c>
      <c r="AQ53" s="408"/>
      <c r="AR53" s="408"/>
    </row>
    <row r="54" spans="1:44" s="4853" customFormat="1" ht="0" hidden="1" customHeight="1">
      <c r="A54" s="1222" t="s">
        <v>203</v>
      </c>
      <c r="B54" s="1222" t="s">
        <v>204</v>
      </c>
      <c r="C54" s="1222" t="s">
        <v>205</v>
      </c>
      <c r="D54" s="1194"/>
      <c r="E54" s="5377"/>
      <c r="F54" s="5377"/>
      <c r="G54" s="5376"/>
      <c r="H54" s="1194"/>
      <c r="I54" s="1194"/>
      <c r="J54" s="1194"/>
      <c r="K54" s="1194"/>
      <c r="L54" s="1218"/>
      <c r="M54" s="1195"/>
      <c r="N54" s="1195"/>
      <c r="P54" s="1196"/>
      <c r="Q54" s="1197"/>
      <c r="R54" s="1196"/>
      <c r="S54" s="1202"/>
      <c r="T54" s="1205" t="s">
        <v>492</v>
      </c>
      <c r="U54" s="1204"/>
      <c r="V54" s="1204"/>
      <c r="W54" s="1204"/>
      <c r="X54" s="1204"/>
      <c r="Y54" s="1204"/>
      <c r="Z54" s="1204"/>
      <c r="AA54" s="1204"/>
      <c r="AB54" s="1204"/>
      <c r="AC54" s="1204"/>
      <c r="AD54" s="1204"/>
      <c r="AE54" s="1204"/>
      <c r="AF54" s="1204"/>
      <c r="AG54" s="1204"/>
      <c r="AH54" s="1204"/>
      <c r="AI54" s="1204"/>
      <c r="AJ54" s="1204"/>
      <c r="AK54" s="1204"/>
      <c r="AL54" s="1204"/>
      <c r="AM54" s="1204"/>
      <c r="AO54" s="688"/>
      <c r="AP54" s="688" t="str">
        <f t="shared" si="1"/>
        <v>Добавить источник для дифференциации</v>
      </c>
      <c r="AQ54" s="688"/>
      <c r="AR54" s="688"/>
    </row>
    <row r="55" spans="1:44" s="4853" customFormat="1" ht="0" hidden="1" customHeight="1">
      <c r="A55" s="1222" t="s">
        <v>203</v>
      </c>
      <c r="B55" s="1222" t="s">
        <v>204</v>
      </c>
      <c r="C55" s="1194"/>
      <c r="D55" s="1194"/>
      <c r="E55" s="5377"/>
      <c r="F55" s="5376"/>
      <c r="G55" s="1194"/>
      <c r="H55" s="1194"/>
      <c r="I55" s="1194"/>
      <c r="J55" s="1194"/>
      <c r="K55" s="1194"/>
      <c r="L55" s="1218"/>
      <c r="M55" s="1201"/>
      <c r="N55" s="1201"/>
      <c r="P55" s="1196"/>
      <c r="Q55" s="1197"/>
      <c r="R55" s="1196"/>
      <c r="S55" s="1202"/>
      <c r="T55" s="1205" t="s">
        <v>271</v>
      </c>
      <c r="U55" s="1204"/>
      <c r="V55" s="1204"/>
      <c r="W55" s="1204"/>
      <c r="X55" s="1204"/>
      <c r="Y55" s="1204"/>
      <c r="Z55" s="1204"/>
      <c r="AA55" s="1204"/>
      <c r="AB55" s="1204"/>
      <c r="AC55" s="1204"/>
      <c r="AD55" s="1204"/>
      <c r="AE55" s="1204"/>
      <c r="AF55" s="1204"/>
      <c r="AG55" s="1204"/>
      <c r="AH55" s="1204"/>
      <c r="AI55" s="1204"/>
      <c r="AJ55" s="1204"/>
      <c r="AK55" s="1204"/>
      <c r="AL55" s="1204"/>
      <c r="AM55" s="1204"/>
      <c r="AO55" s="688"/>
      <c r="AP55" s="688" t="str">
        <f t="shared" si="1"/>
        <v>Добавить централизованную систему для дифференциации</v>
      </c>
      <c r="AQ55" s="688"/>
      <c r="AR55" s="688"/>
    </row>
    <row r="56" spans="1:44" s="4856" customFormat="1" ht="0" hidden="1" customHeight="1">
      <c r="A56" s="1222" t="s">
        <v>203</v>
      </c>
      <c r="B56" s="1222"/>
      <c r="C56" s="1222"/>
      <c r="D56" s="1222"/>
      <c r="E56" s="5376"/>
      <c r="F56" s="1222"/>
      <c r="G56" s="1222"/>
      <c r="H56" s="1222"/>
      <c r="I56" s="1222"/>
      <c r="J56" s="1222"/>
      <c r="K56" s="1222"/>
      <c r="L56" s="1225"/>
      <c r="M56" s="1201"/>
      <c r="N56" s="1201"/>
      <c r="O56" s="426"/>
      <c r="P56" s="296"/>
      <c r="Q56" s="1223"/>
      <c r="R56" s="296"/>
      <c r="S56" s="1202"/>
      <c r="T56" s="1205" t="s">
        <v>330</v>
      </c>
      <c r="U56" s="1204"/>
      <c r="V56" s="1204"/>
      <c r="W56" s="1204"/>
      <c r="X56" s="1204"/>
      <c r="Y56" s="1204"/>
      <c r="Z56" s="1204"/>
      <c r="AA56" s="1204"/>
      <c r="AB56" s="1204"/>
      <c r="AC56" s="1204"/>
      <c r="AD56" s="1204"/>
      <c r="AE56" s="1204"/>
      <c r="AF56" s="1204"/>
      <c r="AG56" s="1204"/>
      <c r="AH56" s="1204"/>
      <c r="AI56" s="1204"/>
      <c r="AJ56" s="1204"/>
      <c r="AK56" s="1204"/>
      <c r="AL56" s="1204"/>
      <c r="AM56" s="1204"/>
      <c r="AO56" s="408"/>
      <c r="AP56" s="408" t="str">
        <f t="shared" si="1"/>
        <v>Добавить территорию для дифференциации</v>
      </c>
      <c r="AQ56" s="408"/>
      <c r="AR56" s="408"/>
    </row>
    <row r="57" spans="1:44" s="4853" customFormat="1" ht="5.25" customHeight="1">
      <c r="A57" s="1194"/>
      <c r="B57" s="1194"/>
      <c r="C57" s="1194"/>
      <c r="D57" s="1194"/>
      <c r="E57" s="1222"/>
      <c r="F57" s="1194"/>
      <c r="G57" s="1194"/>
      <c r="H57" s="1194"/>
      <c r="I57" s="1194"/>
      <c r="J57" s="1194"/>
      <c r="K57" s="1194"/>
      <c r="L57" s="1218"/>
      <c r="M57" s="1201"/>
      <c r="N57" s="1201"/>
      <c r="P57" s="1196"/>
      <c r="Q57" s="1197"/>
      <c r="R57" s="1196"/>
      <c r="S57" s="1202"/>
      <c r="T57" s="1205" t="s">
        <v>331</v>
      </c>
      <c r="U57" s="1204"/>
      <c r="V57" s="1204"/>
      <c r="W57" s="1204"/>
      <c r="X57" s="1204"/>
      <c r="Y57" s="1204"/>
      <c r="Z57" s="1204"/>
      <c r="AA57" s="1204"/>
      <c r="AB57" s="1204"/>
      <c r="AC57" s="1204"/>
      <c r="AD57" s="1204"/>
      <c r="AE57" s="1204"/>
      <c r="AF57" s="1204"/>
      <c r="AG57" s="1204"/>
      <c r="AH57" s="1204"/>
      <c r="AI57" s="1204"/>
      <c r="AJ57" s="1204"/>
      <c r="AK57" s="1204"/>
      <c r="AL57" s="1204"/>
      <c r="AM57" s="1204"/>
      <c r="AO57" s="688"/>
      <c r="AP57" s="688" t="str">
        <f t="shared" si="1"/>
        <v>Добавить наименование тарифа</v>
      </c>
      <c r="AQ57" s="688"/>
      <c r="AR57" s="688"/>
    </row>
    <row r="58" spans="1:44" ht="11.25" customHeight="1">
      <c r="M58" s="1042"/>
      <c r="N58" s="1042"/>
      <c r="O58" s="444"/>
      <c r="P58" s="1037"/>
      <c r="Q58" s="1037"/>
      <c r="R58" s="1037"/>
      <c r="S58" s="1037"/>
      <c r="AN58" s="1037"/>
      <c r="AO58" s="1037"/>
      <c r="AP58" s="1037"/>
      <c r="AQ58" s="1037"/>
      <c r="AR58" s="1037"/>
    </row>
    <row r="59" spans="1:44" ht="14.25" customHeight="1">
      <c r="O59" s="444"/>
      <c r="S59" s="1136"/>
      <c r="T59" s="5396"/>
      <c r="U59" s="5396"/>
      <c r="V59" s="5396"/>
      <c r="W59" s="5396"/>
      <c r="X59" s="5396"/>
      <c r="Y59" s="5396"/>
      <c r="Z59" s="5396"/>
      <c r="AA59" s="5396"/>
      <c r="AB59" s="5396"/>
      <c r="AC59" s="5396"/>
      <c r="AD59" s="5396"/>
      <c r="AE59" s="5396"/>
      <c r="AF59" s="5396"/>
      <c r="AG59" s="5396"/>
      <c r="AH59" s="5396"/>
      <c r="AI59" s="5396"/>
      <c r="AJ59" s="5396"/>
      <c r="AK59" s="5396"/>
      <c r="AL59" s="5396"/>
      <c r="AM59" s="5396"/>
    </row>
    <row r="60" spans="1:44" ht="14.25" customHeight="1">
      <c r="O60" s="444"/>
      <c r="T60" s="5396"/>
      <c r="U60" s="5396"/>
      <c r="V60" s="5396"/>
      <c r="W60" s="5396"/>
      <c r="X60" s="5396"/>
      <c r="Y60" s="5396"/>
      <c r="Z60" s="5396"/>
      <c r="AA60" s="5396"/>
      <c r="AB60" s="5396"/>
      <c r="AC60" s="5396"/>
      <c r="AD60" s="5396"/>
      <c r="AE60" s="5396"/>
      <c r="AF60" s="5396"/>
      <c r="AG60" s="5396"/>
      <c r="AH60" s="5396"/>
      <c r="AI60" s="5396"/>
      <c r="AJ60" s="5396"/>
      <c r="AK60" s="5396"/>
      <c r="AL60" s="5396"/>
      <c r="AM60" s="5396"/>
    </row>
    <row r="61" spans="1:44" ht="14.25" customHeight="1">
      <c r="O61" s="444"/>
      <c r="T61" s="5396"/>
      <c r="U61" s="5396"/>
      <c r="V61" s="5396"/>
      <c r="W61" s="5396"/>
      <c r="X61" s="5396"/>
      <c r="Y61" s="5396"/>
      <c r="Z61" s="5396"/>
      <c r="AA61" s="5396"/>
      <c r="AB61" s="5396"/>
      <c r="AC61" s="5396"/>
      <c r="AD61" s="5396"/>
      <c r="AE61" s="5396"/>
      <c r="AF61" s="5396"/>
      <c r="AG61" s="5396"/>
      <c r="AH61" s="5396"/>
      <c r="AI61" s="5396"/>
      <c r="AJ61" s="5396"/>
      <c r="AK61" s="5396"/>
      <c r="AL61" s="5396"/>
      <c r="AM61" s="5396"/>
    </row>
    <row r="62" spans="1:44" ht="14.25" customHeight="1">
      <c r="O62" s="444"/>
    </row>
    <row r="63" spans="1:44" ht="14.25" customHeight="1">
      <c r="O63" s="444"/>
      <c r="S63" s="1136"/>
      <c r="T63" s="5289"/>
      <c r="U63" s="5396"/>
      <c r="V63" s="5396"/>
      <c r="W63" s="5396"/>
      <c r="X63" s="5396"/>
      <c r="Y63" s="5396"/>
      <c r="Z63" s="5396"/>
      <c r="AA63" s="5396"/>
      <c r="AB63" s="5396"/>
      <c r="AC63" s="5396"/>
      <c r="AD63" s="5396"/>
      <c r="AE63" s="5396"/>
      <c r="AF63" s="5396"/>
      <c r="AG63" s="5396"/>
      <c r="AH63" s="5396"/>
      <c r="AI63" s="5396"/>
      <c r="AJ63" s="5396"/>
      <c r="AK63" s="5396"/>
      <c r="AL63" s="5396"/>
      <c r="AM63" s="5396"/>
    </row>
    <row r="64" spans="1:44" ht="14.25" customHeight="1">
      <c r="O64" s="444"/>
      <c r="T64" s="5396"/>
      <c r="U64" s="5396"/>
      <c r="V64" s="5396"/>
      <c r="W64" s="5396"/>
      <c r="X64" s="5396"/>
      <c r="Y64" s="5396"/>
      <c r="Z64" s="5396"/>
      <c r="AA64" s="5396"/>
      <c r="AB64" s="5396"/>
      <c r="AC64" s="5396"/>
      <c r="AD64" s="5396"/>
      <c r="AE64" s="5396"/>
      <c r="AF64" s="5396"/>
      <c r="AG64" s="5396"/>
      <c r="AH64" s="5396"/>
      <c r="AI64" s="5396"/>
      <c r="AJ64" s="5396"/>
      <c r="AK64" s="5396"/>
      <c r="AL64" s="5396"/>
      <c r="AM64" s="5396"/>
    </row>
    <row r="65" spans="20:39" ht="14.25" customHeight="1">
      <c r="T65" s="5396"/>
      <c r="U65" s="5396"/>
      <c r="V65" s="5396"/>
      <c r="W65" s="5396"/>
      <c r="X65" s="5396"/>
      <c r="Y65" s="5396"/>
      <c r="Z65" s="5396"/>
      <c r="AA65" s="5396"/>
      <c r="AB65" s="5396"/>
      <c r="AC65" s="5396"/>
      <c r="AD65" s="5396"/>
      <c r="AE65" s="5396"/>
      <c r="AF65" s="5396"/>
      <c r="AG65" s="5396"/>
      <c r="AH65" s="5396"/>
      <c r="AI65" s="5396"/>
      <c r="AJ65" s="5396"/>
      <c r="AK65" s="5396"/>
      <c r="AL65" s="5396"/>
      <c r="AM65" s="5396"/>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4862" hidden="1"/>
    <col min="2" max="2" width="11" style="4862" hidden="1" customWidth="1"/>
    <col min="3" max="3" width="10.5703125" style="4862" hidden="1"/>
    <col min="4" max="4" width="11.85546875" style="4862" hidden="1" customWidth="1"/>
    <col min="5" max="5" width="10" style="4862" hidden="1" customWidth="1"/>
    <col min="6" max="6" width="8.7109375" style="4862" hidden="1" customWidth="1"/>
    <col min="7" max="7" width="7.5703125" style="4862" hidden="1" customWidth="1"/>
    <col min="8" max="8" width="11.42578125" style="4862" hidden="1" customWidth="1"/>
    <col min="9" max="9" width="12" style="4862" hidden="1" customWidth="1"/>
    <col min="10" max="10" width="9.85546875" style="4862" hidden="1" customWidth="1"/>
    <col min="11" max="12" width="11.42578125" style="4862" hidden="1" customWidth="1"/>
    <col min="13" max="13" width="19.140625" style="4872" hidden="1" customWidth="1"/>
    <col min="14" max="15" width="12.28515625" style="4863" hidden="1" customWidth="1"/>
    <col min="16" max="16" width="23.42578125" style="4863" hidden="1" customWidth="1"/>
    <col min="17" max="17" width="3.7109375" style="4863" hidden="1" customWidth="1"/>
    <col min="18" max="20" width="3.7109375" style="4860" customWidth="1"/>
    <col min="21" max="21" width="12.7109375" style="4861" customWidth="1"/>
    <col min="22" max="22" width="32" style="4862" customWidth="1"/>
    <col min="23" max="23" width="0.140625" style="4862" customWidth="1"/>
    <col min="24" max="28" width="21.7109375" style="4862" hidden="1" customWidth="1"/>
    <col min="29" max="29" width="11.7109375" style="4862" hidden="1" customWidth="1"/>
    <col min="30" max="30" width="3.7109375" style="4862" hidden="1" customWidth="1"/>
    <col min="31" max="31" width="11.7109375" style="4862" hidden="1" customWidth="1"/>
    <col min="32" max="32" width="8.5703125" style="4862" hidden="1" customWidth="1"/>
    <col min="33" max="37" width="21.7109375" style="4862" customWidth="1"/>
    <col min="38" max="38" width="11.7109375" style="4862" customWidth="1"/>
    <col min="39" max="39" width="3.7109375" style="4862" customWidth="1"/>
    <col min="40" max="40" width="11.7109375" style="4862" customWidth="1"/>
    <col min="41" max="41" width="8.5703125" style="4862" customWidth="1"/>
    <col min="42" max="42" width="4.7109375" style="4862" customWidth="1"/>
    <col min="43" max="43" width="115.7109375" style="4862" customWidth="1"/>
    <col min="44" max="45" width="10.5703125" style="4856"/>
    <col min="46" max="46" width="11.140625" style="4856" customWidth="1"/>
    <col min="47" max="48" width="10.5703125" style="4856"/>
  </cols>
  <sheetData>
    <row r="1" spans="1:48" ht="14.25" hidden="1" customHeight="1">
      <c r="AB1" s="245"/>
      <c r="AC1" s="245"/>
      <c r="AK1" s="245"/>
      <c r="AL1" s="245"/>
    </row>
    <row r="2" spans="1:48" ht="21" hidden="1" customHeight="1">
      <c r="A2" s="1150"/>
      <c r="B2" s="1150"/>
      <c r="C2" s="1150"/>
      <c r="D2" s="1150"/>
      <c r="E2" s="5400">
        <v>1</v>
      </c>
      <c r="F2" s="1150"/>
      <c r="G2" s="1150"/>
      <c r="H2" s="1150"/>
      <c r="I2" s="1150"/>
      <c r="J2" s="1150"/>
      <c r="K2" s="1150"/>
      <c r="L2" s="1150"/>
      <c r="M2" s="1190"/>
      <c r="N2" s="590"/>
      <c r="O2" s="590"/>
      <c r="P2" s="590"/>
      <c r="Q2" s="278"/>
      <c r="R2" s="277"/>
      <c r="S2" s="277"/>
      <c r="T2" s="272"/>
      <c r="U2" s="1215" t="e">
        <f>INDEX(PT_DIFFERENTIATION_NUM_NTAR,MATCH(A2,PT_DIFFERENTIATION_NTAR_ID,0))</f>
        <v>#N/A</v>
      </c>
      <c r="V2" s="216" t="s">
        <v>141</v>
      </c>
      <c r="W2" s="218"/>
      <c r="X2" s="5362"/>
      <c r="Y2" s="5363"/>
      <c r="Z2" s="5363"/>
      <c r="AA2" s="5363"/>
      <c r="AB2" s="5363"/>
      <c r="AC2" s="5363"/>
      <c r="AD2" s="5363"/>
      <c r="AE2" s="5363"/>
      <c r="AF2" s="5364"/>
      <c r="AG2" s="5362" t="e">
        <f>INDEX(PT_DIFFERENTIATION_NTAR,MATCH(A2,PT_DIFFERENTIATION_NTAR_ID,0))</f>
        <v>#N/A</v>
      </c>
      <c r="AH2" s="5363"/>
      <c r="AI2" s="5363"/>
      <c r="AJ2" s="5363"/>
      <c r="AK2" s="5363"/>
      <c r="AL2" s="5363"/>
      <c r="AM2" s="5363"/>
      <c r="AN2" s="5363"/>
      <c r="AO2" s="5363"/>
      <c r="AP2" s="5364"/>
      <c r="AQ2" s="1141" t="s">
        <v>474</v>
      </c>
      <c r="AS2" s="408"/>
      <c r="AT2" s="408" t="str">
        <f t="shared" ref="AT2:AT8" si="0">IF(V2="","",V2)</f>
        <v>Наименование тарифа</v>
      </c>
      <c r="AU2" s="408"/>
      <c r="AV2" s="408"/>
    </row>
    <row r="3" spans="1:48" ht="21" hidden="1" customHeight="1">
      <c r="A3" s="1150"/>
      <c r="B3" s="1150"/>
      <c r="C3" s="1150"/>
      <c r="D3" s="1150"/>
      <c r="E3" s="5401"/>
      <c r="F3" s="5400">
        <v>1</v>
      </c>
      <c r="G3" s="1150"/>
      <c r="H3" s="1150"/>
      <c r="I3" s="1150"/>
      <c r="J3" s="1150"/>
      <c r="K3" s="1150"/>
      <c r="L3" s="1150"/>
      <c r="M3" s="1190"/>
      <c r="N3" s="590"/>
      <c r="O3" s="590"/>
      <c r="P3" s="590"/>
      <c r="Q3" s="1211"/>
      <c r="R3" s="269"/>
      <c r="S3" s="417"/>
      <c r="T3" s="270"/>
      <c r="U3" s="1215" t="e">
        <f>INDEX(PT_DIFFERENTIATION_NUM_TER,MATCH(B3,PT_DIFFERENTIATION_TER_ID,0))</f>
        <v>#N/A</v>
      </c>
      <c r="V3" s="226" t="s">
        <v>475</v>
      </c>
      <c r="W3" s="218"/>
      <c r="X3" s="5362"/>
      <c r="Y3" s="5363"/>
      <c r="Z3" s="5363"/>
      <c r="AA3" s="5363"/>
      <c r="AB3" s="5363"/>
      <c r="AC3" s="5363"/>
      <c r="AD3" s="5363"/>
      <c r="AE3" s="5363"/>
      <c r="AF3" s="5364"/>
      <c r="AG3" s="5362" t="e">
        <f>INDEX(PT_DIFFERENTIATION_TER,MATCH(B3,PT_DIFFERENTIATION_TER_ID,0))</f>
        <v>#N/A</v>
      </c>
      <c r="AH3" s="5363"/>
      <c r="AI3" s="5363"/>
      <c r="AJ3" s="5363"/>
      <c r="AK3" s="5363"/>
      <c r="AL3" s="5363"/>
      <c r="AM3" s="5363"/>
      <c r="AN3" s="5363"/>
      <c r="AO3" s="5363"/>
      <c r="AP3" s="5364"/>
      <c r="AQ3" s="1141" t="s">
        <v>476</v>
      </c>
      <c r="AS3" s="408"/>
      <c r="AT3" s="408" t="str">
        <f t="shared" si="0"/>
        <v>Территория действия тарифа</v>
      </c>
      <c r="AU3" s="408"/>
      <c r="AV3" s="408"/>
    </row>
    <row r="4" spans="1:48" ht="22.5" hidden="1" customHeight="1">
      <c r="A4" s="1150"/>
      <c r="B4" s="1150"/>
      <c r="C4" s="1150"/>
      <c r="D4" s="1150"/>
      <c r="E4" s="5401"/>
      <c r="F4" s="5401"/>
      <c r="G4" s="5400">
        <v>1</v>
      </c>
      <c r="H4" s="1150"/>
      <c r="I4" s="1150"/>
      <c r="J4" s="1150"/>
      <c r="K4" s="1150"/>
      <c r="L4" s="1150"/>
      <c r="M4" s="1190"/>
      <c r="N4" s="590"/>
      <c r="O4" s="590"/>
      <c r="P4" s="590"/>
      <c r="Q4" s="271"/>
      <c r="R4" s="269"/>
      <c r="S4" s="417"/>
      <c r="T4" s="270"/>
      <c r="U4" s="1215" t="e">
        <f>INDEX(PT_DIFFERENTIATION_NUM_CS,MATCH(C4,PT_DIFFERENTIATION_CS_ID,0))</f>
        <v>#N/A</v>
      </c>
      <c r="V4" s="227" t="s">
        <v>477</v>
      </c>
      <c r="W4" s="218"/>
      <c r="X4" s="5362"/>
      <c r="Y4" s="5363"/>
      <c r="Z4" s="5363"/>
      <c r="AA4" s="5363"/>
      <c r="AB4" s="5363"/>
      <c r="AC4" s="5363"/>
      <c r="AD4" s="5363"/>
      <c r="AE4" s="5363"/>
      <c r="AF4" s="5364"/>
      <c r="AG4" s="5362" t="e">
        <f>INDEX(PT_DIFFERENTIATION_CS,MATCH(C4,PT_DIFFERENTIATION_CS_ID,0))</f>
        <v>#N/A</v>
      </c>
      <c r="AH4" s="5363"/>
      <c r="AI4" s="5363"/>
      <c r="AJ4" s="5363"/>
      <c r="AK4" s="5363"/>
      <c r="AL4" s="5363"/>
      <c r="AM4" s="5363"/>
      <c r="AN4" s="5363"/>
      <c r="AO4" s="5363"/>
      <c r="AP4" s="5364"/>
      <c r="AQ4" s="1141" t="s">
        <v>478</v>
      </c>
      <c r="AS4" s="408"/>
      <c r="AT4" s="408" t="str">
        <f t="shared" si="0"/>
        <v xml:space="preserve">Наименование системы теплоснабжения </v>
      </c>
      <c r="AU4" s="408"/>
      <c r="AV4" s="408"/>
    </row>
    <row r="5" spans="1:48" ht="21" hidden="1" customHeight="1">
      <c r="A5" s="1150"/>
      <c r="B5" s="1150"/>
      <c r="C5" s="1150"/>
      <c r="D5" s="1150"/>
      <c r="E5" s="5401"/>
      <c r="F5" s="5401"/>
      <c r="G5" s="5401"/>
      <c r="H5" s="5400">
        <v>1</v>
      </c>
      <c r="I5" s="1150"/>
      <c r="J5" s="1150"/>
      <c r="K5" s="1150"/>
      <c r="L5" s="1150"/>
      <c r="M5" s="1190"/>
      <c r="N5" s="590"/>
      <c r="O5" s="590"/>
      <c r="P5" s="590"/>
      <c r="Q5" s="271"/>
      <c r="R5" s="269"/>
      <c r="S5" s="417"/>
      <c r="T5" s="270"/>
      <c r="U5" s="1215" t="e">
        <f>INDEX(PT_DIFFERENTIATION_NUM_IST_TE,MATCH(D5,PT_DIFFERENTIATION_IST_TE_ID,0))</f>
        <v>#N/A</v>
      </c>
      <c r="V5" s="228" t="s">
        <v>479</v>
      </c>
      <c r="W5" s="218"/>
      <c r="X5" s="5362"/>
      <c r="Y5" s="5363"/>
      <c r="Z5" s="5363"/>
      <c r="AA5" s="5363"/>
      <c r="AB5" s="5363"/>
      <c r="AC5" s="5363"/>
      <c r="AD5" s="5363"/>
      <c r="AE5" s="5363"/>
      <c r="AF5" s="5364"/>
      <c r="AG5" s="5362" t="e">
        <f>INDEX(PT_DIFFERENTIATION_IST_TE,MATCH(D5,PT_DIFFERENTIATION_IST_TE_ID,0))</f>
        <v>#N/A</v>
      </c>
      <c r="AH5" s="5363"/>
      <c r="AI5" s="5363"/>
      <c r="AJ5" s="5363"/>
      <c r="AK5" s="5363"/>
      <c r="AL5" s="5363"/>
      <c r="AM5" s="5363"/>
      <c r="AN5" s="5363"/>
      <c r="AO5" s="5363"/>
      <c r="AP5" s="5364"/>
      <c r="AQ5" s="1141" t="s">
        <v>480</v>
      </c>
      <c r="AS5" s="408"/>
      <c r="AT5" s="408" t="str">
        <f t="shared" si="0"/>
        <v xml:space="preserve">Источник тепловой энергии  </v>
      </c>
      <c r="AU5" s="408"/>
      <c r="AV5" s="408"/>
    </row>
    <row r="6" spans="1:48" ht="14.25" hidden="1" customHeight="1">
      <c r="A6" s="1150"/>
      <c r="B6" s="1150"/>
      <c r="C6" s="1150"/>
      <c r="D6" s="1150"/>
      <c r="E6" s="5401"/>
      <c r="F6" s="5401"/>
      <c r="G6" s="5401"/>
      <c r="H6" s="5401"/>
      <c r="I6" s="5244" t="e">
        <f>U5&amp;".1"</f>
        <v>#N/A</v>
      </c>
      <c r="J6" s="1150"/>
      <c r="K6" s="1150"/>
      <c r="L6" s="1150"/>
      <c r="M6" s="1190" t="s">
        <v>481</v>
      </c>
      <c r="N6" s="417"/>
      <c r="Q6" s="5375">
        <v>1</v>
      </c>
      <c r="R6" s="1210"/>
      <c r="S6" s="1210"/>
      <c r="T6" s="273"/>
      <c r="U6" s="931"/>
      <c r="V6" s="1261"/>
      <c r="W6" s="1262"/>
      <c r="X6" s="5405"/>
      <c r="Y6" s="5406"/>
      <c r="Z6" s="5406"/>
      <c r="AA6" s="5406"/>
      <c r="AB6" s="5406"/>
      <c r="AC6" s="5406"/>
      <c r="AD6" s="5406"/>
      <c r="AE6" s="5406"/>
      <c r="AF6" s="5407"/>
      <c r="AG6" s="5405"/>
      <c r="AH6" s="5406"/>
      <c r="AI6" s="5406"/>
      <c r="AJ6" s="5406"/>
      <c r="AK6" s="5406"/>
      <c r="AL6" s="5406"/>
      <c r="AM6" s="5406"/>
      <c r="AN6" s="5406"/>
      <c r="AO6" s="5406"/>
      <c r="AP6" s="5407"/>
      <c r="AQ6" s="1263"/>
      <c r="AS6" s="408"/>
      <c r="AT6" s="408" t="str">
        <f t="shared" si="0"/>
        <v/>
      </c>
      <c r="AU6" s="408"/>
      <c r="AV6" s="408"/>
    </row>
    <row r="7" spans="1:48" ht="21" hidden="1" customHeight="1">
      <c r="A7" s="1150"/>
      <c r="B7" s="1150"/>
      <c r="C7" s="1150"/>
      <c r="D7" s="1150"/>
      <c r="E7" s="5401"/>
      <c r="F7" s="5401"/>
      <c r="G7" s="5401"/>
      <c r="H7" s="5401"/>
      <c r="I7" s="5215"/>
      <c r="J7" s="5244" t="e">
        <f>I6&amp;".1"</f>
        <v>#N/A</v>
      </c>
      <c r="K7" s="1150"/>
      <c r="L7" s="1150"/>
      <c r="M7" s="1190" t="s">
        <v>484</v>
      </c>
      <c r="N7" s="417"/>
      <c r="O7" s="245"/>
      <c r="Q7" s="5375"/>
      <c r="R7" s="5375">
        <v>1</v>
      </c>
      <c r="S7" s="426"/>
      <c r="T7" s="274"/>
      <c r="U7" s="1215" t="e">
        <f>$J7</f>
        <v>#N/A</v>
      </c>
      <c r="V7" s="204" t="s">
        <v>485</v>
      </c>
      <c r="W7" s="218"/>
      <c r="X7" s="5365"/>
      <c r="Y7" s="5366"/>
      <c r="Z7" s="5366"/>
      <c r="AA7" s="5366"/>
      <c r="AB7" s="5366"/>
      <c r="AC7" s="5358"/>
      <c r="AD7" s="5358"/>
      <c r="AE7" s="5358"/>
      <c r="AF7" s="5408"/>
      <c r="AG7" s="5365"/>
      <c r="AH7" s="5366"/>
      <c r="AI7" s="5366"/>
      <c r="AJ7" s="5366"/>
      <c r="AK7" s="5366"/>
      <c r="AL7" s="5366"/>
      <c r="AM7" s="5366"/>
      <c r="AN7" s="5366"/>
      <c r="AO7" s="5366"/>
      <c r="AP7" s="5367"/>
      <c r="AQ7" s="1141" t="s">
        <v>486</v>
      </c>
      <c r="AS7" s="408"/>
      <c r="AT7" s="408" t="str">
        <f t="shared" si="0"/>
        <v>Группа потребителей</v>
      </c>
      <c r="AU7" s="408"/>
      <c r="AV7" s="408"/>
    </row>
    <row r="8" spans="1:48" ht="21" hidden="1" customHeight="1">
      <c r="A8" s="1150"/>
      <c r="B8" s="1150"/>
      <c r="C8" s="1150"/>
      <c r="D8" s="1150"/>
      <c r="E8" s="5401"/>
      <c r="F8" s="5401"/>
      <c r="G8" s="5401"/>
      <c r="H8" s="5401"/>
      <c r="I8" s="5215"/>
      <c r="J8" s="5215"/>
      <c r="K8" s="5244" t="e">
        <f>J7&amp;".1"</f>
        <v>#N/A</v>
      </c>
      <c r="L8" s="67"/>
      <c r="M8" s="1190" t="s">
        <v>487</v>
      </c>
      <c r="N8" s="417"/>
      <c r="O8" s="245"/>
      <c r="P8" s="245"/>
      <c r="Q8" s="5375"/>
      <c r="R8" s="5375"/>
      <c r="S8" s="5375">
        <v>1</v>
      </c>
      <c r="T8" s="274"/>
      <c r="U8" s="1215" t="e">
        <f>$K8</f>
        <v>#N/A</v>
      </c>
      <c r="V8" s="1226"/>
      <c r="W8" s="218"/>
      <c r="X8" s="650"/>
      <c r="Y8" s="650"/>
      <c r="Z8" s="650"/>
      <c r="AA8" s="650"/>
      <c r="AB8" s="1283"/>
      <c r="AC8" s="5379"/>
      <c r="AD8" s="5225" t="s">
        <v>64</v>
      </c>
      <c r="AE8" s="5379"/>
      <c r="AF8" s="5225" t="s">
        <v>64</v>
      </c>
      <c r="AG8" s="1285"/>
      <c r="AH8" s="650"/>
      <c r="AI8" s="650"/>
      <c r="AJ8" s="650"/>
      <c r="AK8" s="1140"/>
      <c r="AL8" s="5379"/>
      <c r="AM8" s="5225" t="s">
        <v>64</v>
      </c>
      <c r="AN8" s="5379"/>
      <c r="AO8" s="5225" t="s">
        <v>64</v>
      </c>
      <c r="AP8" s="243"/>
      <c r="AQ8" s="1188" t="s">
        <v>527</v>
      </c>
      <c r="AR8" s="419" t="e">
        <f ca="1">STRCHECKDATE(X10:AP10)</f>
        <v>#NAME?</v>
      </c>
      <c r="AS8" s="408"/>
      <c r="AT8" s="408" t="str">
        <f t="shared" si="0"/>
        <v/>
      </c>
      <c r="AU8" s="408"/>
      <c r="AV8" s="408"/>
    </row>
    <row r="9" spans="1:48" ht="21" hidden="1" customHeight="1">
      <c r="A9" s="1150"/>
      <c r="B9" s="1150"/>
      <c r="C9" s="1150"/>
      <c r="D9" s="1150"/>
      <c r="E9" s="5401"/>
      <c r="F9" s="5401"/>
      <c r="G9" s="5401"/>
      <c r="H9" s="5401"/>
      <c r="I9" s="5215"/>
      <c r="J9" s="5215"/>
      <c r="K9" s="5215"/>
      <c r="L9" s="5244" t="e">
        <f>K8&amp;".1"</f>
        <v>#N/A</v>
      </c>
      <c r="M9" s="1190"/>
      <c r="N9" s="417"/>
      <c r="O9" s="245"/>
      <c r="P9" s="245"/>
      <c r="Q9" s="5375"/>
      <c r="R9" s="5375"/>
      <c r="S9" s="5375"/>
      <c r="T9" s="274"/>
      <c r="U9" s="1215" t="e">
        <f>$L9</f>
        <v>#N/A</v>
      </c>
      <c r="V9" s="1269"/>
      <c r="W9" s="218"/>
      <c r="X9" s="243"/>
      <c r="Y9" s="650"/>
      <c r="Z9" s="650"/>
      <c r="AA9" s="650"/>
      <c r="AB9" s="1283"/>
      <c r="AC9" s="5380"/>
      <c r="AD9" s="5225"/>
      <c r="AE9" s="5380"/>
      <c r="AF9" s="5225"/>
      <c r="AG9" s="1285"/>
      <c r="AH9" s="650"/>
      <c r="AI9" s="650"/>
      <c r="AJ9" s="650"/>
      <c r="AK9" s="1140"/>
      <c r="AL9" s="5380"/>
      <c r="AM9" s="5225"/>
      <c r="AN9" s="5380"/>
      <c r="AO9" s="5225"/>
      <c r="AP9" s="243"/>
      <c r="AQ9" s="5371" t="s">
        <v>528</v>
      </c>
      <c r="AS9" s="408"/>
      <c r="AT9" s="408"/>
      <c r="AU9" s="408"/>
      <c r="AV9" s="408"/>
    </row>
    <row r="10" spans="1:48" ht="14.25" hidden="1" customHeight="1">
      <c r="A10" s="1150"/>
      <c r="B10" s="1150"/>
      <c r="C10" s="1150"/>
      <c r="D10" s="1150"/>
      <c r="E10" s="5401"/>
      <c r="F10" s="5401"/>
      <c r="G10" s="5401"/>
      <c r="H10" s="5401"/>
      <c r="I10" s="5215"/>
      <c r="J10" s="5215"/>
      <c r="K10" s="5215"/>
      <c r="L10" s="5244"/>
      <c r="M10" s="1190"/>
      <c r="N10" s="417"/>
      <c r="O10" s="245"/>
      <c r="P10" s="245"/>
      <c r="Q10" s="5375"/>
      <c r="R10" s="5375"/>
      <c r="S10" s="5375"/>
      <c r="T10" s="274"/>
      <c r="U10" s="1221"/>
      <c r="V10" s="218"/>
      <c r="W10" s="218"/>
      <c r="X10" s="243"/>
      <c r="Y10" s="243"/>
      <c r="Z10" s="243"/>
      <c r="AA10" s="243"/>
      <c r="AB10" s="1284" t="str">
        <f>AC8&amp;"-"&amp;AE8</f>
        <v>-</v>
      </c>
      <c r="AC10" s="5380"/>
      <c r="AD10" s="5225"/>
      <c r="AE10" s="5380"/>
      <c r="AF10" s="5225"/>
      <c r="AG10" s="1260"/>
      <c r="AH10" s="243"/>
      <c r="AI10" s="243"/>
      <c r="AJ10" s="243"/>
      <c r="AK10" s="246" t="str">
        <f>AL8&amp;"-"&amp;AN8</f>
        <v>-</v>
      </c>
      <c r="AL10" s="5380"/>
      <c r="AM10" s="5225"/>
      <c r="AN10" s="5380"/>
      <c r="AO10" s="5225"/>
      <c r="AP10" s="243"/>
      <c r="AQ10" s="5372"/>
      <c r="AS10" s="408"/>
      <c r="AT10" s="408" t="str">
        <f>IF(V10="","",V10)</f>
        <v/>
      </c>
      <c r="AU10" s="408"/>
      <c r="AV10" s="408"/>
    </row>
    <row r="11" spans="1:48" ht="11.25" hidden="1" customHeight="1">
      <c r="A11" s="1150"/>
      <c r="B11" s="1150"/>
      <c r="C11" s="1150"/>
      <c r="D11" s="1150"/>
      <c r="E11" s="5401"/>
      <c r="F11" s="5401"/>
      <c r="G11" s="5401"/>
      <c r="H11" s="5401"/>
      <c r="I11" s="5215"/>
      <c r="J11" s="5215"/>
      <c r="K11" s="5244"/>
      <c r="L11" s="1150"/>
      <c r="M11" s="1190"/>
      <c r="N11" s="417"/>
      <c r="O11" s="245"/>
      <c r="P11" s="245"/>
      <c r="Q11" s="5375"/>
      <c r="R11" s="5375"/>
      <c r="S11" s="5375"/>
      <c r="T11" s="274"/>
      <c r="U11" s="1161"/>
      <c r="V11" s="206" t="s">
        <v>529</v>
      </c>
      <c r="W11" s="1270"/>
      <c r="X11" s="1271"/>
      <c r="Y11" s="1271"/>
      <c r="Z11" s="1271"/>
      <c r="AA11" s="1271"/>
      <c r="AB11" s="1272"/>
      <c r="AC11" s="5380"/>
      <c r="AD11" s="5225"/>
      <c r="AE11" s="5380"/>
      <c r="AF11" s="5225"/>
      <c r="AG11" s="1271"/>
      <c r="AH11" s="1271"/>
      <c r="AI11" s="1271"/>
      <c r="AJ11" s="1271"/>
      <c r="AK11" s="1272"/>
      <c r="AL11" s="5380"/>
      <c r="AM11" s="5225"/>
      <c r="AN11" s="5380"/>
      <c r="AO11" s="5225"/>
      <c r="AP11" s="1273"/>
      <c r="AQ11" s="5372"/>
      <c r="AS11" s="408"/>
      <c r="AT11" s="408"/>
      <c r="AU11" s="408"/>
      <c r="AV11" s="408"/>
    </row>
    <row r="12" spans="1:48" ht="15" hidden="1" customHeight="1">
      <c r="A12" s="1150"/>
      <c r="B12" s="1150"/>
      <c r="C12" s="1150"/>
      <c r="D12" s="1150"/>
      <c r="E12" s="5401"/>
      <c r="F12" s="5401"/>
      <c r="G12" s="5401"/>
      <c r="H12" s="5401"/>
      <c r="I12" s="5215"/>
      <c r="J12" s="5244"/>
      <c r="K12" s="1150"/>
      <c r="L12" s="1150"/>
      <c r="M12" s="1190"/>
      <c r="N12" s="417"/>
      <c r="O12" s="245"/>
      <c r="Q12" s="5375"/>
      <c r="R12" s="5375"/>
      <c r="S12" s="1210"/>
      <c r="T12" s="273"/>
      <c r="U12" s="1161"/>
      <c r="V12" s="205" t="s">
        <v>489</v>
      </c>
      <c r="W12" s="283"/>
      <c r="X12" s="283"/>
      <c r="Y12" s="283"/>
      <c r="Z12" s="283"/>
      <c r="AA12" s="283"/>
      <c r="AB12" s="283"/>
      <c r="AC12" s="1286"/>
      <c r="AD12" s="1286"/>
      <c r="AE12" s="1286"/>
      <c r="AF12" s="1286"/>
      <c r="AG12" s="283"/>
      <c r="AH12" s="283"/>
      <c r="AI12" s="283"/>
      <c r="AJ12" s="283"/>
      <c r="AK12" s="283"/>
      <c r="AL12" s="283"/>
      <c r="AM12" s="283"/>
      <c r="AN12" s="283"/>
      <c r="AO12" s="283"/>
      <c r="AP12" s="242"/>
      <c r="AQ12" s="5373"/>
      <c r="AS12" s="408"/>
      <c r="AT12" s="408" t="str">
        <f t="shared" ref="AT12:AT17" si="1">IF(V12="","",V12)</f>
        <v>Добавить вид теплоносителя (параметры теплоносителя)</v>
      </c>
      <c r="AU12" s="408"/>
      <c r="AV12" s="408"/>
    </row>
    <row r="13" spans="1:48" ht="11.25" hidden="1" customHeight="1">
      <c r="A13" s="1150"/>
      <c r="B13" s="1150"/>
      <c r="C13" s="1150"/>
      <c r="D13" s="1150"/>
      <c r="E13" s="5401"/>
      <c r="F13" s="5401"/>
      <c r="G13" s="5401"/>
      <c r="H13" s="5401"/>
      <c r="I13" s="5244"/>
      <c r="J13" s="1150"/>
      <c r="K13" s="1150"/>
      <c r="L13" s="1150"/>
      <c r="M13" s="1190"/>
      <c r="N13" s="417"/>
      <c r="Q13" s="5375"/>
      <c r="R13" s="1210"/>
      <c r="S13" s="1210"/>
      <c r="T13" s="273"/>
      <c r="U13" s="1161"/>
      <c r="V13" s="281" t="s">
        <v>490</v>
      </c>
      <c r="W13" s="283"/>
      <c r="X13" s="283"/>
      <c r="Y13" s="283"/>
      <c r="Z13" s="283"/>
      <c r="AA13" s="283"/>
      <c r="AB13" s="283"/>
      <c r="AC13" s="283"/>
      <c r="AD13" s="283"/>
      <c r="AE13" s="283"/>
      <c r="AF13" s="282"/>
      <c r="AG13" s="283"/>
      <c r="AH13" s="283"/>
      <c r="AI13" s="283"/>
      <c r="AJ13" s="283"/>
      <c r="AK13" s="283"/>
      <c r="AL13" s="283"/>
      <c r="AM13" s="283"/>
      <c r="AN13" s="283"/>
      <c r="AO13" s="282"/>
      <c r="AP13" s="283"/>
      <c r="AQ13" s="221"/>
      <c r="AS13" s="408"/>
      <c r="AT13" s="408" t="str">
        <f t="shared" si="1"/>
        <v>Добавить группу потребителей</v>
      </c>
      <c r="AU13" s="408"/>
      <c r="AV13" s="408"/>
    </row>
    <row r="14" spans="1:48" ht="14.25" hidden="1" customHeight="1">
      <c r="A14" s="1150"/>
      <c r="B14" s="1150"/>
      <c r="C14" s="1150"/>
      <c r="D14" s="1150"/>
      <c r="E14" s="5401"/>
      <c r="F14" s="5401"/>
      <c r="G14" s="5401"/>
      <c r="H14" s="5400"/>
      <c r="I14" s="1150"/>
      <c r="J14" s="1150"/>
      <c r="K14" s="1150"/>
      <c r="L14" s="1150"/>
      <c r="M14" s="1190"/>
      <c r="N14" s="590"/>
      <c r="O14" s="590"/>
      <c r="P14" s="417"/>
      <c r="Q14" s="277"/>
      <c r="R14" s="291"/>
      <c r="S14" s="272"/>
      <c r="T14" s="277"/>
      <c r="U14" s="1264"/>
      <c r="V14" s="1265"/>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7"/>
      <c r="AS14" s="408"/>
      <c r="AT14" s="408" t="str">
        <f t="shared" si="1"/>
        <v/>
      </c>
      <c r="AU14" s="408"/>
      <c r="AV14" s="408"/>
    </row>
    <row r="15" spans="1:48" s="4853" customFormat="1" ht="14.25" hidden="1" customHeight="1">
      <c r="A15" s="1252"/>
      <c r="B15" s="1252"/>
      <c r="C15" s="1252"/>
      <c r="D15" s="1252"/>
      <c r="E15" s="5401"/>
      <c r="F15" s="5401"/>
      <c r="G15" s="5400"/>
      <c r="H15" s="1252"/>
      <c r="I15" s="1252"/>
      <c r="J15" s="1252"/>
      <c r="K15" s="1252"/>
      <c r="L15" s="1252"/>
      <c r="M15" s="1255"/>
      <c r="N15" s="1256"/>
      <c r="O15" s="1256"/>
      <c r="P15" s="268"/>
      <c r="Q15" s="1196"/>
      <c r="R15" s="1197"/>
      <c r="S15" s="1196"/>
      <c r="T15" s="1196"/>
      <c r="U15" s="1198"/>
      <c r="V15" s="1199" t="s">
        <v>492</v>
      </c>
      <c r="W15" s="1200"/>
      <c r="X15" s="1200"/>
      <c r="Y15" s="1200"/>
      <c r="Z15" s="1200"/>
      <c r="AA15" s="1200"/>
      <c r="AB15" s="1200"/>
      <c r="AC15" s="1200"/>
      <c r="AD15" s="1200"/>
      <c r="AE15" s="1200"/>
      <c r="AF15" s="1200"/>
      <c r="AG15" s="1200"/>
      <c r="AH15" s="1200"/>
      <c r="AI15" s="1200"/>
      <c r="AJ15" s="1200"/>
      <c r="AK15" s="1200"/>
      <c r="AL15" s="1200"/>
      <c r="AM15" s="1200"/>
      <c r="AN15" s="1200"/>
      <c r="AO15" s="1200"/>
      <c r="AP15" s="1200"/>
      <c r="AQ15" s="1200"/>
      <c r="AS15" s="688"/>
      <c r="AT15" s="688" t="str">
        <f t="shared" si="1"/>
        <v>Добавить источник для дифференциации</v>
      </c>
      <c r="AU15" s="688"/>
      <c r="AV15" s="688"/>
    </row>
    <row r="16" spans="1:48" s="4853" customFormat="1" ht="14.25" hidden="1" customHeight="1">
      <c r="A16" s="1252"/>
      <c r="B16" s="1252"/>
      <c r="C16" s="1252"/>
      <c r="D16" s="1252"/>
      <c r="E16" s="5401"/>
      <c r="F16" s="5400"/>
      <c r="G16" s="1252"/>
      <c r="H16" s="1252"/>
      <c r="I16" s="1252"/>
      <c r="J16" s="1252"/>
      <c r="K16" s="1252"/>
      <c r="L16" s="1252"/>
      <c r="M16" s="1255"/>
      <c r="N16" s="1257"/>
      <c r="O16" s="1257"/>
      <c r="P16" s="268"/>
      <c r="Q16" s="1196"/>
      <c r="R16" s="1197"/>
      <c r="S16" s="1196"/>
      <c r="T16" s="1196"/>
      <c r="U16" s="1202"/>
      <c r="V16" s="1203" t="s">
        <v>271</v>
      </c>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S16" s="688"/>
      <c r="AT16" s="688" t="str">
        <f t="shared" si="1"/>
        <v>Добавить централизованную систему для дифференциации</v>
      </c>
      <c r="AU16" s="688"/>
      <c r="AV16" s="688"/>
    </row>
    <row r="17" spans="1:48" s="4853" customFormat="1" ht="14.25" hidden="1" customHeight="1">
      <c r="A17" s="1252"/>
      <c r="B17" s="1252"/>
      <c r="C17" s="1252"/>
      <c r="D17" s="1252"/>
      <c r="E17" s="5400"/>
      <c r="F17" s="1252"/>
      <c r="G17" s="1252"/>
      <c r="H17" s="1252"/>
      <c r="I17" s="1252"/>
      <c r="J17" s="1252"/>
      <c r="K17" s="1252"/>
      <c r="L17" s="1252"/>
      <c r="M17" s="1255"/>
      <c r="N17" s="1257"/>
      <c r="O17" s="1257"/>
      <c r="P17" s="268"/>
      <c r="Q17" s="1196"/>
      <c r="R17" s="1197"/>
      <c r="S17" s="1196"/>
      <c r="T17" s="1196"/>
      <c r="U17" s="1202"/>
      <c r="V17" s="1205" t="s">
        <v>330</v>
      </c>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S17" s="688"/>
      <c r="AT17" s="688" t="str">
        <f t="shared" si="1"/>
        <v>Добавить территорию для дифференциации</v>
      </c>
      <c r="AU17" s="688"/>
      <c r="AV17" s="688"/>
    </row>
    <row r="18" spans="1:48" ht="14.25" hidden="1" customHeight="1">
      <c r="AF18" s="245"/>
      <c r="AO18" s="245"/>
    </row>
    <row r="19" spans="1:48" ht="14.25" hidden="1" customHeight="1">
      <c r="AG19" s="1238"/>
      <c r="AH19" s="1238"/>
      <c r="AI19" s="1238"/>
      <c r="AJ19" s="1238"/>
      <c r="AK19" s="1239"/>
      <c r="AL19" s="5381"/>
      <c r="AM19" s="5382" t="s">
        <v>64</v>
      </c>
      <c r="AN19" s="5381"/>
      <c r="AO19" s="5382" t="s">
        <v>64</v>
      </c>
    </row>
    <row r="20" spans="1:48" ht="14.25" hidden="1" customHeight="1">
      <c r="AG20" s="1238"/>
      <c r="AH20" s="1238"/>
      <c r="AI20" s="1238"/>
      <c r="AJ20" s="1238"/>
      <c r="AK20" s="1239"/>
      <c r="AL20" s="5381"/>
      <c r="AM20" s="5382"/>
      <c r="AN20" s="5381"/>
      <c r="AO20" s="5382"/>
    </row>
    <row r="21" spans="1:48" ht="14.25" hidden="1" customHeight="1">
      <c r="AG21" s="1238"/>
      <c r="AH21" s="1238"/>
      <c r="AI21" s="1238"/>
      <c r="AJ21" s="1238"/>
      <c r="AK21" s="1239"/>
      <c r="AL21" s="5381"/>
      <c r="AM21" s="5382"/>
      <c r="AN21" s="5381"/>
      <c r="AO21" s="5382"/>
    </row>
    <row r="22" spans="1:48" ht="14.25" hidden="1" customHeight="1">
      <c r="AG22" s="1238"/>
      <c r="AH22" s="1238"/>
      <c r="AI22" s="1238"/>
      <c r="AJ22" s="1238"/>
      <c r="AK22" s="246" t="str">
        <f>AL19&amp;"-"&amp;AN19</f>
        <v>-</v>
      </c>
      <c r="AL22" s="5382"/>
      <c r="AM22" s="5382"/>
      <c r="AN22" s="5382"/>
      <c r="AO22" s="5382"/>
    </row>
    <row r="23" spans="1:48" ht="14.25" hidden="1" customHeight="1">
      <c r="AO23" s="245"/>
    </row>
    <row r="24" spans="1:48" s="4854" customFormat="1" ht="22.5" hidden="1" customHeight="1">
      <c r="A24" s="1037"/>
      <c r="B24" s="1037"/>
      <c r="C24" s="1037"/>
      <c r="D24" s="1037"/>
      <c r="E24" s="1037"/>
      <c r="F24" s="1037"/>
      <c r="G24" s="1037"/>
      <c r="H24" s="1037"/>
      <c r="I24" s="1037"/>
      <c r="J24" s="1037"/>
      <c r="K24" s="1037"/>
      <c r="L24" s="1037"/>
      <c r="M24" s="1206"/>
      <c r="N24" s="1207"/>
      <c r="O24" s="1207"/>
      <c r="P24" s="1224" t="s">
        <v>493</v>
      </c>
      <c r="Q24" s="1240"/>
      <c r="R24" s="1249"/>
      <c r="S24" s="1249"/>
      <c r="T24" s="1249"/>
      <c r="U24" s="630"/>
      <c r="AC24" s="1245"/>
      <c r="AE24" s="1245"/>
      <c r="AF24" s="1244"/>
      <c r="AL24" s="1245"/>
      <c r="AN24" s="1245"/>
      <c r="AO24" s="1244"/>
      <c r="AR24" s="419"/>
      <c r="AS24" s="419"/>
      <c r="AT24" s="419"/>
      <c r="AU24" s="419"/>
      <c r="AV24" s="419"/>
    </row>
    <row r="25" spans="1:48" s="4854" customFormat="1" ht="14.25" hidden="1" customHeight="1">
      <c r="A25" s="1037"/>
      <c r="B25" s="1037"/>
      <c r="C25" s="1037"/>
      <c r="D25" s="1037"/>
      <c r="E25" s="1037"/>
      <c r="F25" s="1037"/>
      <c r="G25" s="1037"/>
      <c r="H25" s="1037"/>
      <c r="I25" s="1037"/>
      <c r="J25" s="1037"/>
      <c r="K25" s="1037"/>
      <c r="L25" s="1037"/>
      <c r="M25" s="1206"/>
      <c r="N25" s="1207"/>
      <c r="O25" s="1207"/>
      <c r="P25" s="1207"/>
      <c r="Q25" s="1240"/>
      <c r="R25" s="1249"/>
      <c r="S25" s="1249"/>
      <c r="T25" s="1249"/>
      <c r="U25" s="630"/>
      <c r="AF25" s="1244"/>
      <c r="AO25" s="1244"/>
      <c r="AR25" s="419"/>
      <c r="AS25" s="419"/>
      <c r="AT25" s="419"/>
      <c r="AU25" s="419"/>
      <c r="AV25" s="419"/>
    </row>
    <row r="26" spans="1:48" s="4854" customFormat="1" ht="14.25" hidden="1" customHeight="1">
      <c r="A26" s="1037"/>
      <c r="B26" s="1037"/>
      <c r="C26" s="1037"/>
      <c r="D26" s="1037"/>
      <c r="E26" s="1037"/>
      <c r="F26" s="1037"/>
      <c r="G26" s="1037"/>
      <c r="H26" s="1037"/>
      <c r="I26" s="1037"/>
      <c r="J26" s="1037"/>
      <c r="K26" s="1037"/>
      <c r="L26" s="1037"/>
      <c r="M26" s="1206"/>
      <c r="N26" s="1207"/>
      <c r="O26" s="1207"/>
      <c r="P26" s="1190" t="s">
        <v>494</v>
      </c>
      <c r="Q26" s="1240"/>
      <c r="R26" s="1249"/>
      <c r="S26" s="1249"/>
      <c r="T26" s="1249"/>
      <c r="U26" s="630"/>
      <c r="V26" s="1042" t="s">
        <v>495</v>
      </c>
      <c r="AD26" s="108" t="s">
        <v>496</v>
      </c>
      <c r="AF26" s="108" t="s">
        <v>497</v>
      </c>
      <c r="AG26" s="1042" t="s">
        <v>495</v>
      </c>
      <c r="AM26" s="108" t="s">
        <v>498</v>
      </c>
      <c r="AO26" s="108" t="s">
        <v>497</v>
      </c>
      <c r="AR26" s="419"/>
      <c r="AS26" s="419"/>
      <c r="AT26" s="419"/>
      <c r="AU26" s="419"/>
      <c r="AV26" s="419"/>
    </row>
    <row r="27" spans="1:48" ht="14.25" hidden="1" customHeight="1">
      <c r="P27" s="1190"/>
    </row>
    <row r="28" spans="1:48" ht="14.25" hidden="1" customHeight="1">
      <c r="P28" s="1190"/>
    </row>
    <row r="29" spans="1:48" ht="14.25" customHeight="1">
      <c r="R29" s="292"/>
      <c r="S29" s="292"/>
      <c r="T29" s="292"/>
      <c r="U29" s="1158"/>
      <c r="V29" s="280"/>
      <c r="W29" s="280"/>
      <c r="X29" s="417"/>
      <c r="Y29" s="417"/>
      <c r="Z29" s="417"/>
      <c r="AA29" s="417"/>
      <c r="AB29" s="417"/>
      <c r="AC29" s="417"/>
      <c r="AD29" s="417"/>
      <c r="AE29" s="417"/>
      <c r="AF29" s="417"/>
      <c r="AG29" s="417"/>
      <c r="AH29" s="417"/>
      <c r="AI29" s="417"/>
      <c r="AJ29" s="417"/>
      <c r="AK29" s="417"/>
      <c r="AL29" s="417"/>
      <c r="AM29" s="417"/>
      <c r="AN29" s="417"/>
      <c r="AO29" s="417"/>
    </row>
    <row r="30" spans="1:48" ht="54" customHeight="1">
      <c r="R30" s="292"/>
      <c r="S30" s="292"/>
      <c r="T30" s="292"/>
      <c r="U30" s="5360"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5360"/>
      <c r="W30" s="5360"/>
      <c r="X30" s="5360"/>
      <c r="Y30" s="5360"/>
      <c r="Z30" s="5360"/>
      <c r="AA30" s="5360"/>
      <c r="AB30" s="5360"/>
      <c r="AC30" s="5360"/>
      <c r="AD30" s="5360"/>
      <c r="AE30" s="5360"/>
      <c r="AF30" s="5360"/>
      <c r="AG30" s="5360"/>
      <c r="AH30" s="5360"/>
      <c r="AI30" s="5360"/>
      <c r="AJ30" s="5360"/>
      <c r="AK30" s="5360"/>
      <c r="AL30" s="5360"/>
      <c r="AM30" s="5360"/>
      <c r="AN30" s="5360"/>
      <c r="AO30" s="1126"/>
    </row>
    <row r="31" spans="1:48" ht="14.25" customHeight="1">
      <c r="R31" s="292"/>
      <c r="S31" s="292"/>
      <c r="T31" s="292"/>
      <c r="U31" s="5308" t="str">
        <f>IF(org=0,"Не определено",org)</f>
        <v>ООО «Газпром теплоэнерго МО»</v>
      </c>
      <c r="V31" s="5308"/>
      <c r="W31" s="5308"/>
      <c r="X31" s="5308"/>
      <c r="Y31" s="5308"/>
      <c r="Z31" s="5308"/>
      <c r="AA31" s="5308"/>
      <c r="AB31" s="5308"/>
      <c r="AC31" s="5308"/>
      <c r="AD31" s="5308"/>
      <c r="AE31" s="5308"/>
      <c r="AF31" s="5308"/>
      <c r="AG31" s="5308"/>
      <c r="AH31" s="5308"/>
      <c r="AI31" s="5308"/>
      <c r="AJ31" s="5308"/>
      <c r="AK31" s="5308"/>
      <c r="AL31" s="5308"/>
      <c r="AM31" s="5308"/>
      <c r="AN31" s="5308"/>
      <c r="AO31" s="1126"/>
    </row>
    <row r="32" spans="1:48" ht="14.25" customHeight="1">
      <c r="R32" s="292"/>
      <c r="S32" s="292"/>
      <c r="T32" s="292"/>
      <c r="U32" s="1158"/>
      <c r="V32" s="280"/>
      <c r="W32" s="280"/>
      <c r="X32" s="240"/>
      <c r="Y32" s="240"/>
      <c r="Z32" s="240"/>
      <c r="AA32" s="240"/>
      <c r="AB32" s="240"/>
      <c r="AC32" s="240"/>
      <c r="AD32" s="240"/>
      <c r="AE32" s="240"/>
      <c r="AF32" s="240"/>
      <c r="AG32" s="240"/>
      <c r="AH32" s="240"/>
      <c r="AI32" s="240"/>
      <c r="AJ32" s="240"/>
      <c r="AK32" s="240"/>
      <c r="AL32" s="240"/>
      <c r="AM32" s="240"/>
      <c r="AN32" s="240"/>
      <c r="AO32" s="240"/>
      <c r="AP32" s="417"/>
    </row>
    <row r="33" spans="1:48" s="4855" customFormat="1" ht="25.5" customHeight="1">
      <c r="A33" s="1131"/>
      <c r="B33" s="1131"/>
      <c r="C33" s="1131"/>
      <c r="D33" s="1131"/>
      <c r="E33" s="1131"/>
      <c r="F33" s="1131"/>
      <c r="G33" s="1131"/>
      <c r="H33" s="1131"/>
      <c r="I33" s="1131"/>
      <c r="J33" s="1131"/>
      <c r="K33" s="1131"/>
      <c r="L33" s="1131"/>
      <c r="M33" s="1258"/>
      <c r="N33" s="1131"/>
      <c r="O33" s="1131"/>
      <c r="P33" s="1131"/>
      <c r="U33" s="5368" t="s">
        <v>38</v>
      </c>
      <c r="V33" s="5368"/>
      <c r="W33" s="1250"/>
      <c r="X33" s="5369" t="str">
        <f>IF(TITLE_NAME_OR_PR_CHANGE="",IF(TITLE_NAME_OR_PR="","",TITLE_NAME_OR_PR),TITLE_NAME_OR_PR_CHANGE)</f>
        <v>Комитет по ценам и тарифам Московской области</v>
      </c>
      <c r="Y33" s="5369"/>
      <c r="Z33" s="5369"/>
      <c r="AA33" s="5369"/>
      <c r="AB33" s="5369"/>
      <c r="AC33" s="5369"/>
      <c r="AD33" s="5369"/>
      <c r="AE33" s="5369"/>
      <c r="AF33" s="244"/>
      <c r="AG33" s="5369" t="str">
        <f>IF(TITLE_NAME_OR_PR_CHANGE="",IF(TITLE_NAME_OR_PR="","",TITLE_NAME_OR_PR),TITLE_NAME_OR_PR_CHANGE)</f>
        <v>Комитет по ценам и тарифам Московской области</v>
      </c>
      <c r="AH33" s="5369"/>
      <c r="AI33" s="5369"/>
      <c r="AJ33" s="5369"/>
      <c r="AK33" s="5369"/>
      <c r="AL33" s="5369"/>
      <c r="AM33" s="5369"/>
      <c r="AN33" s="5369"/>
      <c r="AO33" s="244"/>
      <c r="AP33" s="244"/>
      <c r="AQ33" s="199"/>
      <c r="AR33" s="284"/>
      <c r="AS33" s="284"/>
      <c r="AT33" s="284"/>
      <c r="AU33" s="284"/>
      <c r="AV33" s="284"/>
    </row>
    <row r="34" spans="1:48" s="4855" customFormat="1" ht="18.75" customHeight="1">
      <c r="A34" s="1131"/>
      <c r="B34" s="1131"/>
      <c r="C34" s="1131"/>
      <c r="D34" s="1131"/>
      <c r="E34" s="1131"/>
      <c r="F34" s="1131"/>
      <c r="G34" s="1131"/>
      <c r="H34" s="1131"/>
      <c r="I34" s="1131"/>
      <c r="J34" s="1131"/>
      <c r="K34" s="1131"/>
      <c r="L34" s="1131"/>
      <c r="M34" s="1258"/>
      <c r="N34" s="1131"/>
      <c r="O34" s="1131"/>
      <c r="P34" s="1131"/>
      <c r="U34" s="5368" t="s">
        <v>499</v>
      </c>
      <c r="V34" s="5368"/>
      <c r="W34" s="1250"/>
      <c r="X34" s="5378">
        <f>IF(TITLE_DATE_PR_CHANGE="",IF(TITLE_DATE_PR="","",TITLE_DATE_PR),TITLE_DATE_PR_CHANGE)</f>
        <v>45280</v>
      </c>
      <c r="Y34" s="5378"/>
      <c r="Z34" s="5378"/>
      <c r="AA34" s="5378"/>
      <c r="AB34" s="5378"/>
      <c r="AC34" s="5378"/>
      <c r="AD34" s="5378"/>
      <c r="AE34" s="5378"/>
      <c r="AF34" s="244"/>
      <c r="AG34" s="5378">
        <f>IF(TITLE_DATE_PR_CHANGE="",IF(TITLE_DATE_PR="","",TITLE_DATE_PR),TITLE_DATE_PR_CHANGE)</f>
        <v>45280</v>
      </c>
      <c r="AH34" s="5378"/>
      <c r="AI34" s="5378"/>
      <c r="AJ34" s="5378"/>
      <c r="AK34" s="5378"/>
      <c r="AL34" s="5378"/>
      <c r="AM34" s="5378"/>
      <c r="AN34" s="5378"/>
      <c r="AO34" s="244"/>
      <c r="AP34" s="244"/>
      <c r="AQ34" s="199"/>
      <c r="AR34" s="284"/>
      <c r="AS34" s="284"/>
      <c r="AT34" s="284"/>
      <c r="AU34" s="284"/>
      <c r="AV34" s="284"/>
    </row>
    <row r="35" spans="1:48" s="4855" customFormat="1" ht="18.75" customHeight="1">
      <c r="A35" s="1131"/>
      <c r="B35" s="1131"/>
      <c r="C35" s="1131"/>
      <c r="D35" s="1131"/>
      <c r="E35" s="1131"/>
      <c r="F35" s="1131"/>
      <c r="G35" s="1131"/>
      <c r="H35" s="1131"/>
      <c r="I35" s="1131"/>
      <c r="J35" s="1131"/>
      <c r="K35" s="1131"/>
      <c r="L35" s="1131"/>
      <c r="M35" s="1258"/>
      <c r="N35" s="1131"/>
      <c r="O35" s="1131"/>
      <c r="P35" s="1131"/>
      <c r="U35" s="5368" t="s">
        <v>500</v>
      </c>
      <c r="V35" s="5368"/>
      <c r="W35" s="1250"/>
      <c r="X35" s="5369" t="str">
        <f>IF(TITLE_NUMBER_PR_CHANGE="",IF(TITLE_NUMBER_PR="","",TITLE_NUMBER_PR),TITLE_NUMBER_PR_CHANGE)</f>
        <v>317-Р</v>
      </c>
      <c r="Y35" s="5369"/>
      <c r="Z35" s="5369"/>
      <c r="AA35" s="5369"/>
      <c r="AB35" s="5369"/>
      <c r="AC35" s="5369"/>
      <c r="AD35" s="5369"/>
      <c r="AE35" s="5369"/>
      <c r="AF35" s="244"/>
      <c r="AG35" s="5369" t="str">
        <f>IF(TITLE_NUMBER_PR_CHANGE="",IF(TITLE_NUMBER_PR="","",TITLE_NUMBER_PR),TITLE_NUMBER_PR_CHANGE)</f>
        <v>317-Р</v>
      </c>
      <c r="AH35" s="5369"/>
      <c r="AI35" s="5369"/>
      <c r="AJ35" s="5369"/>
      <c r="AK35" s="5369"/>
      <c r="AL35" s="5369"/>
      <c r="AM35" s="5369"/>
      <c r="AN35" s="5369"/>
      <c r="AO35" s="244"/>
      <c r="AP35" s="244"/>
      <c r="AQ35" s="199"/>
      <c r="AR35" s="284"/>
      <c r="AS35" s="284"/>
      <c r="AT35" s="284"/>
      <c r="AU35" s="284"/>
      <c r="AV35" s="284"/>
    </row>
    <row r="36" spans="1:48" s="4855" customFormat="1" ht="18.75" customHeight="1">
      <c r="A36" s="1131"/>
      <c r="B36" s="1131"/>
      <c r="C36" s="1131"/>
      <c r="D36" s="1131"/>
      <c r="E36" s="1131"/>
      <c r="F36" s="1131"/>
      <c r="G36" s="1131"/>
      <c r="H36" s="1131"/>
      <c r="I36" s="1131"/>
      <c r="J36" s="1131"/>
      <c r="K36" s="1131"/>
      <c r="L36" s="1131"/>
      <c r="M36" s="1258"/>
      <c r="N36" s="1131"/>
      <c r="O36" s="1131"/>
      <c r="P36" s="1131"/>
      <c r="U36" s="5368" t="s">
        <v>40</v>
      </c>
      <c r="V36" s="5368"/>
      <c r="W36" s="1250"/>
      <c r="X36" s="5369" t="str">
        <f>IF(TITLE_IST_PUB_CHANGE="",IF(TITLE_IST_PUB="","",TITLE_IST_PUB),TITLE_IST_PUB_CHANGE)</f>
        <v>https://ktc.mosreg.ru/dokumenty/normotvorchestvo/rasporyazheniya/gosudarstvennoe-regulirovanie-tarifov-na-teplovuyu-energiyu-raspor/29-12-2023-16-47-50-rasporyazhenie-komiteta-po-tsenam-i-tarifam-moskov</v>
      </c>
      <c r="Y36" s="5369"/>
      <c r="Z36" s="5369"/>
      <c r="AA36" s="5369"/>
      <c r="AB36" s="5369"/>
      <c r="AC36" s="5369"/>
      <c r="AD36" s="5369"/>
      <c r="AE36" s="5369"/>
      <c r="AF36" s="244"/>
      <c r="AG36" s="5369" t="str">
        <f>IF(TITLE_IST_PUB_CHANGE="",IF(TITLE_IST_PUB="","",TITLE_IST_PUB),TITLE_IST_PUB_CHANGE)</f>
        <v>https://ktc.mosreg.ru/dokumenty/normotvorchestvo/rasporyazheniya/gosudarstvennoe-regulirovanie-tarifov-na-teplovuyu-energiyu-raspor/29-12-2023-16-47-50-rasporyazhenie-komiteta-po-tsenam-i-tarifam-moskov</v>
      </c>
      <c r="AH36" s="5369"/>
      <c r="AI36" s="5369"/>
      <c r="AJ36" s="5369"/>
      <c r="AK36" s="5369"/>
      <c r="AL36" s="5369"/>
      <c r="AM36" s="5369"/>
      <c r="AN36" s="5369"/>
      <c r="AO36" s="244"/>
      <c r="AP36" s="244"/>
      <c r="AQ36" s="199"/>
      <c r="AR36" s="284"/>
      <c r="AS36" s="284"/>
      <c r="AT36" s="284"/>
      <c r="AU36" s="284"/>
      <c r="AV36" s="284"/>
    </row>
    <row r="37" spans="1:48" ht="14.25" hidden="1" customHeight="1">
      <c r="R37" s="292"/>
      <c r="S37" s="292"/>
      <c r="T37" s="292"/>
      <c r="U37" s="1158"/>
      <c r="V37" s="280"/>
      <c r="W37" s="280"/>
      <c r="X37" s="240"/>
      <c r="Y37" s="240"/>
      <c r="Z37" s="240"/>
      <c r="AA37" s="240"/>
      <c r="AB37" s="240"/>
      <c r="AC37" s="240"/>
      <c r="AD37" s="240"/>
      <c r="AE37" s="240"/>
      <c r="AF37" s="240"/>
      <c r="AG37" s="240"/>
      <c r="AH37" s="240"/>
      <c r="AI37" s="240"/>
      <c r="AJ37" s="240"/>
      <c r="AK37" s="240"/>
      <c r="AL37" s="240"/>
      <c r="AM37" s="240"/>
      <c r="AN37" s="240"/>
      <c r="AO37" s="240"/>
      <c r="AP37" s="417"/>
    </row>
    <row r="38" spans="1:48" s="4855" customFormat="1" ht="18.75" hidden="1" customHeight="1">
      <c r="A38" s="1131"/>
      <c r="B38" s="1131"/>
      <c r="C38" s="1131"/>
      <c r="D38" s="1131"/>
      <c r="E38" s="1131"/>
      <c r="F38" s="1131"/>
      <c r="G38" s="1131"/>
      <c r="H38" s="1131"/>
      <c r="I38" s="1131"/>
      <c r="J38" s="1131"/>
      <c r="K38" s="1131"/>
      <c r="L38" s="1131"/>
      <c r="M38" s="1258"/>
      <c r="N38" s="1131"/>
      <c r="O38" s="1131"/>
      <c r="P38" s="1131"/>
      <c r="U38" s="5368" t="s">
        <v>501</v>
      </c>
      <c r="V38" s="5368"/>
      <c r="W38" s="1250"/>
      <c r="X38" s="5378">
        <f>IF(TITLE_DATE_PR_CHANGE="",IF(TITLE_DATE_PR="","",TITLE_DATE_PR),TITLE_DATE_PR_CHANGE)</f>
        <v>45280</v>
      </c>
      <c r="Y38" s="5378"/>
      <c r="Z38" s="5378"/>
      <c r="AA38" s="5378"/>
      <c r="AB38" s="5378"/>
      <c r="AC38" s="5378"/>
      <c r="AD38" s="5378"/>
      <c r="AE38" s="5378"/>
      <c r="AF38" s="244"/>
      <c r="AG38" s="5378">
        <f>IF(TITLE_DATE_PR_CHANGE="",IF(TITLE_DATE_PR="","",TITLE_DATE_PR),TITLE_DATE_PR_CHANGE)</f>
        <v>45280</v>
      </c>
      <c r="AH38" s="5378"/>
      <c r="AI38" s="5378"/>
      <c r="AJ38" s="5378"/>
      <c r="AK38" s="5378"/>
      <c r="AL38" s="5378"/>
      <c r="AM38" s="5378"/>
      <c r="AN38" s="5378"/>
      <c r="AO38" s="244"/>
      <c r="AP38" s="244"/>
      <c r="AQ38" s="199"/>
      <c r="AR38" s="284"/>
      <c r="AS38" s="284"/>
      <c r="AT38" s="284"/>
      <c r="AU38" s="284"/>
      <c r="AV38" s="284"/>
    </row>
    <row r="39" spans="1:48" s="4855" customFormat="1" ht="18.75" hidden="1" customHeight="1">
      <c r="A39" s="1131"/>
      <c r="B39" s="1131"/>
      <c r="C39" s="1131"/>
      <c r="D39" s="1131"/>
      <c r="E39" s="1131"/>
      <c r="F39" s="1131"/>
      <c r="G39" s="1131"/>
      <c r="H39" s="1131"/>
      <c r="I39" s="1131"/>
      <c r="J39" s="1131"/>
      <c r="K39" s="1131"/>
      <c r="L39" s="1131"/>
      <c r="M39" s="1258"/>
      <c r="N39" s="1131"/>
      <c r="O39" s="1131"/>
      <c r="P39" s="1131"/>
      <c r="U39" s="5368" t="s">
        <v>502</v>
      </c>
      <c r="V39" s="5368"/>
      <c r="W39" s="1250"/>
      <c r="X39" s="5369" t="str">
        <f>IF(TITLE_NUMBER_PR_CHANGE="",IF(TITLE_NUMBER_PR="","",TITLE_NUMBER_PR),TITLE_NUMBER_PR_CHANGE)</f>
        <v>317-Р</v>
      </c>
      <c r="Y39" s="5369"/>
      <c r="Z39" s="5369"/>
      <c r="AA39" s="5369"/>
      <c r="AB39" s="5369"/>
      <c r="AC39" s="5369"/>
      <c r="AD39" s="5369"/>
      <c r="AE39" s="5369"/>
      <c r="AF39" s="244"/>
      <c r="AG39" s="5369" t="str">
        <f>IF(TITLE_NUMBER_PR_CHANGE="",IF(TITLE_NUMBER_PR="","",TITLE_NUMBER_PR),TITLE_NUMBER_PR_CHANGE)</f>
        <v>317-Р</v>
      </c>
      <c r="AH39" s="5369"/>
      <c r="AI39" s="5369"/>
      <c r="AJ39" s="5369"/>
      <c r="AK39" s="5369"/>
      <c r="AL39" s="5369"/>
      <c r="AM39" s="5369"/>
      <c r="AN39" s="5369"/>
      <c r="AO39" s="244"/>
      <c r="AP39" s="244"/>
      <c r="AQ39" s="199"/>
      <c r="AR39" s="284"/>
      <c r="AS39" s="284"/>
      <c r="AT39" s="284"/>
      <c r="AU39" s="284"/>
      <c r="AV39" s="284"/>
    </row>
    <row r="40" spans="1:48" s="4855" customFormat="1" ht="0" hidden="1" customHeight="1">
      <c r="A40" s="1131"/>
      <c r="B40" s="1131"/>
      <c r="C40" s="1131"/>
      <c r="D40" s="1131"/>
      <c r="E40" s="1131"/>
      <c r="F40" s="1131"/>
      <c r="G40" s="1131"/>
      <c r="H40" s="1131"/>
      <c r="I40" s="1131"/>
      <c r="J40" s="1131"/>
      <c r="K40" s="1131"/>
      <c r="L40" s="1131"/>
      <c r="M40" s="1258"/>
      <c r="N40" s="1131"/>
      <c r="O40" s="1131"/>
      <c r="P40" s="1131"/>
      <c r="U40" s="241"/>
      <c r="V40" s="241"/>
      <c r="W40" s="1219"/>
      <c r="X40" s="244"/>
      <c r="Y40" s="244"/>
      <c r="Z40" s="244"/>
      <c r="AA40" s="244"/>
      <c r="AB40" s="244"/>
      <c r="AC40" s="244"/>
      <c r="AD40" s="244"/>
      <c r="AE40" s="244"/>
      <c r="AF40" s="197" t="s">
        <v>503</v>
      </c>
      <c r="AG40" s="244"/>
      <c r="AH40" s="244"/>
      <c r="AI40" s="244"/>
      <c r="AJ40" s="244"/>
      <c r="AK40" s="244"/>
      <c r="AL40" s="244"/>
      <c r="AM40" s="244"/>
      <c r="AN40" s="244"/>
      <c r="AO40" s="197" t="s">
        <v>503</v>
      </c>
      <c r="AR40" s="284"/>
      <c r="AS40" s="284"/>
      <c r="AT40" s="284"/>
      <c r="AU40" s="284"/>
      <c r="AV40" s="284"/>
    </row>
    <row r="41" spans="1:48" ht="14.25" customHeight="1">
      <c r="R41" s="292"/>
      <c r="S41" s="292"/>
      <c r="T41" s="292"/>
      <c r="U41" s="1158"/>
      <c r="V41" s="280"/>
      <c r="W41" s="1127"/>
      <c r="X41" s="5370"/>
      <c r="Y41" s="5370"/>
      <c r="Z41" s="5370"/>
      <c r="AA41" s="5370"/>
      <c r="AB41" s="5370"/>
      <c r="AC41" s="5370"/>
      <c r="AD41" s="5370"/>
      <c r="AE41" s="5370"/>
      <c r="AF41" s="5370"/>
      <c r="AG41" s="5370"/>
      <c r="AH41" s="5370"/>
      <c r="AI41" s="5370"/>
      <c r="AJ41" s="5370"/>
      <c r="AK41" s="5370"/>
      <c r="AL41" s="5370"/>
      <c r="AM41" s="5370"/>
      <c r="AN41" s="5370"/>
      <c r="AO41" s="5370"/>
    </row>
    <row r="42" spans="1:48" ht="14.25" customHeight="1">
      <c r="R42" s="292"/>
      <c r="S42" s="292"/>
      <c r="T42" s="292"/>
      <c r="U42" s="5244" t="s">
        <v>378</v>
      </c>
      <c r="V42" s="5244"/>
      <c r="W42" s="5244"/>
      <c r="X42" s="5244"/>
      <c r="Y42" s="5244"/>
      <c r="Z42" s="5244"/>
      <c r="AA42" s="5244"/>
      <c r="AB42" s="5244"/>
      <c r="AC42" s="5244"/>
      <c r="AD42" s="5244"/>
      <c r="AE42" s="5244"/>
      <c r="AF42" s="5244"/>
      <c r="AG42" s="5244"/>
      <c r="AH42" s="5244"/>
      <c r="AI42" s="5244"/>
      <c r="AJ42" s="5244"/>
      <c r="AK42" s="5244"/>
      <c r="AL42" s="5244"/>
      <c r="AM42" s="5244"/>
      <c r="AN42" s="5244"/>
      <c r="AO42" s="5244"/>
      <c r="AP42" s="5244"/>
      <c r="AQ42" s="5244" t="s">
        <v>379</v>
      </c>
    </row>
    <row r="43" spans="1:48" ht="14.25" customHeight="1">
      <c r="R43" s="292"/>
      <c r="S43" s="292"/>
      <c r="T43" s="292"/>
      <c r="U43" s="5384" t="s">
        <v>85</v>
      </c>
      <c r="V43" s="5336" t="s">
        <v>504</v>
      </c>
      <c r="W43" s="219"/>
      <c r="X43" s="5385" t="s">
        <v>505</v>
      </c>
      <c r="Y43" s="5402"/>
      <c r="Z43" s="5402"/>
      <c r="AA43" s="5402"/>
      <c r="AB43" s="5402"/>
      <c r="AC43" s="5386"/>
      <c r="AD43" s="5386"/>
      <c r="AE43" s="5387"/>
      <c r="AF43" s="5388" t="s">
        <v>506</v>
      </c>
      <c r="AG43" s="5385" t="s">
        <v>505</v>
      </c>
      <c r="AH43" s="5402"/>
      <c r="AI43" s="5402"/>
      <c r="AJ43" s="5402"/>
      <c r="AK43" s="5402"/>
      <c r="AL43" s="5386"/>
      <c r="AM43" s="5386"/>
      <c r="AN43" s="5387"/>
      <c r="AO43" s="5388" t="s">
        <v>507</v>
      </c>
      <c r="AP43" s="5391" t="s">
        <v>508</v>
      </c>
      <c r="AQ43" s="5244"/>
    </row>
    <row r="44" spans="1:48" ht="33.75" customHeight="1">
      <c r="R44" s="292"/>
      <c r="S44" s="292"/>
      <c r="T44" s="292"/>
      <c r="U44" s="5384"/>
      <c r="V44" s="5336"/>
      <c r="W44" s="920"/>
      <c r="X44" s="5322" t="s">
        <v>530</v>
      </c>
      <c r="Y44" s="5244" t="s">
        <v>531</v>
      </c>
      <c r="Z44" s="5244"/>
      <c r="AA44" s="5244"/>
      <c r="AB44" s="5244"/>
      <c r="AC44" s="5322" t="s">
        <v>512</v>
      </c>
      <c r="AD44" s="5409"/>
      <c r="AE44" s="5323"/>
      <c r="AF44" s="5389"/>
      <c r="AG44" s="5322" t="s">
        <v>530</v>
      </c>
      <c r="AH44" s="5244" t="s">
        <v>531</v>
      </c>
      <c r="AI44" s="5244"/>
      <c r="AJ44" s="5244"/>
      <c r="AK44" s="5244"/>
      <c r="AL44" s="5322" t="s">
        <v>512</v>
      </c>
      <c r="AM44" s="5409"/>
      <c r="AN44" s="5323"/>
      <c r="AO44" s="5389"/>
      <c r="AP44" s="5392"/>
      <c r="AQ44" s="5244"/>
    </row>
    <row r="45" spans="1:48" ht="14.25" customHeight="1">
      <c r="R45" s="292"/>
      <c r="S45" s="292"/>
      <c r="T45" s="292"/>
      <c r="U45" s="5384"/>
      <c r="V45" s="5336"/>
      <c r="W45" s="920"/>
      <c r="X45" s="5324"/>
      <c r="Y45" s="5349" t="s">
        <v>532</v>
      </c>
      <c r="Z45" s="5344" t="s">
        <v>533</v>
      </c>
      <c r="AA45" s="5345"/>
      <c r="AB45" s="5346"/>
      <c r="AC45" s="5327"/>
      <c r="AD45" s="5410"/>
      <c r="AE45" s="5328"/>
      <c r="AF45" s="5389"/>
      <c r="AG45" s="5324"/>
      <c r="AH45" s="5349" t="s">
        <v>532</v>
      </c>
      <c r="AI45" s="5344" t="s">
        <v>533</v>
      </c>
      <c r="AJ45" s="5345"/>
      <c r="AK45" s="5346"/>
      <c r="AL45" s="5327"/>
      <c r="AM45" s="5410"/>
      <c r="AN45" s="5328"/>
      <c r="AO45" s="5389"/>
      <c r="AP45" s="5392"/>
      <c r="AQ45" s="5244"/>
    </row>
    <row r="46" spans="1:48" ht="25.5" customHeight="1">
      <c r="R46" s="292"/>
      <c r="S46" s="292"/>
      <c r="T46" s="292"/>
      <c r="U46" s="5384"/>
      <c r="V46" s="5336"/>
      <c r="W46" s="920"/>
      <c r="X46" s="5324"/>
      <c r="Y46" s="5411"/>
      <c r="Z46" s="5349" t="s">
        <v>534</v>
      </c>
      <c r="AA46" s="5344" t="s">
        <v>535</v>
      </c>
      <c r="AB46" s="5346"/>
      <c r="AC46" s="5349" t="s">
        <v>522</v>
      </c>
      <c r="AD46" s="5351" t="s">
        <v>523</v>
      </c>
      <c r="AE46" s="5353"/>
      <c r="AF46" s="5389"/>
      <c r="AG46" s="5324"/>
      <c r="AH46" s="5411"/>
      <c r="AI46" s="5349" t="s">
        <v>534</v>
      </c>
      <c r="AJ46" s="5344" t="s">
        <v>535</v>
      </c>
      <c r="AK46" s="5346"/>
      <c r="AL46" s="5349" t="s">
        <v>522</v>
      </c>
      <c r="AM46" s="5351" t="s">
        <v>523</v>
      </c>
      <c r="AN46" s="5353"/>
      <c r="AO46" s="5389"/>
      <c r="AP46" s="5392"/>
      <c r="AQ46" s="5244"/>
    </row>
    <row r="47" spans="1:48" ht="62.25" customHeight="1">
      <c r="A47" s="1143"/>
      <c r="B47" s="1143" t="s">
        <v>153</v>
      </c>
      <c r="C47" s="1143" t="s">
        <v>154</v>
      </c>
      <c r="D47" s="1143" t="s">
        <v>155</v>
      </c>
      <c r="E47" s="1190" t="s">
        <v>513</v>
      </c>
      <c r="F47" s="1190" t="s">
        <v>514</v>
      </c>
      <c r="G47" s="1190" t="s">
        <v>515</v>
      </c>
      <c r="H47" s="1190" t="s">
        <v>516</v>
      </c>
      <c r="I47" s="1190" t="s">
        <v>517</v>
      </c>
      <c r="J47" s="1190" t="s">
        <v>518</v>
      </c>
      <c r="K47" s="1190" t="s">
        <v>519</v>
      </c>
      <c r="L47" s="1190" t="s">
        <v>536</v>
      </c>
      <c r="M47" s="1190" t="s">
        <v>494</v>
      </c>
      <c r="R47" s="292"/>
      <c r="S47" s="292"/>
      <c r="T47" s="292"/>
      <c r="U47" s="5384"/>
      <c r="V47" s="5336"/>
      <c r="W47" s="220"/>
      <c r="X47" s="5327"/>
      <c r="Y47" s="5350"/>
      <c r="Z47" s="5350"/>
      <c r="AA47" s="1105" t="s">
        <v>537</v>
      </c>
      <c r="AB47" s="1105" t="s">
        <v>538</v>
      </c>
      <c r="AC47" s="5350"/>
      <c r="AD47" s="5352"/>
      <c r="AE47" s="5354"/>
      <c r="AF47" s="5390"/>
      <c r="AG47" s="5327"/>
      <c r="AH47" s="5350"/>
      <c r="AI47" s="5350"/>
      <c r="AJ47" s="1105" t="s">
        <v>537</v>
      </c>
      <c r="AK47" s="1105" t="s">
        <v>538</v>
      </c>
      <c r="AL47" s="5350"/>
      <c r="AM47" s="5352"/>
      <c r="AN47" s="5354"/>
      <c r="AO47" s="5390"/>
      <c r="AP47" s="5393"/>
      <c r="AQ47" s="5244"/>
    </row>
    <row r="48" spans="1:48" s="4840" customFormat="1" ht="11.25" hidden="1" customHeight="1">
      <c r="A48" s="1143"/>
      <c r="B48" s="1143"/>
      <c r="C48" s="1143"/>
      <c r="D48" s="1143"/>
      <c r="E48" s="1143"/>
      <c r="F48" s="1143"/>
      <c r="G48" s="1143"/>
      <c r="H48" s="1143"/>
      <c r="I48" s="1143"/>
      <c r="J48" s="1143"/>
      <c r="K48" s="1143"/>
      <c r="L48" s="1143"/>
      <c r="M48" s="1190"/>
      <c r="N48" s="1207"/>
      <c r="O48" s="1207"/>
      <c r="P48" s="1207"/>
      <c r="Q48" s="1129"/>
      <c r="R48" s="1130"/>
      <c r="S48" s="1137">
        <v>1</v>
      </c>
      <c r="T48" s="1137"/>
      <c r="U48" s="1160" t="s">
        <v>129</v>
      </c>
      <c r="V48" s="1138" t="s">
        <v>100</v>
      </c>
      <c r="W48" s="1128" t="str">
        <f ca="1">OFFSET(W48,0,-1)</f>
        <v>2</v>
      </c>
      <c r="X48" s="1214">
        <f ca="1">OFFSET(X48,0,-1)+1</f>
        <v>3</v>
      </c>
      <c r="Y48" s="1220"/>
      <c r="Z48" s="1220"/>
      <c r="AA48" s="1220">
        <f ca="1">OFFSET(AA48,0,-1)+1</f>
        <v>1</v>
      </c>
      <c r="AB48" s="1220">
        <f ca="1">OFFSET(AB48,0,-1)+1</f>
        <v>2</v>
      </c>
      <c r="AC48" s="1214">
        <f ca="1">OFFSET(AC48,0,-1)+1</f>
        <v>3</v>
      </c>
      <c r="AD48" s="5383">
        <f ca="1">OFFSET(AD48,0,-1)+1</f>
        <v>4</v>
      </c>
      <c r="AE48" s="5383"/>
      <c r="AF48" s="1214">
        <f ca="1">OFFSET(AF48,0,-2)+1</f>
        <v>5</v>
      </c>
      <c r="AG48" s="1214">
        <f ca="1">OFFSET(AG48,0,-1)+1</f>
        <v>6</v>
      </c>
      <c r="AH48" s="1214"/>
      <c r="AI48" s="1214"/>
      <c r="AJ48" s="1214">
        <f ca="1">OFFSET(AJ48,0,-1)+1</f>
        <v>1</v>
      </c>
      <c r="AK48" s="1214">
        <f ca="1">OFFSET(AK48,0,-1)+1</f>
        <v>2</v>
      </c>
      <c r="AL48" s="1214">
        <f ca="1">OFFSET(AL48,0,-1)+1</f>
        <v>3</v>
      </c>
      <c r="AM48" s="5383">
        <f ca="1">OFFSET(AM48,0,-1)+1</f>
        <v>4</v>
      </c>
      <c r="AN48" s="5383"/>
      <c r="AO48" s="1214">
        <f ca="1">OFFSET(AO48,0,-2)+1</f>
        <v>5</v>
      </c>
      <c r="AP48" s="1128">
        <f ca="1">OFFSET(AP48,0,-1)</f>
        <v>5</v>
      </c>
      <c r="AQ48" s="1214">
        <f ca="1">OFFSET(AQ48,0,-1)+1</f>
        <v>6</v>
      </c>
      <c r="AR48" s="419"/>
      <c r="AS48" s="419"/>
      <c r="AT48" s="419"/>
      <c r="AU48" s="419"/>
      <c r="AV48" s="419"/>
    </row>
    <row r="49" spans="1:48" ht="21" customHeight="1">
      <c r="A49" s="1150" t="s">
        <v>191</v>
      </c>
      <c r="B49" s="1150"/>
      <c r="C49" s="1150"/>
      <c r="D49" s="1150"/>
      <c r="E49" s="5400">
        <v>1</v>
      </c>
      <c r="F49" s="1150"/>
      <c r="G49" s="1150"/>
      <c r="H49" s="1150"/>
      <c r="I49" s="1150"/>
      <c r="J49" s="1150"/>
      <c r="K49" s="1150"/>
      <c r="L49" s="1150"/>
      <c r="M49" s="1190"/>
      <c r="N49" s="590"/>
      <c r="O49" s="590"/>
      <c r="P49" s="590"/>
      <c r="Q49" s="278"/>
      <c r="R49" s="277"/>
      <c r="S49" s="277"/>
      <c r="T49" s="272"/>
      <c r="U49" s="1215">
        <f>INDEX(PT_DIFFERENTIATION_NUM_NTAR,MATCH(A49,PT_DIFFERENTIATION_NTAR_ID,0))</f>
        <v>0</v>
      </c>
      <c r="V49" s="216" t="s">
        <v>141</v>
      </c>
      <c r="W49" s="218"/>
      <c r="X49" s="5362"/>
      <c r="Y49" s="5363"/>
      <c r="Z49" s="5363"/>
      <c r="AA49" s="5363"/>
      <c r="AB49" s="5363"/>
      <c r="AC49" s="5363"/>
      <c r="AD49" s="5363"/>
      <c r="AE49" s="5363"/>
      <c r="AF49" s="5364"/>
      <c r="AG49" s="5362" t="str">
        <f>INDEX(PT_DIFFERENTIATION_NTAR,MATCH(A49,PT_DIFFERENTIATION_NTAR_ID,0))</f>
        <v/>
      </c>
      <c r="AH49" s="5363"/>
      <c r="AI49" s="5363"/>
      <c r="AJ49" s="5363"/>
      <c r="AK49" s="5363"/>
      <c r="AL49" s="5363"/>
      <c r="AM49" s="5363"/>
      <c r="AN49" s="5363"/>
      <c r="AO49" s="5363"/>
      <c r="AP49" s="5364"/>
      <c r="AQ49" s="11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08"/>
      <c r="AT49" s="408" t="str">
        <f t="shared" ref="AT49:AT65" si="2">IF(V49="","",V49)</f>
        <v>Наименование тарифа</v>
      </c>
      <c r="AU49" s="408"/>
      <c r="AV49" s="408"/>
    </row>
    <row r="50" spans="1:48" ht="21" customHeight="1">
      <c r="A50" s="1150" t="s">
        <v>191</v>
      </c>
      <c r="B50" s="1150" t="s">
        <v>192</v>
      </c>
      <c r="C50" s="1150"/>
      <c r="D50" s="1150"/>
      <c r="E50" s="5401"/>
      <c r="F50" s="5400">
        <v>1</v>
      </c>
      <c r="G50" s="1150"/>
      <c r="H50" s="1150"/>
      <c r="I50" s="1150"/>
      <c r="J50" s="1150"/>
      <c r="K50" s="1150"/>
      <c r="L50" s="1150"/>
      <c r="M50" s="1190"/>
      <c r="N50" s="590"/>
      <c r="O50" s="590"/>
      <c r="P50" s="590"/>
      <c r="Q50" s="1211"/>
      <c r="R50" s="269"/>
      <c r="S50" s="417"/>
      <c r="T50" s="270"/>
      <c r="U50" s="1215" t="str">
        <f>INDEX(PT_DIFFERENTIATION_NUM_TER,MATCH(B50,PT_DIFFERENTIATION_TER_ID,0))</f>
        <v>.</v>
      </c>
      <c r="V50" s="226" t="s">
        <v>475</v>
      </c>
      <c r="W50" s="218"/>
      <c r="X50" s="5362"/>
      <c r="Y50" s="5363"/>
      <c r="Z50" s="5363"/>
      <c r="AA50" s="5363"/>
      <c r="AB50" s="5363"/>
      <c r="AC50" s="5363"/>
      <c r="AD50" s="5363"/>
      <c r="AE50" s="5363"/>
      <c r="AF50" s="5364"/>
      <c r="AG50" s="5362" t="str">
        <f>INDEX(PT_DIFFERENTIATION_TER,MATCH(B50,PT_DIFFERENTIATION_TER_ID,0))</f>
        <v/>
      </c>
      <c r="AH50" s="5363"/>
      <c r="AI50" s="5363"/>
      <c r="AJ50" s="5363"/>
      <c r="AK50" s="5363"/>
      <c r="AL50" s="5363"/>
      <c r="AM50" s="5363"/>
      <c r="AN50" s="5363"/>
      <c r="AO50" s="5363"/>
      <c r="AP50" s="5364"/>
      <c r="AQ50" s="1141" t="s">
        <v>476</v>
      </c>
      <c r="AS50" s="408"/>
      <c r="AT50" s="408" t="str">
        <f t="shared" si="2"/>
        <v>Территория действия тарифа</v>
      </c>
      <c r="AU50" s="408"/>
      <c r="AV50" s="408"/>
    </row>
    <row r="51" spans="1:48" ht="22.5" customHeight="1">
      <c r="A51" s="1150" t="s">
        <v>191</v>
      </c>
      <c r="B51" s="1150" t="s">
        <v>192</v>
      </c>
      <c r="C51" s="1150" t="s">
        <v>193</v>
      </c>
      <c r="D51" s="1150"/>
      <c r="E51" s="5401"/>
      <c r="F51" s="5401"/>
      <c r="G51" s="5400">
        <v>1</v>
      </c>
      <c r="H51" s="1150"/>
      <c r="I51" s="1150"/>
      <c r="J51" s="1150"/>
      <c r="K51" s="1150"/>
      <c r="L51" s="1150"/>
      <c r="M51" s="1190"/>
      <c r="N51" s="590"/>
      <c r="O51" s="590"/>
      <c r="P51" s="590"/>
      <c r="Q51" s="271"/>
      <c r="R51" s="269"/>
      <c r="S51" s="417"/>
      <c r="T51" s="270"/>
      <c r="U51" s="1215" t="str">
        <f>INDEX(PT_DIFFERENTIATION_NUM_CS,MATCH(C51,PT_DIFFERENTIATION_CS_ID,0))</f>
        <v>..</v>
      </c>
      <c r="V51" s="227" t="s">
        <v>477</v>
      </c>
      <c r="W51" s="218"/>
      <c r="X51" s="5362"/>
      <c r="Y51" s="5363"/>
      <c r="Z51" s="5363"/>
      <c r="AA51" s="5363"/>
      <c r="AB51" s="5363"/>
      <c r="AC51" s="5363"/>
      <c r="AD51" s="5363"/>
      <c r="AE51" s="5363"/>
      <c r="AF51" s="5364"/>
      <c r="AG51" s="5362" t="str">
        <f>INDEX(PT_DIFFERENTIATION_CS,MATCH(C51,PT_DIFFERENTIATION_CS_ID,0))</f>
        <v/>
      </c>
      <c r="AH51" s="5363"/>
      <c r="AI51" s="5363"/>
      <c r="AJ51" s="5363"/>
      <c r="AK51" s="5363"/>
      <c r="AL51" s="5363"/>
      <c r="AM51" s="5363"/>
      <c r="AN51" s="5363"/>
      <c r="AO51" s="5363"/>
      <c r="AP51" s="5364"/>
      <c r="AQ51" s="1141" t="s">
        <v>478</v>
      </c>
      <c r="AS51" s="408"/>
      <c r="AT51" s="408" t="str">
        <f t="shared" si="2"/>
        <v xml:space="preserve">Наименование системы теплоснабжения </v>
      </c>
      <c r="AU51" s="408"/>
      <c r="AV51" s="408"/>
    </row>
    <row r="52" spans="1:48" ht="21" customHeight="1">
      <c r="A52" s="1150" t="s">
        <v>191</v>
      </c>
      <c r="B52" s="1150" t="s">
        <v>192</v>
      </c>
      <c r="C52" s="1150" t="s">
        <v>193</v>
      </c>
      <c r="D52" s="1150" t="s">
        <v>194</v>
      </c>
      <c r="E52" s="5401"/>
      <c r="F52" s="5401"/>
      <c r="G52" s="5401"/>
      <c r="H52" s="5400">
        <v>1</v>
      </c>
      <c r="I52" s="1150"/>
      <c r="J52" s="1150"/>
      <c r="K52" s="1150"/>
      <c r="L52" s="1150"/>
      <c r="M52" s="1190"/>
      <c r="N52" s="590"/>
      <c r="O52" s="590"/>
      <c r="P52" s="590"/>
      <c r="Q52" s="271"/>
      <c r="R52" s="269"/>
      <c r="S52" s="417"/>
      <c r="T52" s="270"/>
      <c r="U52" s="1215" t="str">
        <f>INDEX(PT_DIFFERENTIATION_NUM_IST_TE,MATCH(D52,PT_DIFFERENTIATION_IST_TE_ID,0))</f>
        <v>...</v>
      </c>
      <c r="V52" s="228" t="s">
        <v>479</v>
      </c>
      <c r="W52" s="218"/>
      <c r="X52" s="5362"/>
      <c r="Y52" s="5363"/>
      <c r="Z52" s="5363"/>
      <c r="AA52" s="5363"/>
      <c r="AB52" s="5363"/>
      <c r="AC52" s="5363"/>
      <c r="AD52" s="5363"/>
      <c r="AE52" s="5363"/>
      <c r="AF52" s="5364"/>
      <c r="AG52" s="5362" t="str">
        <f>INDEX(PT_DIFFERENTIATION_IST_TE,MATCH(D52,PT_DIFFERENTIATION_IST_TE_ID,0))</f>
        <v/>
      </c>
      <c r="AH52" s="5363"/>
      <c r="AI52" s="5363"/>
      <c r="AJ52" s="5363"/>
      <c r="AK52" s="5363"/>
      <c r="AL52" s="5363"/>
      <c r="AM52" s="5363"/>
      <c r="AN52" s="5363"/>
      <c r="AO52" s="5363"/>
      <c r="AP52" s="5364"/>
      <c r="AQ52" s="1141" t="s">
        <v>480</v>
      </c>
      <c r="AS52" s="408"/>
      <c r="AT52" s="408" t="str">
        <f t="shared" si="2"/>
        <v xml:space="preserve">Источник тепловой энергии  </v>
      </c>
      <c r="AU52" s="408"/>
      <c r="AV52" s="408"/>
    </row>
    <row r="53" spans="1:48" s="4856" customFormat="1" ht="0" hidden="1" customHeight="1">
      <c r="A53" s="1253" t="s">
        <v>191</v>
      </c>
      <c r="B53" s="1253" t="s">
        <v>192</v>
      </c>
      <c r="C53" s="1253" t="s">
        <v>193</v>
      </c>
      <c r="D53" s="1253" t="s">
        <v>194</v>
      </c>
      <c r="E53" s="5401"/>
      <c r="F53" s="5401"/>
      <c r="G53" s="5401"/>
      <c r="H53" s="5401"/>
      <c r="I53" s="5244" t="str">
        <f>U52&amp;".1"</f>
        <v>....1</v>
      </c>
      <c r="J53" s="1253"/>
      <c r="K53" s="1253"/>
      <c r="L53" s="1253"/>
      <c r="M53" s="1259" t="s">
        <v>481</v>
      </c>
      <c r="N53" s="1129"/>
      <c r="O53" s="1129"/>
      <c r="P53" s="1129"/>
      <c r="Q53" s="5375">
        <v>1</v>
      </c>
      <c r="R53" s="1210"/>
      <c r="S53" s="1210"/>
      <c r="T53" s="273"/>
      <c r="U53" s="931"/>
      <c r="V53" s="1261"/>
      <c r="W53" s="1262"/>
      <c r="X53" s="5405"/>
      <c r="Y53" s="5406"/>
      <c r="Z53" s="5406"/>
      <c r="AA53" s="5406"/>
      <c r="AB53" s="5406"/>
      <c r="AC53" s="5406"/>
      <c r="AD53" s="5406"/>
      <c r="AE53" s="5406"/>
      <c r="AF53" s="5407"/>
      <c r="AG53" s="5405"/>
      <c r="AH53" s="5406"/>
      <c r="AI53" s="5406"/>
      <c r="AJ53" s="5406"/>
      <c r="AK53" s="5406"/>
      <c r="AL53" s="5406"/>
      <c r="AM53" s="5406"/>
      <c r="AN53" s="5406"/>
      <c r="AO53" s="5406"/>
      <c r="AP53" s="5407"/>
      <c r="AQ53" s="1263"/>
      <c r="AS53" s="408"/>
      <c r="AT53" s="408" t="str">
        <f t="shared" si="2"/>
        <v/>
      </c>
      <c r="AU53" s="408"/>
      <c r="AV53" s="408"/>
    </row>
    <row r="54" spans="1:48" ht="21" customHeight="1">
      <c r="A54" s="1150" t="s">
        <v>191</v>
      </c>
      <c r="B54" s="1150" t="s">
        <v>192</v>
      </c>
      <c r="C54" s="1150" t="s">
        <v>193</v>
      </c>
      <c r="D54" s="1150" t="s">
        <v>194</v>
      </c>
      <c r="E54" s="5401"/>
      <c r="F54" s="5401"/>
      <c r="G54" s="5401"/>
      <c r="H54" s="5401"/>
      <c r="I54" s="5215"/>
      <c r="J54" s="5244" t="str">
        <f>I53&amp;".1"</f>
        <v>....1.1</v>
      </c>
      <c r="K54" s="1150"/>
      <c r="L54" s="1150"/>
      <c r="M54" s="1190" t="s">
        <v>484</v>
      </c>
      <c r="Q54" s="5375"/>
      <c r="R54" s="5375">
        <v>1</v>
      </c>
      <c r="S54" s="426"/>
      <c r="T54" s="274"/>
      <c r="U54" s="1215" t="str">
        <f>$J54</f>
        <v>....1.1</v>
      </c>
      <c r="V54" s="204" t="s">
        <v>485</v>
      </c>
      <c r="W54" s="218"/>
      <c r="X54" s="5365"/>
      <c r="Y54" s="5366"/>
      <c r="Z54" s="5366"/>
      <c r="AA54" s="5366"/>
      <c r="AB54" s="5366"/>
      <c r="AC54" s="5358"/>
      <c r="AD54" s="5358"/>
      <c r="AE54" s="5358"/>
      <c r="AF54" s="5408"/>
      <c r="AG54" s="5365"/>
      <c r="AH54" s="5366"/>
      <c r="AI54" s="5366"/>
      <c r="AJ54" s="5366"/>
      <c r="AK54" s="5366"/>
      <c r="AL54" s="5366"/>
      <c r="AM54" s="5366"/>
      <c r="AN54" s="5366"/>
      <c r="AO54" s="5366"/>
      <c r="AP54" s="5367"/>
      <c r="AQ54" s="1141" t="s">
        <v>486</v>
      </c>
      <c r="AS54" s="408"/>
      <c r="AT54" s="408" t="str">
        <f t="shared" si="2"/>
        <v>Группа потребителей</v>
      </c>
      <c r="AU54" s="408"/>
      <c r="AV54" s="408"/>
    </row>
    <row r="55" spans="1:48" ht="21" customHeight="1">
      <c r="A55" s="1150" t="s">
        <v>191</v>
      </c>
      <c r="B55" s="1150" t="s">
        <v>192</v>
      </c>
      <c r="C55" s="1150" t="s">
        <v>193</v>
      </c>
      <c r="D55" s="1150" t="s">
        <v>194</v>
      </c>
      <c r="E55" s="5401"/>
      <c r="F55" s="5401"/>
      <c r="G55" s="5401"/>
      <c r="H55" s="5401"/>
      <c r="I55" s="5215"/>
      <c r="J55" s="5215"/>
      <c r="K55" s="5244" t="str">
        <f>J54&amp;".1"</f>
        <v>....1.1.1</v>
      </c>
      <c r="L55" s="67"/>
      <c r="M55" s="1190" t="s">
        <v>487</v>
      </c>
      <c r="Q55" s="5375"/>
      <c r="R55" s="5375"/>
      <c r="S55" s="426">
        <v>1</v>
      </c>
      <c r="T55" s="274"/>
      <c r="U55" s="1215" t="str">
        <f>$K55</f>
        <v>....1.1.1</v>
      </c>
      <c r="V55" s="1226"/>
      <c r="W55" s="218"/>
      <c r="X55" s="650"/>
      <c r="Y55" s="650"/>
      <c r="Z55" s="650"/>
      <c r="AA55" s="650"/>
      <c r="AB55" s="1283"/>
      <c r="AC55" s="5379"/>
      <c r="AD55" s="5225" t="s">
        <v>64</v>
      </c>
      <c r="AE55" s="5379"/>
      <c r="AF55" s="5225" t="s">
        <v>64</v>
      </c>
      <c r="AG55" s="1285"/>
      <c r="AH55" s="650"/>
      <c r="AI55" s="650"/>
      <c r="AJ55" s="650"/>
      <c r="AK55" s="1140"/>
      <c r="AL55" s="5379"/>
      <c r="AM55" s="5225" t="s">
        <v>64</v>
      </c>
      <c r="AN55" s="5379"/>
      <c r="AO55" s="5225" t="s">
        <v>64</v>
      </c>
      <c r="AP55" s="1227"/>
      <c r="AQ55" s="1188" t="s">
        <v>527</v>
      </c>
      <c r="AR55" s="419" t="e">
        <f ca="1">STRCHECKDATE(X57:AP57)</f>
        <v>#NAME?</v>
      </c>
      <c r="AS55" s="408"/>
      <c r="AT55" s="408" t="str">
        <f t="shared" si="2"/>
        <v/>
      </c>
      <c r="AU55" s="408"/>
      <c r="AV55" s="408"/>
    </row>
    <row r="56" spans="1:48" ht="11.25" customHeight="1">
      <c r="A56" s="1150" t="s">
        <v>191</v>
      </c>
      <c r="B56" s="1150" t="s">
        <v>192</v>
      </c>
      <c r="C56" s="1150" t="s">
        <v>193</v>
      </c>
      <c r="D56" s="1150" t="s">
        <v>194</v>
      </c>
      <c r="E56" s="5401"/>
      <c r="F56" s="5401"/>
      <c r="G56" s="5401"/>
      <c r="H56" s="5401"/>
      <c r="I56" s="5215"/>
      <c r="J56" s="5215"/>
      <c r="K56" s="5215"/>
      <c r="L56" s="5244" t="str">
        <f>K55&amp;".1"</f>
        <v>....1.1.1.1</v>
      </c>
      <c r="M56" s="1190"/>
      <c r="Q56" s="5375"/>
      <c r="R56" s="5375"/>
      <c r="S56" s="426">
        <v>1</v>
      </c>
      <c r="T56" s="274"/>
      <c r="U56" s="1215" t="str">
        <f>$L56</f>
        <v>....1.1.1.1</v>
      </c>
      <c r="V56" s="1269"/>
      <c r="W56" s="218"/>
      <c r="X56" s="243"/>
      <c r="Y56" s="650"/>
      <c r="Z56" s="650"/>
      <c r="AA56" s="650"/>
      <c r="AB56" s="1283"/>
      <c r="AC56" s="5380"/>
      <c r="AD56" s="5225"/>
      <c r="AE56" s="5380"/>
      <c r="AF56" s="5225"/>
      <c r="AG56" s="1285"/>
      <c r="AH56" s="650"/>
      <c r="AI56" s="650"/>
      <c r="AJ56" s="650"/>
      <c r="AK56" s="1140"/>
      <c r="AL56" s="5380"/>
      <c r="AM56" s="5225"/>
      <c r="AN56" s="5380"/>
      <c r="AO56" s="5225"/>
      <c r="AP56" s="1227"/>
      <c r="AQ56" s="5371" t="s">
        <v>528</v>
      </c>
      <c r="AR56" s="419" t="e">
        <f ca="1">STRCHECKDATE(X58:AP58)</f>
        <v>#NAME?</v>
      </c>
      <c r="AS56" s="408"/>
      <c r="AT56" s="408" t="str">
        <f t="shared" si="2"/>
        <v/>
      </c>
      <c r="AU56" s="408"/>
      <c r="AV56" s="408"/>
    </row>
    <row r="57" spans="1:48" ht="0" hidden="1" customHeight="1">
      <c r="A57" s="1150" t="s">
        <v>191</v>
      </c>
      <c r="B57" s="1150" t="s">
        <v>192</v>
      </c>
      <c r="C57" s="1150" t="s">
        <v>193</v>
      </c>
      <c r="D57" s="1150" t="s">
        <v>194</v>
      </c>
      <c r="E57" s="5401"/>
      <c r="F57" s="5401"/>
      <c r="G57" s="5401"/>
      <c r="H57" s="5401"/>
      <c r="I57" s="5215"/>
      <c r="J57" s="5215"/>
      <c r="K57" s="5215"/>
      <c r="L57" s="5244"/>
      <c r="M57" s="1190"/>
      <c r="Q57" s="5375"/>
      <c r="R57" s="5375"/>
      <c r="S57" s="426"/>
      <c r="T57" s="274"/>
      <c r="U57" s="1221"/>
      <c r="V57" s="218"/>
      <c r="W57" s="218"/>
      <c r="X57" s="243"/>
      <c r="Y57" s="243"/>
      <c r="Z57" s="243"/>
      <c r="AA57" s="243"/>
      <c r="AB57" s="1284" t="str">
        <f>AC55&amp;"-"&amp;AE55</f>
        <v>-</v>
      </c>
      <c r="AC57" s="5380"/>
      <c r="AD57" s="5225"/>
      <c r="AE57" s="5380"/>
      <c r="AF57" s="5225"/>
      <c r="AG57" s="1260"/>
      <c r="AH57" s="243"/>
      <c r="AI57" s="243"/>
      <c r="AJ57" s="243"/>
      <c r="AK57" s="246" t="str">
        <f>AL55&amp;"-"&amp;AN55</f>
        <v>-</v>
      </c>
      <c r="AL57" s="5380"/>
      <c r="AM57" s="5225"/>
      <c r="AN57" s="5380"/>
      <c r="AO57" s="5225"/>
      <c r="AP57" s="1228"/>
      <c r="AQ57" s="5372"/>
      <c r="AS57" s="408"/>
      <c r="AT57" s="408" t="str">
        <f t="shared" si="2"/>
        <v/>
      </c>
      <c r="AU57" s="408"/>
      <c r="AV57" s="408"/>
    </row>
    <row r="58" spans="1:48" ht="11.25" customHeight="1">
      <c r="A58" s="1150" t="s">
        <v>191</v>
      </c>
      <c r="B58" s="1150" t="s">
        <v>192</v>
      </c>
      <c r="C58" s="1150" t="s">
        <v>193</v>
      </c>
      <c r="D58" s="1150" t="s">
        <v>194</v>
      </c>
      <c r="E58" s="5401"/>
      <c r="F58" s="5401"/>
      <c r="G58" s="5401"/>
      <c r="H58" s="5401"/>
      <c r="I58" s="5215"/>
      <c r="J58" s="5215"/>
      <c r="K58" s="5244"/>
      <c r="L58" s="1150"/>
      <c r="M58" s="1190"/>
      <c r="Q58" s="5375"/>
      <c r="R58" s="5375"/>
      <c r="S58" s="1210"/>
      <c r="T58" s="273"/>
      <c r="U58" s="1161"/>
      <c r="V58" s="206" t="s">
        <v>529</v>
      </c>
      <c r="W58" s="283"/>
      <c r="X58" s="283"/>
      <c r="Y58" s="283"/>
      <c r="Z58" s="283"/>
      <c r="AA58" s="283"/>
      <c r="AB58" s="283"/>
      <c r="AC58" s="5380"/>
      <c r="AD58" s="5225"/>
      <c r="AE58" s="5380"/>
      <c r="AF58" s="5225"/>
      <c r="AG58" s="283"/>
      <c r="AH58" s="283"/>
      <c r="AI58" s="283"/>
      <c r="AJ58" s="283"/>
      <c r="AK58" s="283"/>
      <c r="AL58" s="5380"/>
      <c r="AM58" s="5225"/>
      <c r="AN58" s="5380"/>
      <c r="AO58" s="5225"/>
      <c r="AP58" s="242"/>
      <c r="AQ58" s="5372"/>
      <c r="AS58" s="408"/>
      <c r="AT58" s="408" t="str">
        <f t="shared" si="2"/>
        <v>Добавить наименование поставщика</v>
      </c>
      <c r="AU58" s="408"/>
      <c r="AV58" s="408"/>
    </row>
    <row r="59" spans="1:48" ht="11.25" customHeight="1">
      <c r="A59" s="1150" t="s">
        <v>191</v>
      </c>
      <c r="B59" s="1150" t="s">
        <v>192</v>
      </c>
      <c r="C59" s="1150" t="s">
        <v>193</v>
      </c>
      <c r="D59" s="1150" t="s">
        <v>194</v>
      </c>
      <c r="E59" s="5401"/>
      <c r="F59" s="5401"/>
      <c r="G59" s="5401"/>
      <c r="H59" s="5401"/>
      <c r="I59" s="5215"/>
      <c r="J59" s="5244"/>
      <c r="K59" s="1150"/>
      <c r="L59" s="1150"/>
      <c r="M59" s="1190"/>
      <c r="Q59" s="5375"/>
      <c r="R59" s="5375"/>
      <c r="S59" s="1210"/>
      <c r="T59" s="273"/>
      <c r="U59" s="1161"/>
      <c r="V59" s="205" t="s">
        <v>489</v>
      </c>
      <c r="W59" s="283"/>
      <c r="X59" s="283"/>
      <c r="Y59" s="283"/>
      <c r="Z59" s="283"/>
      <c r="AA59" s="283"/>
      <c r="AB59" s="283"/>
      <c r="AC59" s="1286"/>
      <c r="AD59" s="1286"/>
      <c r="AE59" s="1286"/>
      <c r="AF59" s="1286"/>
      <c r="AG59" s="283"/>
      <c r="AH59" s="283"/>
      <c r="AI59" s="283"/>
      <c r="AJ59" s="283"/>
      <c r="AK59" s="283"/>
      <c r="AL59" s="283"/>
      <c r="AM59" s="283"/>
      <c r="AN59" s="283"/>
      <c r="AO59" s="283"/>
      <c r="AP59" s="242"/>
      <c r="AQ59" s="5373"/>
      <c r="AS59" s="408"/>
      <c r="AT59" s="408" t="str">
        <f t="shared" si="2"/>
        <v>Добавить вид теплоносителя (параметры теплоносителя)</v>
      </c>
      <c r="AU59" s="408"/>
      <c r="AV59" s="408"/>
    </row>
    <row r="60" spans="1:48" ht="11.25" customHeight="1">
      <c r="A60" s="1150" t="s">
        <v>191</v>
      </c>
      <c r="B60" s="1150" t="s">
        <v>192</v>
      </c>
      <c r="C60" s="1150" t="s">
        <v>193</v>
      </c>
      <c r="D60" s="1150" t="s">
        <v>194</v>
      </c>
      <c r="E60" s="5401"/>
      <c r="F60" s="5401"/>
      <c r="G60" s="5401"/>
      <c r="H60" s="5401"/>
      <c r="I60" s="5244"/>
      <c r="J60" s="1150"/>
      <c r="K60" s="1150"/>
      <c r="L60" s="1150"/>
      <c r="M60" s="1190"/>
      <c r="Q60" s="5375"/>
      <c r="R60" s="1210"/>
      <c r="S60" s="1210"/>
      <c r="T60" s="273"/>
      <c r="U60" s="1161"/>
      <c r="V60" s="281" t="s">
        <v>490</v>
      </c>
      <c r="W60" s="283"/>
      <c r="X60" s="283"/>
      <c r="Y60" s="283"/>
      <c r="Z60" s="283"/>
      <c r="AA60" s="283"/>
      <c r="AB60" s="283"/>
      <c r="AC60" s="283"/>
      <c r="AD60" s="283"/>
      <c r="AE60" s="283"/>
      <c r="AF60" s="282"/>
      <c r="AG60" s="283"/>
      <c r="AH60" s="283"/>
      <c r="AI60" s="283"/>
      <c r="AJ60" s="283"/>
      <c r="AK60" s="283"/>
      <c r="AL60" s="283"/>
      <c r="AM60" s="283"/>
      <c r="AN60" s="283"/>
      <c r="AO60" s="282"/>
      <c r="AP60" s="283"/>
      <c r="AQ60" s="221"/>
      <c r="AS60" s="408"/>
      <c r="AT60" s="408" t="str">
        <f t="shared" si="2"/>
        <v>Добавить группу потребителей</v>
      </c>
      <c r="AU60" s="408"/>
      <c r="AV60" s="408"/>
    </row>
    <row r="61" spans="1:48" ht="0" hidden="1" customHeight="1">
      <c r="A61" s="1150" t="s">
        <v>191</v>
      </c>
      <c r="B61" s="1150" t="s">
        <v>192</v>
      </c>
      <c r="C61" s="1150" t="s">
        <v>193</v>
      </c>
      <c r="D61" s="1150" t="s">
        <v>194</v>
      </c>
      <c r="E61" s="5401"/>
      <c r="F61" s="5401"/>
      <c r="G61" s="5401"/>
      <c r="H61" s="5400"/>
      <c r="I61" s="1150"/>
      <c r="J61" s="1150"/>
      <c r="K61" s="1150"/>
      <c r="L61" s="1150"/>
      <c r="M61" s="1190"/>
      <c r="N61" s="590"/>
      <c r="O61" s="590"/>
      <c r="P61" s="417"/>
      <c r="Q61" s="277"/>
      <c r="R61" s="291"/>
      <c r="S61" s="272"/>
      <c r="T61" s="277"/>
      <c r="U61" s="1264"/>
      <c r="V61" s="1265"/>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7"/>
      <c r="AS61" s="408"/>
      <c r="AT61" s="408" t="str">
        <f t="shared" si="2"/>
        <v/>
      </c>
      <c r="AU61" s="408"/>
      <c r="AV61" s="408"/>
    </row>
    <row r="62" spans="1:48" s="4853" customFormat="1" ht="0" hidden="1" customHeight="1">
      <c r="A62" s="1253" t="s">
        <v>191</v>
      </c>
      <c r="B62" s="1253" t="s">
        <v>192</v>
      </c>
      <c r="C62" s="1253" t="s">
        <v>193</v>
      </c>
      <c r="D62" s="1252"/>
      <c r="E62" s="5401"/>
      <c r="F62" s="5401"/>
      <c r="G62" s="5400"/>
      <c r="H62" s="1252"/>
      <c r="I62" s="1252"/>
      <c r="J62" s="1252"/>
      <c r="K62" s="1252"/>
      <c r="L62" s="1252"/>
      <c r="M62" s="1255"/>
      <c r="N62" s="1256"/>
      <c r="O62" s="1256"/>
      <c r="P62" s="268"/>
      <c r="Q62" s="1196"/>
      <c r="R62" s="1197"/>
      <c r="S62" s="1196"/>
      <c r="T62" s="1196"/>
      <c r="U62" s="1202"/>
      <c r="V62" s="1205" t="s">
        <v>492</v>
      </c>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S62" s="688"/>
      <c r="AT62" s="688" t="str">
        <f t="shared" si="2"/>
        <v>Добавить источник для дифференциации</v>
      </c>
      <c r="AU62" s="688"/>
      <c r="AV62" s="688"/>
    </row>
    <row r="63" spans="1:48" s="4853" customFormat="1" ht="0" hidden="1" customHeight="1">
      <c r="A63" s="1253" t="s">
        <v>191</v>
      </c>
      <c r="B63" s="1253" t="s">
        <v>192</v>
      </c>
      <c r="C63" s="1252"/>
      <c r="D63" s="1252"/>
      <c r="E63" s="5401"/>
      <c r="F63" s="5400"/>
      <c r="G63" s="1252"/>
      <c r="H63" s="1252"/>
      <c r="I63" s="1252"/>
      <c r="J63" s="1252"/>
      <c r="K63" s="1252"/>
      <c r="L63" s="1252"/>
      <c r="M63" s="1255"/>
      <c r="N63" s="1257"/>
      <c r="O63" s="1257"/>
      <c r="P63" s="268"/>
      <c r="Q63" s="1196"/>
      <c r="R63" s="1197"/>
      <c r="S63" s="1196"/>
      <c r="T63" s="1196"/>
      <c r="U63" s="1202"/>
      <c r="V63" s="1205" t="s">
        <v>271</v>
      </c>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S63" s="688"/>
      <c r="AT63" s="688" t="str">
        <f t="shared" si="2"/>
        <v>Добавить централизованную систему для дифференциации</v>
      </c>
      <c r="AU63" s="688"/>
      <c r="AV63" s="688"/>
    </row>
    <row r="64" spans="1:48" s="4856" customFormat="1" ht="0" hidden="1" customHeight="1">
      <c r="A64" s="1253" t="s">
        <v>191</v>
      </c>
      <c r="B64" s="1253"/>
      <c r="C64" s="1253"/>
      <c r="D64" s="1253"/>
      <c r="E64" s="5400"/>
      <c r="F64" s="1253"/>
      <c r="G64" s="1253"/>
      <c r="H64" s="1253"/>
      <c r="I64" s="1253"/>
      <c r="J64" s="1253"/>
      <c r="K64" s="1253"/>
      <c r="L64" s="1253"/>
      <c r="M64" s="1259"/>
      <c r="N64" s="1257"/>
      <c r="O64" s="1257"/>
      <c r="P64" s="268"/>
      <c r="Q64" s="296"/>
      <c r="R64" s="1223"/>
      <c r="S64" s="296"/>
      <c r="T64" s="296"/>
      <c r="U64" s="1202"/>
      <c r="V64" s="1205" t="s">
        <v>330</v>
      </c>
      <c r="W64" s="1204"/>
      <c r="X64" s="1204"/>
      <c r="Y64" s="1204"/>
      <c r="Z64" s="1204"/>
      <c r="AA64" s="1204"/>
      <c r="AB64" s="1204"/>
      <c r="AC64" s="1204"/>
      <c r="AD64" s="1204"/>
      <c r="AE64" s="1204"/>
      <c r="AF64" s="1204"/>
      <c r="AG64" s="1204"/>
      <c r="AH64" s="1204"/>
      <c r="AI64" s="1204"/>
      <c r="AJ64" s="1204"/>
      <c r="AK64" s="1204"/>
      <c r="AL64" s="1204"/>
      <c r="AM64" s="1204"/>
      <c r="AN64" s="1204"/>
      <c r="AO64" s="1204"/>
      <c r="AP64" s="1204"/>
      <c r="AQ64" s="1204"/>
      <c r="AS64" s="408"/>
      <c r="AT64" s="408" t="str">
        <f t="shared" si="2"/>
        <v>Добавить территорию для дифференциации</v>
      </c>
      <c r="AU64" s="408"/>
      <c r="AV64" s="408"/>
    </row>
    <row r="65" spans="1:48" s="4853" customFormat="1" ht="5.25" customHeight="1">
      <c r="A65" s="1252"/>
      <c r="B65" s="1252"/>
      <c r="C65" s="1252"/>
      <c r="D65" s="1252"/>
      <c r="E65" s="1253"/>
      <c r="F65" s="1252"/>
      <c r="G65" s="1252"/>
      <c r="H65" s="1252"/>
      <c r="I65" s="1252"/>
      <c r="J65" s="1252"/>
      <c r="K65" s="1252"/>
      <c r="L65" s="1252"/>
      <c r="M65" s="1255"/>
      <c r="N65" s="1257"/>
      <c r="O65" s="1257"/>
      <c r="P65" s="268"/>
      <c r="Q65" s="1196"/>
      <c r="R65" s="1197"/>
      <c r="S65" s="1196"/>
      <c r="T65" s="1196"/>
      <c r="U65" s="1202"/>
      <c r="V65" s="1205" t="s">
        <v>331</v>
      </c>
      <c r="W65" s="1204"/>
      <c r="X65" s="1204"/>
      <c r="Y65" s="1204"/>
      <c r="Z65" s="1204"/>
      <c r="AA65" s="1204"/>
      <c r="AB65" s="1204"/>
      <c r="AC65" s="1204"/>
      <c r="AD65" s="1204"/>
      <c r="AE65" s="1204"/>
      <c r="AF65" s="1204"/>
      <c r="AG65" s="1204"/>
      <c r="AH65" s="1204"/>
      <c r="AI65" s="1204"/>
      <c r="AJ65" s="1204"/>
      <c r="AK65" s="1204"/>
      <c r="AL65" s="1204"/>
      <c r="AM65" s="1204"/>
      <c r="AN65" s="1204"/>
      <c r="AO65" s="1204"/>
      <c r="AP65" s="1204"/>
      <c r="AQ65" s="1204"/>
      <c r="AS65" s="688"/>
      <c r="AT65" s="688" t="str">
        <f t="shared" si="2"/>
        <v>Добавить наименование тарифа</v>
      </c>
      <c r="AU65" s="688"/>
      <c r="AV65" s="688"/>
    </row>
    <row r="66" spans="1:48" ht="11.25" customHeight="1">
      <c r="N66" s="1037"/>
      <c r="O66" s="1037"/>
      <c r="P66" s="417"/>
      <c r="Q66" s="1037"/>
      <c r="R66" s="1037"/>
      <c r="S66" s="1037"/>
      <c r="T66" s="1037"/>
      <c r="U66" s="1037"/>
      <c r="AR66" s="1037"/>
      <c r="AS66" s="1037"/>
      <c r="AT66" s="1037"/>
      <c r="AU66" s="1037"/>
      <c r="AV66" s="1037"/>
    </row>
    <row r="67" spans="1:48" ht="33.75" customHeight="1">
      <c r="P67" s="417"/>
      <c r="U67" s="1136"/>
      <c r="V67" s="5396"/>
      <c r="W67" s="5396"/>
      <c r="X67" s="5396"/>
      <c r="Y67" s="5396"/>
      <c r="Z67" s="5396"/>
      <c r="AA67" s="5396"/>
      <c r="AB67" s="5396"/>
      <c r="AC67" s="5396"/>
      <c r="AD67" s="5396"/>
      <c r="AE67" s="5396"/>
      <c r="AF67" s="5396"/>
      <c r="AG67" s="5396"/>
      <c r="AH67" s="5396"/>
      <c r="AI67" s="5396"/>
      <c r="AJ67" s="5396"/>
      <c r="AK67" s="5396"/>
      <c r="AL67" s="5396"/>
      <c r="AM67" s="5396"/>
      <c r="AN67" s="5396"/>
      <c r="AO67" s="5396"/>
      <c r="AP67" s="5396"/>
      <c r="AQ67" s="5396"/>
    </row>
    <row r="68" spans="1:48" ht="19.5" customHeight="1">
      <c r="P68" s="417"/>
      <c r="V68" s="5396"/>
      <c r="W68" s="5396"/>
      <c r="X68" s="5396"/>
      <c r="Y68" s="5396"/>
      <c r="Z68" s="5396"/>
      <c r="AA68" s="5396"/>
      <c r="AB68" s="5396"/>
      <c r="AC68" s="5396"/>
      <c r="AD68" s="5396"/>
      <c r="AE68" s="5396"/>
      <c r="AF68" s="5396"/>
      <c r="AG68" s="5396"/>
      <c r="AH68" s="5396"/>
      <c r="AI68" s="5396"/>
      <c r="AJ68" s="5396"/>
      <c r="AK68" s="5396"/>
      <c r="AL68" s="5396"/>
      <c r="AM68" s="5396"/>
      <c r="AN68" s="5396"/>
      <c r="AO68" s="5396"/>
      <c r="AP68" s="5396"/>
      <c r="AQ68" s="5396"/>
    </row>
    <row r="69" spans="1:48" ht="14.25" customHeight="1">
      <c r="P69" s="417"/>
    </row>
    <row r="70" spans="1:48" ht="27" customHeight="1">
      <c r="P70" s="417"/>
      <c r="V70" s="5396"/>
      <c r="W70" s="5396"/>
      <c r="X70" s="5396"/>
      <c r="Y70" s="5396"/>
      <c r="Z70" s="5396"/>
      <c r="AA70" s="5396"/>
      <c r="AB70" s="5396"/>
      <c r="AC70" s="5396"/>
      <c r="AD70" s="5396"/>
      <c r="AE70" s="5396"/>
      <c r="AF70" s="5396"/>
      <c r="AG70" s="5396"/>
      <c r="AH70" s="5396"/>
      <c r="AI70" s="5396"/>
      <c r="AJ70" s="5396"/>
      <c r="AK70" s="5396"/>
      <c r="AL70" s="5396"/>
      <c r="AM70" s="5396"/>
      <c r="AN70" s="5396"/>
      <c r="AO70" s="5396"/>
      <c r="AP70" s="5396"/>
      <c r="AQ70" s="5396"/>
    </row>
    <row r="71" spans="1:48" ht="18" customHeight="1">
      <c r="P71" s="417"/>
      <c r="V71" s="5396"/>
      <c r="W71" s="5396"/>
      <c r="X71" s="5396"/>
      <c r="Y71" s="5396"/>
      <c r="Z71" s="5396"/>
      <c r="AA71" s="5396"/>
      <c r="AB71" s="5396"/>
      <c r="AC71" s="5396"/>
      <c r="AD71" s="5396"/>
      <c r="AE71" s="5396"/>
      <c r="AF71" s="5396"/>
      <c r="AG71" s="5396"/>
      <c r="AH71" s="5396"/>
      <c r="AI71" s="5396"/>
      <c r="AJ71" s="5396"/>
      <c r="AK71" s="5396"/>
      <c r="AL71" s="5396"/>
      <c r="AM71" s="5396"/>
      <c r="AN71" s="5396"/>
      <c r="AO71" s="5396"/>
      <c r="AP71" s="5396"/>
      <c r="AQ71" s="5396"/>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F49" sqref="F49"/>
    </sheetView>
  </sheetViews>
  <sheetFormatPr defaultColWidth="9.140625" defaultRowHeight="11.25" customHeight="1"/>
  <cols>
    <col min="1" max="1" width="10.7109375" style="4783" hidden="1" customWidth="1"/>
    <col min="2" max="2" width="10.7109375" style="4784" hidden="1" customWidth="1"/>
    <col min="3" max="3" width="3.7109375" style="4785" customWidth="1"/>
    <col min="4" max="4" width="1.7109375" style="4786" customWidth="1"/>
    <col min="5" max="5" width="55.28515625" style="4786" customWidth="1"/>
    <col min="6" max="6" width="55" style="4786" customWidth="1"/>
    <col min="7" max="7" width="1.7109375" style="4787" customWidth="1"/>
    <col min="8" max="8" width="18" style="4780" hidden="1" customWidth="1"/>
    <col min="9" max="9" width="59.7109375" style="4788" customWidth="1"/>
    <col min="10" max="10" width="52.140625" style="4789" hidden="1" customWidth="1"/>
    <col min="11" max="11" width="9.140625" style="4786"/>
    <col min="12" max="12" width="78" style="4786" customWidth="1"/>
    <col min="13" max="16" width="9.140625" style="4786"/>
  </cols>
  <sheetData>
    <row r="1" spans="1:11" s="4777" customFormat="1" ht="3" customHeight="1">
      <c r="A1" s="682"/>
      <c r="B1" s="161"/>
      <c r="F1" s="162">
        <v>26354809</v>
      </c>
      <c r="G1" s="327"/>
      <c r="H1" s="9"/>
      <c r="I1" s="327"/>
      <c r="J1" s="766"/>
    </row>
    <row r="2" spans="1:11" s="4778" customFormat="1" ht="14.25" customHeight="1">
      <c r="A2" s="682"/>
      <c r="B2" s="33"/>
      <c r="E2" s="1603" t="str">
        <f>code</f>
        <v>Код отчёта: PP108.OPEN.INFO.PRICE.HOTVSNA.EIAS</v>
      </c>
      <c r="F2" s="189"/>
      <c r="G2" s="165"/>
      <c r="H2" s="165"/>
      <c r="I2" s="165"/>
      <c r="J2" s="767"/>
      <c r="K2" s="165"/>
    </row>
    <row r="3" spans="1:11" ht="14.25" customHeight="1">
      <c r="E3" s="166" t="str">
        <f>version</f>
        <v>Версия отчёта: 1.0.7</v>
      </c>
      <c r="F3" s="189"/>
      <c r="G3" s="669"/>
      <c r="H3" s="669"/>
      <c r="I3" s="669"/>
      <c r="J3" s="768"/>
      <c r="K3" s="24"/>
    </row>
    <row r="4" spans="1:11" s="4779" customFormat="1" ht="6" customHeight="1">
      <c r="A4" s="683"/>
      <c r="B4" s="153"/>
      <c r="C4" s="154"/>
      <c r="D4" s="155"/>
      <c r="E4" s="163"/>
      <c r="F4" s="164"/>
      <c r="G4" s="670"/>
      <c r="H4" s="325"/>
      <c r="I4" s="327"/>
      <c r="J4" s="769"/>
    </row>
    <row r="5" spans="1:11" ht="37.5" customHeight="1">
      <c r="D5" s="11"/>
      <c r="E5" s="5214" t="str">
        <f>NameTemplatesInTitle</f>
        <v>Показатели, подлежащие раскрытию в сфере горячего водоснабжения (цены и тарифы)</v>
      </c>
      <c r="F5" s="5215"/>
      <c r="G5" s="671"/>
      <c r="J5" s="770"/>
    </row>
    <row r="6" spans="1:11" s="4779" customFormat="1" ht="6" customHeight="1">
      <c r="A6" s="683"/>
      <c r="B6" s="153"/>
      <c r="C6" s="154"/>
      <c r="D6" s="155"/>
      <c r="E6" s="157"/>
      <c r="F6" s="158"/>
      <c r="G6" s="671"/>
      <c r="H6" s="325"/>
      <c r="I6" s="327"/>
      <c r="J6" s="769"/>
    </row>
    <row r="7" spans="1:11" ht="19.5" customHeight="1">
      <c r="D7" s="11"/>
      <c r="E7" s="307" t="s">
        <v>13</v>
      </c>
      <c r="F7" s="137" t="s">
        <v>14</v>
      </c>
      <c r="G7" s="671"/>
    </row>
    <row r="8" spans="1:11" s="4779" customFormat="1" ht="6" customHeight="1">
      <c r="A8" s="684"/>
      <c r="B8" s="153"/>
      <c r="C8" s="154"/>
      <c r="D8" s="159"/>
      <c r="E8" s="157"/>
      <c r="F8" s="160"/>
      <c r="G8" s="13"/>
      <c r="H8" s="325"/>
      <c r="I8" s="327"/>
      <c r="J8" s="772"/>
    </row>
    <row r="9" spans="1:11" s="4780" customFormat="1" ht="19.5" hidden="1" customHeight="1">
      <c r="A9" s="683"/>
      <c r="B9" s="33"/>
      <c r="C9" s="324"/>
      <c r="D9" s="326"/>
      <c r="E9" s="1047" t="s">
        <v>15</v>
      </c>
      <c r="F9" s="1782"/>
      <c r="G9" s="671"/>
      <c r="I9" s="1761" t="str">
        <f>IF(TITLE_STRUCTURE_INFO_ROIV="","","раскрывается "&amp;INDEX(ROIV_INFO_COMMENT,MATCH(TITLE_STRUCTURE_INFO_ROIV,ROIV_INFO_LIST,0)))</f>
        <v/>
      </c>
      <c r="J9" s="771"/>
    </row>
    <row r="10" spans="1:11" s="4781" customFormat="1" ht="6" customHeight="1">
      <c r="A10" s="684"/>
      <c r="B10" s="341"/>
      <c r="C10" s="342"/>
      <c r="D10" s="159"/>
      <c r="E10" s="157"/>
      <c r="F10" s="160"/>
      <c r="G10" s="13"/>
      <c r="H10" s="325"/>
      <c r="I10" s="327"/>
      <c r="J10" s="772"/>
    </row>
    <row r="11" spans="1:11" ht="22.5" customHeight="1">
      <c r="A11" s="5217" t="s">
        <v>16</v>
      </c>
      <c r="D11" s="11"/>
      <c r="E11" s="1047" t="s">
        <v>17</v>
      </c>
      <c r="F11" s="1846">
        <v>45292.706701388888</v>
      </c>
      <c r="G11" s="13"/>
      <c r="H11" s="672" t="s">
        <v>18</v>
      </c>
      <c r="J11" s="771" t="s">
        <v>19</v>
      </c>
    </row>
    <row r="12" spans="1:11" ht="22.5" customHeight="1">
      <c r="A12" s="5217"/>
      <c r="D12" s="11"/>
      <c r="E12" s="1047" t="s">
        <v>20</v>
      </c>
      <c r="F12" s="1846">
        <v>45657.706770833334</v>
      </c>
      <c r="G12" s="10"/>
      <c r="J12" s="771" t="s">
        <v>21</v>
      </c>
    </row>
    <row r="13" spans="1:11" s="4780" customFormat="1" ht="22.5" hidden="1" customHeight="1">
      <c r="A13" s="687" t="s">
        <v>22</v>
      </c>
      <c r="B13" s="33"/>
      <c r="C13" s="324"/>
      <c r="D13" s="326"/>
      <c r="E13" s="1638" t="s">
        <v>23</v>
      </c>
      <c r="F13" s="1595" t="s">
        <v>24</v>
      </c>
      <c r="G13" s="13"/>
      <c r="H13" s="669"/>
      <c r="I13" s="327"/>
      <c r="J13" s="1639" t="s">
        <v>25</v>
      </c>
    </row>
    <row r="14" spans="1:11" s="4780" customFormat="1" ht="27" hidden="1" customHeight="1">
      <c r="A14" s="687" t="s">
        <v>26</v>
      </c>
      <c r="B14" s="33"/>
      <c r="C14" s="324"/>
      <c r="D14" s="326"/>
      <c r="E14" s="1047" t="s">
        <v>27</v>
      </c>
      <c r="F14" s="1630"/>
      <c r="G14" s="13"/>
      <c r="H14" s="669"/>
      <c r="I14" s="327"/>
      <c r="J14" s="771" t="s">
        <v>28</v>
      </c>
    </row>
    <row r="15" spans="1:11" s="4780" customFormat="1" ht="19.5" hidden="1" customHeight="1">
      <c r="A15" s="687" t="s">
        <v>29</v>
      </c>
      <c r="B15" s="33"/>
      <c r="C15" s="324"/>
      <c r="D15" s="326"/>
      <c r="E15" s="1047" t="s">
        <v>30</v>
      </c>
      <c r="F15" s="1630"/>
      <c r="G15" s="13"/>
      <c r="H15" s="669"/>
      <c r="I15" s="327"/>
      <c r="J15" s="771" t="s">
        <v>31</v>
      </c>
    </row>
    <row r="16" spans="1:11" s="4779" customFormat="1" ht="6" customHeight="1">
      <c r="A16" s="684"/>
      <c r="B16" s="153"/>
      <c r="C16" s="154"/>
      <c r="D16" s="159"/>
      <c r="E16" s="157"/>
      <c r="F16" s="160"/>
      <c r="G16" s="13"/>
      <c r="H16" s="325"/>
      <c r="I16" s="327"/>
      <c r="J16" s="769"/>
    </row>
    <row r="17" spans="1:10" ht="19.5" customHeight="1">
      <c r="D17" s="11"/>
      <c r="E17" s="307" t="s">
        <v>32</v>
      </c>
      <c r="F17" s="138" t="s">
        <v>33</v>
      </c>
      <c r="G17" s="10"/>
      <c r="H17" s="672" t="s">
        <v>18</v>
      </c>
    </row>
    <row r="18" spans="1:10" ht="25.5" hidden="1" customHeight="1">
      <c r="D18" s="11"/>
      <c r="E18" s="1638" t="s">
        <v>34</v>
      </c>
      <c r="F18" s="1596"/>
      <c r="G18" s="10"/>
      <c r="I18" s="673"/>
      <c r="J18" s="5216" t="s">
        <v>35</v>
      </c>
    </row>
    <row r="19" spans="1:10" ht="25.5" hidden="1" customHeight="1">
      <c r="D19" s="11"/>
      <c r="E19" s="1047"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596"/>
      <c r="G19" s="10"/>
      <c r="I19" s="673"/>
      <c r="J19" s="5216"/>
    </row>
    <row r="20" spans="1:10" ht="22.5" customHeight="1">
      <c r="D20" s="11"/>
      <c r="E20" s="12"/>
      <c r="F20" s="190" t="str">
        <f>"Первичное "&amp;IF(TEMPLATE_GROUP="P","установление тарифов","предложение по тарифам")</f>
        <v>Первичное установление тарифов</v>
      </c>
      <c r="G20" s="10"/>
      <c r="I20" s="310"/>
      <c r="J20" s="770" t="s">
        <v>36</v>
      </c>
    </row>
    <row r="21" spans="1:10" ht="19.5" customHeight="1">
      <c r="D21" s="11"/>
      <c r="E21" s="307" t="str">
        <f>"Дата "&amp;IF(TEMPLATE_GROUP="P","документа","подачи заявления")&amp;" об утверждении тарифов"</f>
        <v>Дата документа об утверждении тарифов</v>
      </c>
      <c r="F21" s="1846">
        <v>45280</v>
      </c>
      <c r="G21" s="10"/>
      <c r="I21" s="674"/>
    </row>
    <row r="22" spans="1:10" ht="19.5" customHeight="1">
      <c r="D22" s="11"/>
      <c r="E22" s="307" t="str">
        <f>"Номер "&amp;IF(TEMPLATE_GROUP="P","документа","подачи заявления")&amp;" об утверждении тарифов"</f>
        <v>Номер документа об утверждении тарифов</v>
      </c>
      <c r="F22" s="138" t="s">
        <v>37</v>
      </c>
      <c r="G22" s="10"/>
      <c r="I22" s="674"/>
    </row>
    <row r="23" spans="1:10" ht="22.5" customHeight="1">
      <c r="D23" s="11"/>
      <c r="E23" s="307" t="s">
        <v>38</v>
      </c>
      <c r="F23" s="138" t="s">
        <v>39</v>
      </c>
      <c r="G23" s="10"/>
    </row>
    <row r="24" spans="1:10" ht="19.5" customHeight="1">
      <c r="D24" s="11"/>
      <c r="E24" s="307" t="s">
        <v>40</v>
      </c>
      <c r="F24" s="1847" t="s">
        <v>41</v>
      </c>
      <c r="G24" s="10"/>
    </row>
    <row r="25" spans="1:10" ht="22.5" hidden="1" customHeight="1">
      <c r="D25" s="11"/>
      <c r="E25" s="12"/>
      <c r="F25" s="190" t="str">
        <f>"Изменение "&amp;IF(TEMPLATE_GROUP="P","тарифов","предложения по тарифам")</f>
        <v>Изменение тарифов</v>
      </c>
      <c r="G25" s="10"/>
      <c r="J25" s="770" t="s">
        <v>42</v>
      </c>
    </row>
    <row r="26" spans="1:10" ht="19.5" hidden="1" customHeight="1">
      <c r="D26" s="11"/>
      <c r="E26" s="307" t="str">
        <f>"Дата "&amp;IF(TEMPLATE_GROUP="P","принятия решения","подачи заявления")&amp;" об изменении тарифов"</f>
        <v>Дата принятия решения об изменении тарифов</v>
      </c>
      <c r="F26" s="1596"/>
      <c r="G26" s="10"/>
    </row>
    <row r="27" spans="1:10" ht="19.5" hidden="1" customHeight="1">
      <c r="D27" s="11"/>
      <c r="E27" s="1047" t="str">
        <f>"Номер "&amp;IF(TEMPLATE_GROUP="P","принятия решения","заявления")&amp;" об изменении тарифов"</f>
        <v>Номер принятия решения об изменении тарифов</v>
      </c>
      <c r="F27" s="140"/>
      <c r="G27" s="10"/>
    </row>
    <row r="28" spans="1:10" ht="24.75" hidden="1" customHeight="1">
      <c r="D28" s="11"/>
      <c r="E28" s="307" t="s">
        <v>43</v>
      </c>
      <c r="F28" s="140"/>
      <c r="G28" s="10"/>
    </row>
    <row r="29" spans="1:10" ht="19.5" hidden="1" customHeight="1">
      <c r="D29" s="11"/>
      <c r="E29" s="307" t="s">
        <v>40</v>
      </c>
      <c r="F29" s="140"/>
      <c r="G29" s="10"/>
    </row>
    <row r="30" spans="1:10" s="4779" customFormat="1" ht="6" customHeight="1">
      <c r="A30" s="684"/>
      <c r="B30" s="153"/>
      <c r="C30" s="154"/>
      <c r="D30" s="159"/>
      <c r="E30" s="157"/>
      <c r="F30" s="160"/>
      <c r="G30" s="13"/>
      <c r="H30" s="325"/>
      <c r="I30" s="327"/>
      <c r="J30" s="769"/>
    </row>
    <row r="31" spans="1:10" ht="19.5" customHeight="1">
      <c r="C31" s="14"/>
      <c r="D31" s="15"/>
      <c r="E31" s="307" t="str">
        <f>"Наименование "&amp;IF(TEMPLATE_GROUP="ROIV","органа тарифного регулирования","ЮЛ / ИП")</f>
        <v>Наименование ЮЛ / ИП</v>
      </c>
      <c r="F31" s="139" t="s">
        <v>44</v>
      </c>
      <c r="G31" s="675"/>
    </row>
    <row r="32" spans="1:10" ht="19.5" hidden="1" customHeight="1">
      <c r="C32" s="14"/>
      <c r="D32" s="15"/>
      <c r="E32" s="308" t="s">
        <v>45</v>
      </c>
      <c r="F32" s="139"/>
      <c r="G32" s="675"/>
    </row>
    <row r="33" spans="1:10" ht="19.5" customHeight="1">
      <c r="C33" s="14"/>
      <c r="D33" s="15"/>
      <c r="E33" s="307" t="s">
        <v>46</v>
      </c>
      <c r="F33" s="139" t="s">
        <v>47</v>
      </c>
      <c r="G33" s="675"/>
    </row>
    <row r="34" spans="1:10" ht="19.5" customHeight="1">
      <c r="C34" s="14"/>
      <c r="D34" s="15"/>
      <c r="E34" s="307" t="s">
        <v>48</v>
      </c>
      <c r="F34" s="139" t="s">
        <v>49</v>
      </c>
      <c r="G34" s="675"/>
      <c r="H34" s="16"/>
    </row>
    <row r="35" spans="1:10" s="4779" customFormat="1" ht="11.25" customHeight="1">
      <c r="A35" s="684"/>
      <c r="B35" s="153"/>
      <c r="C35" s="154"/>
      <c r="D35" s="159"/>
      <c r="E35" s="157"/>
      <c r="F35" s="160"/>
      <c r="G35" s="13"/>
      <c r="H35" s="325"/>
      <c r="I35" s="327"/>
      <c r="J35" s="769"/>
    </row>
    <row r="36" spans="1:10" ht="19.5" hidden="1" customHeight="1">
      <c r="A36" s="774"/>
      <c r="D36" s="15"/>
      <c r="E36" s="307" t="s">
        <v>50</v>
      </c>
      <c r="F36" s="265"/>
      <c r="G36" s="13"/>
    </row>
    <row r="37" spans="1:10" ht="19.5" customHeight="1">
      <c r="A37" s="774"/>
      <c r="D37" s="15"/>
      <c r="E37" s="307" t="s">
        <v>51</v>
      </c>
      <c r="F37" s="1848" t="s">
        <v>52</v>
      </c>
      <c r="G37" s="13"/>
    </row>
    <row r="38" spans="1:10" s="4779" customFormat="1" ht="6" customHeight="1">
      <c r="A38" s="684"/>
      <c r="B38" s="153"/>
      <c r="C38" s="154"/>
      <c r="D38" s="155"/>
      <c r="E38" s="156"/>
      <c r="F38" s="942"/>
      <c r="G38" s="10"/>
      <c r="H38" s="325"/>
      <c r="I38" s="327"/>
      <c r="J38" s="771"/>
    </row>
    <row r="39" spans="1:10" ht="35.25" customHeight="1">
      <c r="A39" s="684"/>
      <c r="D39" s="11"/>
      <c r="E39" s="307" t="s">
        <v>53</v>
      </c>
      <c r="F39" s="611" t="s">
        <v>54</v>
      </c>
      <c r="G39" s="10"/>
      <c r="H39" s="672" t="s">
        <v>18</v>
      </c>
    </row>
    <row r="40" spans="1:10" s="4781" customFormat="1" ht="6" hidden="1" customHeight="1">
      <c r="A40" s="683"/>
      <c r="B40" s="341"/>
      <c r="C40" s="342"/>
      <c r="D40" s="343"/>
      <c r="E40" s="344"/>
      <c r="F40" s="942"/>
      <c r="G40" s="10"/>
      <c r="H40" s="325"/>
      <c r="I40" s="327"/>
      <c r="J40" s="771"/>
    </row>
    <row r="41" spans="1:10" s="4780" customFormat="1" ht="26.25" hidden="1" customHeight="1">
      <c r="A41" s="687" t="s">
        <v>22</v>
      </c>
      <c r="B41" s="329"/>
      <c r="C41" s="324"/>
      <c r="D41" s="326"/>
      <c r="E41" s="307"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11" t="s">
        <v>54</v>
      </c>
      <c r="G41" s="10"/>
      <c r="I41" s="327"/>
      <c r="J41" s="771"/>
    </row>
    <row r="42" spans="1:10" s="4781" customFormat="1" ht="6" hidden="1" customHeight="1">
      <c r="A42" s="683"/>
      <c r="B42" s="341"/>
      <c r="C42" s="342"/>
      <c r="D42" s="343"/>
      <c r="E42" s="344"/>
      <c r="F42" s="942"/>
      <c r="G42" s="10"/>
      <c r="H42" s="325"/>
      <c r="I42" s="327"/>
      <c r="J42" s="769"/>
    </row>
    <row r="43" spans="1:10" s="4780" customFormat="1" ht="27" hidden="1" customHeight="1">
      <c r="A43" s="683"/>
      <c r="B43" s="329"/>
      <c r="C43" s="324"/>
      <c r="D43" s="326"/>
      <c r="E43" s="307" t="s">
        <v>55</v>
      </c>
      <c r="F43" s="611" t="s">
        <v>54</v>
      </c>
      <c r="G43" s="10"/>
      <c r="I43" s="327"/>
      <c r="J43" s="771"/>
    </row>
    <row r="44" spans="1:10" s="4780" customFormat="1" ht="27" hidden="1" customHeight="1">
      <c r="A44" s="683"/>
      <c r="B44" s="329"/>
      <c r="C44" s="324"/>
      <c r="D44" s="326"/>
      <c r="E44" s="1047" t="s">
        <v>56</v>
      </c>
      <c r="F44" s="1749"/>
      <c r="G44" s="10"/>
      <c r="I44" s="327"/>
      <c r="J44" s="771"/>
    </row>
    <row r="45" spans="1:10" s="4781" customFormat="1" ht="6" hidden="1" customHeight="1">
      <c r="A45" s="683"/>
      <c r="B45" s="341"/>
      <c r="C45" s="342"/>
      <c r="D45" s="343"/>
      <c r="E45" s="344"/>
      <c r="F45" s="942"/>
      <c r="G45" s="10"/>
      <c r="H45" s="325"/>
      <c r="I45" s="327"/>
      <c r="J45" s="771"/>
    </row>
    <row r="46" spans="1:10" s="4781" customFormat="1" ht="24.75" hidden="1" customHeight="1">
      <c r="A46" s="683"/>
      <c r="B46" s="341"/>
      <c r="C46" s="342"/>
      <c r="D46" s="343"/>
      <c r="E46" s="1047" t="s">
        <v>57</v>
      </c>
      <c r="F46" s="611" t="s">
        <v>54</v>
      </c>
      <c r="G46" s="10"/>
      <c r="H46" s="325"/>
      <c r="I46" s="327"/>
      <c r="J46" s="771"/>
    </row>
    <row r="47" spans="1:10" s="4780" customFormat="1" ht="24.75" hidden="1" customHeight="1">
      <c r="A47" s="683"/>
      <c r="B47" s="329"/>
      <c r="C47" s="324"/>
      <c r="D47" s="326"/>
      <c r="E47" s="1047" t="s">
        <v>58</v>
      </c>
      <c r="F47" s="611" t="s">
        <v>54</v>
      </c>
      <c r="G47" s="10"/>
      <c r="I47" s="327"/>
      <c r="J47" s="771"/>
    </row>
    <row r="48" spans="1:10" s="4779" customFormat="1" ht="6" customHeight="1">
      <c r="A48" s="683"/>
      <c r="B48" s="153"/>
      <c r="C48" s="154"/>
      <c r="D48" s="155"/>
      <c r="E48" s="156"/>
      <c r="F48" s="942"/>
      <c r="G48" s="10"/>
      <c r="H48" s="325"/>
      <c r="I48" s="327"/>
      <c r="J48" s="771"/>
    </row>
    <row r="49" spans="1:16" ht="29.25" customHeight="1">
      <c r="B49" s="74"/>
      <c r="D49" s="11"/>
      <c r="E49" s="30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11" t="s">
        <v>54</v>
      </c>
      <c r="G49" s="10"/>
    </row>
    <row r="50" spans="1:16" s="4781" customFormat="1" ht="6" hidden="1" customHeight="1">
      <c r="A50" s="684"/>
      <c r="B50" s="341"/>
      <c r="C50" s="342"/>
      <c r="D50" s="159"/>
      <c r="E50" s="157"/>
      <c r="F50" s="160"/>
      <c r="G50" s="13"/>
      <c r="H50" s="325"/>
      <c r="I50" s="327"/>
      <c r="J50" s="771"/>
    </row>
    <row r="51" spans="1:16" s="4782" customFormat="1" ht="28.5" hidden="1" customHeight="1">
      <c r="A51" s="685"/>
      <c r="B51" s="329"/>
      <c r="C51" s="438"/>
      <c r="D51" s="439"/>
      <c r="E51" s="307" t="s">
        <v>59</v>
      </c>
      <c r="F51" s="611" t="s">
        <v>54</v>
      </c>
      <c r="G51" s="440"/>
      <c r="I51" s="441"/>
      <c r="J51" s="773"/>
      <c r="P51" s="442"/>
    </row>
    <row r="52" spans="1:16" s="4781" customFormat="1" ht="6" hidden="1" customHeight="1">
      <c r="A52" s="684"/>
      <c r="B52" s="341"/>
      <c r="C52" s="342"/>
      <c r="D52" s="159"/>
      <c r="E52" s="157"/>
      <c r="F52" s="160"/>
      <c r="G52" s="13"/>
      <c r="H52" s="325"/>
      <c r="I52" s="327"/>
      <c r="J52" s="769"/>
    </row>
    <row r="53" spans="1:16" s="4782" customFormat="1" ht="27" hidden="1" customHeight="1">
      <c r="A53" s="685"/>
      <c r="B53" s="329"/>
      <c r="C53" s="438"/>
      <c r="D53" s="439"/>
      <c r="E53" s="307" t="s">
        <v>60</v>
      </c>
      <c r="F53" s="937" t="s">
        <v>54</v>
      </c>
      <c r="G53" s="440"/>
      <c r="I53" s="441"/>
      <c r="J53" s="773"/>
      <c r="P53" s="442"/>
    </row>
    <row r="54" spans="1:16" s="4782" customFormat="1" ht="27" hidden="1" customHeight="1">
      <c r="A54" s="685"/>
      <c r="B54" s="329"/>
      <c r="C54" s="438"/>
      <c r="D54" s="439"/>
      <c r="E54" s="307" t="s">
        <v>61</v>
      </c>
      <c r="F54" s="1637"/>
      <c r="G54" s="440"/>
      <c r="I54" s="441"/>
      <c r="J54" s="773"/>
      <c r="P54" s="442"/>
    </row>
    <row r="55" spans="1:16" s="4781" customFormat="1" ht="6" hidden="1" customHeight="1">
      <c r="A55" s="684"/>
      <c r="B55" s="341"/>
      <c r="C55" s="342"/>
      <c r="D55" s="159"/>
      <c r="E55" s="157"/>
      <c r="F55" s="160"/>
      <c r="G55" s="13"/>
      <c r="H55" s="325"/>
      <c r="I55" s="327"/>
      <c r="J55" s="769"/>
    </row>
    <row r="56" spans="1:16" s="4782" customFormat="1" ht="25.5" hidden="1" customHeight="1">
      <c r="A56" s="685"/>
      <c r="B56" s="329"/>
      <c r="C56" s="438"/>
      <c r="D56" s="439"/>
      <c r="E56" s="307" t="s">
        <v>62</v>
      </c>
      <c r="F56" s="937" t="s">
        <v>54</v>
      </c>
      <c r="G56" s="440"/>
      <c r="I56" s="441"/>
      <c r="J56" s="773"/>
      <c r="P56" s="442"/>
    </row>
    <row r="57" spans="1:16" s="4781" customFormat="1" ht="6" hidden="1" customHeight="1">
      <c r="A57" s="684"/>
      <c r="B57" s="341"/>
      <c r="C57" s="342"/>
      <c r="D57" s="159"/>
      <c r="E57" s="157"/>
      <c r="F57" s="160"/>
      <c r="G57" s="13"/>
      <c r="H57" s="325"/>
      <c r="I57" s="327"/>
      <c r="J57" s="769"/>
    </row>
    <row r="58" spans="1:16" s="4782" customFormat="1" ht="15" hidden="1" customHeight="1">
      <c r="A58" s="685"/>
      <c r="B58" s="329"/>
      <c r="C58" s="438"/>
      <c r="D58" s="439"/>
      <c r="E58" s="307" t="s">
        <v>63</v>
      </c>
      <c r="F58" s="937" t="s">
        <v>64</v>
      </c>
      <c r="G58" s="440"/>
      <c r="I58" s="441"/>
      <c r="J58" s="773"/>
      <c r="P58" s="442"/>
    </row>
    <row r="59" spans="1:16" s="4782" customFormat="1" ht="75" hidden="1" customHeight="1">
      <c r="A59" s="685"/>
      <c r="B59" s="329"/>
      <c r="C59" s="438"/>
      <c r="D59" s="439"/>
      <c r="E59" s="30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073"/>
      <c r="G59" s="440"/>
      <c r="I59" s="441"/>
      <c r="J59" s="773"/>
      <c r="P59" s="442"/>
    </row>
    <row r="60" spans="1:16" s="4782" customFormat="1" ht="15" hidden="1" customHeight="1">
      <c r="A60" s="685"/>
      <c r="B60" s="329"/>
      <c r="C60" s="438"/>
      <c r="D60" s="439"/>
      <c r="E60" s="1047" t="s">
        <v>65</v>
      </c>
      <c r="F60" s="1033"/>
      <c r="G60" s="440"/>
      <c r="I60" s="441"/>
      <c r="J60" s="773"/>
      <c r="P60" s="442"/>
    </row>
    <row r="61" spans="1:16" s="4781" customFormat="1" ht="6" hidden="1" customHeight="1">
      <c r="A61" s="684"/>
      <c r="B61" s="341"/>
      <c r="C61" s="342"/>
      <c r="D61" s="343"/>
      <c r="E61" s="344"/>
      <c r="F61" s="942"/>
      <c r="G61" s="10"/>
      <c r="H61" s="325"/>
      <c r="I61" s="327"/>
      <c r="J61" s="771"/>
    </row>
    <row r="62" spans="1:16" s="4780" customFormat="1" ht="33.75" hidden="1" customHeight="1">
      <c r="A62" s="684"/>
      <c r="B62" s="33"/>
      <c r="C62" s="324"/>
      <c r="D62" s="326"/>
      <c r="E62" s="1047" t="s">
        <v>66</v>
      </c>
      <c r="F62" s="1535" t="s">
        <v>64</v>
      </c>
      <c r="G62" s="10"/>
      <c r="H62" s="672" t="s">
        <v>18</v>
      </c>
      <c r="I62" s="327"/>
      <c r="J62" s="771"/>
    </row>
    <row r="63" spans="1:16" s="4779" customFormat="1" ht="6" customHeight="1">
      <c r="A63" s="684"/>
      <c r="B63" s="153"/>
      <c r="C63" s="154"/>
      <c r="D63" s="159"/>
      <c r="E63" s="157"/>
      <c r="F63" s="160"/>
      <c r="G63" s="13"/>
      <c r="H63" s="325"/>
      <c r="I63" s="327"/>
      <c r="J63" s="769"/>
    </row>
    <row r="64" spans="1:16" ht="19.5" customHeight="1">
      <c r="A64" s="686"/>
      <c r="B64" s="34"/>
      <c r="D64" s="18"/>
      <c r="E64" s="307" t="s">
        <v>67</v>
      </c>
      <c r="F64" s="138" t="s">
        <v>68</v>
      </c>
      <c r="G64" s="13"/>
    </row>
    <row r="65" spans="1:9" ht="19.5" customHeight="1">
      <c r="A65" s="686"/>
      <c r="B65" s="34"/>
      <c r="D65" s="18"/>
      <c r="E65" s="307" t="s">
        <v>69</v>
      </c>
      <c r="F65" s="138" t="s">
        <v>70</v>
      </c>
      <c r="G65" s="13"/>
    </row>
    <row r="66" spans="1:9" ht="35.25" customHeight="1">
      <c r="D66" s="11"/>
      <c r="E66" s="309" t="s">
        <v>71</v>
      </c>
      <c r="F66" s="943"/>
      <c r="G66" s="10"/>
    </row>
    <row r="67" spans="1:9" ht="19.5" customHeight="1">
      <c r="A67" s="686"/>
      <c r="D67" s="326"/>
      <c r="E67" s="307" t="s">
        <v>72</v>
      </c>
      <c r="F67" s="191" t="s">
        <v>73</v>
      </c>
      <c r="G67" s="13"/>
    </row>
    <row r="68" spans="1:9" ht="19.5" customHeight="1">
      <c r="A68" s="686"/>
      <c r="B68" s="34"/>
      <c r="D68" s="18"/>
      <c r="E68" s="307" t="s">
        <v>74</v>
      </c>
      <c r="F68" s="191" t="s">
        <v>75</v>
      </c>
      <c r="G68" s="13"/>
    </row>
    <row r="69" spans="1:9" ht="19.5" customHeight="1">
      <c r="A69" s="686"/>
      <c r="B69" s="34"/>
      <c r="D69" s="18"/>
      <c r="E69" s="307" t="s">
        <v>76</v>
      </c>
      <c r="F69" s="191" t="s">
        <v>77</v>
      </c>
      <c r="G69" s="13"/>
    </row>
    <row r="70" spans="1:9" ht="19.5" customHeight="1">
      <c r="D70" s="326"/>
      <c r="E70" s="307" t="s">
        <v>78</v>
      </c>
      <c r="F70" s="191" t="s">
        <v>79</v>
      </c>
      <c r="G70" s="10"/>
    </row>
    <row r="71" spans="1:9" ht="20.25" customHeight="1">
      <c r="A71" s="686"/>
      <c r="D71" s="10"/>
      <c r="F71" s="61"/>
      <c r="G71" s="13"/>
    </row>
    <row r="72" spans="1:9" ht="19.5" customHeight="1">
      <c r="A72" s="686"/>
      <c r="B72" s="34"/>
      <c r="D72" s="18"/>
      <c r="E72" s="17"/>
      <c r="F72" s="62"/>
      <c r="G72" s="13"/>
    </row>
    <row r="73" spans="1:9" ht="19.5" customHeight="1">
      <c r="A73" s="686"/>
      <c r="B73" s="34"/>
      <c r="D73" s="18"/>
      <c r="E73" s="17"/>
      <c r="F73" s="62"/>
      <c r="G73" s="13"/>
    </row>
    <row r="74" spans="1:9" ht="19.5" customHeight="1">
      <c r="A74" s="686"/>
      <c r="B74" s="34"/>
      <c r="D74" s="18"/>
      <c r="E74" s="22"/>
      <c r="F74" s="62"/>
      <c r="G74" s="13"/>
    </row>
    <row r="75" spans="1:9" ht="19.5" customHeight="1">
      <c r="A75" s="686"/>
      <c r="B75" s="34"/>
      <c r="D75" s="18"/>
      <c r="E75" s="17"/>
      <c r="F75" s="62"/>
      <c r="G75" s="13"/>
    </row>
    <row r="78" spans="1:9" ht="11.25" customHeight="1">
      <c r="E78" s="306"/>
      <c r="F78" s="306"/>
      <c r="G78" s="306"/>
      <c r="H78" s="306"/>
      <c r="I78" s="306"/>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zoomScale="90" workbookViewId="0">
      <selection activeCell="T62" sqref="T62"/>
    </sheetView>
  </sheetViews>
  <sheetFormatPr defaultColWidth="10.5703125" defaultRowHeight="14.25" customHeight="1"/>
  <cols>
    <col min="1" max="1" width="10.5703125" style="4854"/>
    <col min="2" max="2" width="11" style="4854" customWidth="1"/>
    <col min="3" max="3" width="10.5703125" style="4854"/>
    <col min="4" max="4" width="11.85546875" style="4854" customWidth="1"/>
    <col min="5" max="5" width="10" style="4854" customWidth="1"/>
    <col min="6" max="6" width="8.7109375" style="4854" customWidth="1"/>
    <col min="7" max="7" width="7.5703125" style="4854" customWidth="1"/>
    <col min="8" max="8" width="11.42578125" style="4854" customWidth="1"/>
    <col min="9" max="9" width="12" style="4854" customWidth="1"/>
    <col min="10" max="10" width="9.85546875" style="4854" customWidth="1"/>
    <col min="11" max="11" width="11.42578125" style="4854" customWidth="1"/>
    <col min="12" max="12" width="19.140625" style="4857" customWidth="1"/>
    <col min="13" max="14" width="12.28515625" style="4858" customWidth="1"/>
    <col min="15" max="15" width="23.42578125" style="4858" customWidth="1"/>
    <col min="16" max="16" width="3.7109375" style="4858" customWidth="1"/>
    <col min="17" max="17" width="3.7109375" style="4874" customWidth="1"/>
    <col min="18" max="18" width="3.7109375" style="4860" customWidth="1"/>
    <col min="19" max="19" width="12.7109375" style="4861" customWidth="1"/>
    <col min="20" max="20" width="32" style="4862" customWidth="1"/>
    <col min="21" max="21" width="0.140625" style="4862" customWidth="1"/>
    <col min="22" max="23" width="21.7109375" style="4862" customWidth="1"/>
    <col min="24" max="24" width="11.7109375" style="4862" customWidth="1"/>
    <col min="25" max="25" width="3.7109375" style="4862" customWidth="1"/>
    <col min="26" max="26" width="11.7109375" style="4862" customWidth="1"/>
    <col min="27" max="27" width="8.5703125" style="4862" customWidth="1"/>
    <col min="28" max="28" width="5.42578125" style="4862" customWidth="1"/>
    <col min="29" max="30" width="3.7109375" style="4862" customWidth="1"/>
    <col min="31" max="31" width="24.7109375" style="4862" customWidth="1"/>
    <col min="32" max="34" width="3.7109375" style="4862" customWidth="1"/>
    <col min="35" max="35" width="24.7109375" style="4862" customWidth="1"/>
    <col min="36" max="38" width="3.7109375" style="4862" customWidth="1"/>
    <col min="39" max="39" width="18.85546875" style="4862" customWidth="1"/>
    <col min="40" max="41" width="21.7109375" style="4862" customWidth="1"/>
    <col min="42" max="42" width="11.7109375" style="4862" customWidth="1"/>
    <col min="43" max="43" width="3.7109375" style="4862" customWidth="1"/>
    <col min="44" max="44" width="11.7109375" style="4862" customWidth="1"/>
    <col min="45" max="45" width="8.5703125" style="4862" customWidth="1"/>
    <col min="46" max="46" width="4.7109375" style="4862" customWidth="1"/>
    <col min="47" max="47" width="115.7109375" style="4862" customWidth="1"/>
    <col min="48" max="49" width="10.5703125" style="4856"/>
    <col min="50" max="50" width="11.140625" style="4856" customWidth="1"/>
    <col min="51" max="52" width="10.5703125" style="4856"/>
  </cols>
  <sheetData>
    <row r="1" spans="1:52" ht="14.25" customHeight="1">
      <c r="W1" s="245"/>
      <c r="X1" s="245"/>
      <c r="AO1" s="245"/>
      <c r="AP1" s="245"/>
    </row>
    <row r="2" spans="1:52" ht="21" customHeight="1">
      <c r="A2" s="1241"/>
      <c r="B2" s="1241"/>
      <c r="C2" s="1241"/>
      <c r="D2" s="1241"/>
      <c r="E2" s="5376">
        <v>1</v>
      </c>
      <c r="F2" s="1241"/>
      <c r="G2" s="1241"/>
      <c r="H2" s="1241"/>
      <c r="I2" s="1241"/>
      <c r="J2" s="1241"/>
      <c r="K2" s="1241"/>
      <c r="L2" s="1242"/>
      <c r="M2" s="1243"/>
      <c r="N2" s="1243"/>
      <c r="O2" s="1243"/>
      <c r="P2" s="1287"/>
      <c r="Q2" s="768"/>
      <c r="R2" s="272"/>
      <c r="S2" s="1215" t="e">
        <f>INDEX(PT_DIFFERENTIATION_NUM_NTAR,MATCH(A2,PT_DIFFERENTIATION_NTAR_ID,0))</f>
        <v>#N/A</v>
      </c>
      <c r="T2" s="216" t="s">
        <v>141</v>
      </c>
      <c r="U2" s="218"/>
      <c r="V2" s="5363"/>
      <c r="W2" s="5363"/>
      <c r="X2" s="5363"/>
      <c r="Y2" s="5363"/>
      <c r="Z2" s="5363"/>
      <c r="AA2" s="5364"/>
      <c r="AB2" s="5362" t="e">
        <f>INDEX(PT_DIFFERENTIATION_NTAR,MATCH(A2,PT_DIFFERENTIATION_NTAR_ID,0))</f>
        <v>#N/A</v>
      </c>
      <c r="AC2" s="5363"/>
      <c r="AD2" s="5363"/>
      <c r="AE2" s="5363"/>
      <c r="AF2" s="5363"/>
      <c r="AG2" s="5363"/>
      <c r="AH2" s="5363"/>
      <c r="AI2" s="5363"/>
      <c r="AJ2" s="5363"/>
      <c r="AK2" s="5363"/>
      <c r="AL2" s="5363"/>
      <c r="AM2" s="5363"/>
      <c r="AN2" s="5363"/>
      <c r="AO2" s="5363"/>
      <c r="AP2" s="5363"/>
      <c r="AQ2" s="5363"/>
      <c r="AR2" s="5363"/>
      <c r="AS2" s="5363"/>
      <c r="AT2" s="5364"/>
      <c r="AU2" s="1141" t="s">
        <v>474</v>
      </c>
      <c r="AW2" s="408"/>
      <c r="AX2" s="408" t="str">
        <f t="shared" ref="AX2:AX8" si="0">IF(T2="","",T2)</f>
        <v>Наименование тарифа</v>
      </c>
      <c r="AY2" s="408"/>
      <c r="AZ2" s="408"/>
    </row>
    <row r="3" spans="1:52" ht="21" customHeight="1">
      <c r="A3" s="1241"/>
      <c r="B3" s="1241"/>
      <c r="C3" s="1241"/>
      <c r="D3" s="1241"/>
      <c r="E3" s="5377"/>
      <c r="F3" s="5376">
        <v>1</v>
      </c>
      <c r="G3" s="1241"/>
      <c r="H3" s="1241"/>
      <c r="I3" s="1241"/>
      <c r="J3" s="1241"/>
      <c r="K3" s="1241"/>
      <c r="L3" s="1242"/>
      <c r="M3" s="1243"/>
      <c r="N3" s="1243"/>
      <c r="O3" s="1243"/>
      <c r="P3" s="1288"/>
      <c r="Q3" s="1289"/>
      <c r="R3" s="270"/>
      <c r="S3" s="1215" t="e">
        <f>INDEX(PT_DIFFERENTIATION_NUM_TER,MATCH(B3,PT_DIFFERENTIATION_TER_ID,0))</f>
        <v>#N/A</v>
      </c>
      <c r="T3" s="226" t="s">
        <v>475</v>
      </c>
      <c r="U3" s="218"/>
      <c r="V3" s="5363"/>
      <c r="W3" s="5363"/>
      <c r="X3" s="5363"/>
      <c r="Y3" s="5363"/>
      <c r="Z3" s="5363"/>
      <c r="AA3" s="5364"/>
      <c r="AB3" s="5362" t="e">
        <f>INDEX(PT_DIFFERENTIATION_TER,MATCH(B3,PT_DIFFERENTIATION_TER_ID,0))</f>
        <v>#N/A</v>
      </c>
      <c r="AC3" s="5363"/>
      <c r="AD3" s="5363"/>
      <c r="AE3" s="5363"/>
      <c r="AF3" s="5363"/>
      <c r="AG3" s="5363"/>
      <c r="AH3" s="5363"/>
      <c r="AI3" s="5363"/>
      <c r="AJ3" s="5363"/>
      <c r="AK3" s="5363"/>
      <c r="AL3" s="5363"/>
      <c r="AM3" s="5363"/>
      <c r="AN3" s="5363"/>
      <c r="AO3" s="5363"/>
      <c r="AP3" s="5363"/>
      <c r="AQ3" s="5363"/>
      <c r="AR3" s="5363"/>
      <c r="AS3" s="5363"/>
      <c r="AT3" s="5364"/>
      <c r="AU3" s="1141" t="s">
        <v>476</v>
      </c>
      <c r="AW3" s="408"/>
      <c r="AX3" s="408" t="str">
        <f t="shared" si="0"/>
        <v>Территория действия тарифа</v>
      </c>
      <c r="AY3" s="408"/>
      <c r="AZ3" s="408"/>
    </row>
    <row r="4" spans="1:52" ht="22.5" customHeight="1">
      <c r="A4" s="1241"/>
      <c r="B4" s="1241"/>
      <c r="C4" s="1241"/>
      <c r="D4" s="1241"/>
      <c r="E4" s="5377"/>
      <c r="F4" s="5377"/>
      <c r="G4" s="5376">
        <v>1</v>
      </c>
      <c r="H4" s="1241"/>
      <c r="I4" s="1241"/>
      <c r="J4" s="1241"/>
      <c r="K4" s="1241"/>
      <c r="L4" s="1242"/>
      <c r="M4" s="1243"/>
      <c r="N4" s="1243"/>
      <c r="O4" s="1243"/>
      <c r="P4" s="1290"/>
      <c r="Q4" s="1289"/>
      <c r="R4" s="270"/>
      <c r="S4" s="1215" t="e">
        <f>INDEX(PT_DIFFERENTIATION_NUM_CS,MATCH(C4,PT_DIFFERENTIATION_CS_ID,0))</f>
        <v>#N/A</v>
      </c>
      <c r="T4" s="227" t="s">
        <v>477</v>
      </c>
      <c r="U4" s="218"/>
      <c r="V4" s="5363"/>
      <c r="W4" s="5363"/>
      <c r="X4" s="5363"/>
      <c r="Y4" s="5363"/>
      <c r="Z4" s="5363"/>
      <c r="AA4" s="5364"/>
      <c r="AB4" s="5362" t="e">
        <f>INDEX(PT_DIFFERENTIATION_CS,MATCH(C4,PT_DIFFERENTIATION_CS_ID,0))</f>
        <v>#N/A</v>
      </c>
      <c r="AC4" s="5363"/>
      <c r="AD4" s="5363"/>
      <c r="AE4" s="5363"/>
      <c r="AF4" s="5363"/>
      <c r="AG4" s="5363"/>
      <c r="AH4" s="5363"/>
      <c r="AI4" s="5363"/>
      <c r="AJ4" s="5363"/>
      <c r="AK4" s="5363"/>
      <c r="AL4" s="5363"/>
      <c r="AM4" s="5363"/>
      <c r="AN4" s="5363"/>
      <c r="AO4" s="5363"/>
      <c r="AP4" s="5363"/>
      <c r="AQ4" s="5363"/>
      <c r="AR4" s="5363"/>
      <c r="AS4" s="5363"/>
      <c r="AT4" s="5364"/>
      <c r="AU4" s="1141" t="s">
        <v>478</v>
      </c>
      <c r="AW4" s="408"/>
      <c r="AX4" s="408" t="str">
        <f t="shared" si="0"/>
        <v xml:space="preserve">Наименование системы теплоснабжения </v>
      </c>
      <c r="AY4" s="408"/>
      <c r="AZ4" s="408"/>
    </row>
    <row r="5" spans="1:52" ht="21" customHeight="1">
      <c r="A5" s="1241"/>
      <c r="B5" s="1241"/>
      <c r="C5" s="1241"/>
      <c r="D5" s="1241"/>
      <c r="E5" s="5377"/>
      <c r="F5" s="5377"/>
      <c r="G5" s="5377"/>
      <c r="H5" s="5376">
        <v>1</v>
      </c>
      <c r="I5" s="1241"/>
      <c r="J5" s="1241"/>
      <c r="K5" s="1241"/>
      <c r="L5" s="1242"/>
      <c r="M5" s="1243"/>
      <c r="N5" s="1243"/>
      <c r="O5" s="1243"/>
      <c r="P5" s="1290"/>
      <c r="Q5" s="1289"/>
      <c r="R5" s="270"/>
      <c r="S5" s="1215" t="e">
        <f>INDEX(PT_DIFFERENTIATION_NUM_IST_TE,MATCH(D5,PT_DIFFERENTIATION_IST_TE_ID,0))</f>
        <v>#N/A</v>
      </c>
      <c r="T5" s="228" t="s">
        <v>479</v>
      </c>
      <c r="U5" s="218"/>
      <c r="V5" s="5363"/>
      <c r="W5" s="5363"/>
      <c r="X5" s="5363"/>
      <c r="Y5" s="5363"/>
      <c r="Z5" s="5363"/>
      <c r="AA5" s="5364"/>
      <c r="AB5" s="5362" t="e">
        <f>INDEX(PT_DIFFERENTIATION_IST_TE,MATCH(D5,PT_DIFFERENTIATION_IST_TE_ID,0))</f>
        <v>#N/A</v>
      </c>
      <c r="AC5" s="5363"/>
      <c r="AD5" s="5363"/>
      <c r="AE5" s="5363"/>
      <c r="AF5" s="5363"/>
      <c r="AG5" s="5363"/>
      <c r="AH5" s="5363"/>
      <c r="AI5" s="5363"/>
      <c r="AJ5" s="5363"/>
      <c r="AK5" s="5363"/>
      <c r="AL5" s="5363"/>
      <c r="AM5" s="5363"/>
      <c r="AN5" s="5363"/>
      <c r="AO5" s="5363"/>
      <c r="AP5" s="5363"/>
      <c r="AQ5" s="5363"/>
      <c r="AR5" s="5363"/>
      <c r="AS5" s="5363"/>
      <c r="AT5" s="5364"/>
      <c r="AU5" s="1141" t="s">
        <v>480</v>
      </c>
      <c r="AW5" s="408"/>
      <c r="AX5" s="408" t="str">
        <f t="shared" si="0"/>
        <v xml:space="preserve">Источник тепловой энергии  </v>
      </c>
      <c r="AY5" s="408"/>
      <c r="AZ5" s="408"/>
    </row>
    <row r="6" spans="1:52" s="4856" customFormat="1" ht="0" hidden="1" customHeight="1">
      <c r="A6" s="1222"/>
      <c r="B6" s="1222"/>
      <c r="C6" s="1222"/>
      <c r="D6" s="1222"/>
      <c r="E6" s="5377"/>
      <c r="F6" s="5377"/>
      <c r="G6" s="5377"/>
      <c r="H6" s="5377"/>
      <c r="I6" s="5374" t="e">
        <f>S5&amp;".1"</f>
        <v>#N/A</v>
      </c>
      <c r="J6" s="1222"/>
      <c r="K6" s="1222"/>
      <c r="L6" s="1225" t="s">
        <v>481</v>
      </c>
      <c r="M6" s="418"/>
      <c r="N6" s="418"/>
      <c r="O6" s="418"/>
      <c r="P6" s="5375">
        <v>1</v>
      </c>
      <c r="Q6" s="1210"/>
      <c r="R6" s="273"/>
      <c r="S6" s="931"/>
      <c r="T6" s="1261"/>
      <c r="U6" s="1262"/>
      <c r="V6" s="5406"/>
      <c r="W6" s="5406"/>
      <c r="X6" s="5406"/>
      <c r="Y6" s="5406"/>
      <c r="Z6" s="5406"/>
      <c r="AA6" s="5407"/>
      <c r="AB6" s="5405"/>
      <c r="AC6" s="5406"/>
      <c r="AD6" s="5406"/>
      <c r="AE6" s="5406"/>
      <c r="AF6" s="5406"/>
      <c r="AG6" s="5406"/>
      <c r="AH6" s="5406"/>
      <c r="AI6" s="5406"/>
      <c r="AJ6" s="5406"/>
      <c r="AK6" s="5406"/>
      <c r="AL6" s="5406"/>
      <c r="AM6" s="5406"/>
      <c r="AN6" s="5406"/>
      <c r="AO6" s="5406"/>
      <c r="AP6" s="5406"/>
      <c r="AQ6" s="5406"/>
      <c r="AR6" s="5406"/>
      <c r="AS6" s="5406"/>
      <c r="AT6" s="5407"/>
      <c r="AU6" s="1263"/>
      <c r="AW6" s="408"/>
      <c r="AX6" s="408" t="str">
        <f t="shared" si="0"/>
        <v/>
      </c>
      <c r="AY6" s="408"/>
      <c r="AZ6" s="408"/>
    </row>
    <row r="7" spans="1:52" s="4856" customFormat="1" ht="0" hidden="1" customHeight="1">
      <c r="A7" s="1222"/>
      <c r="B7" s="1222"/>
      <c r="C7" s="1222"/>
      <c r="D7" s="1222"/>
      <c r="E7" s="5377"/>
      <c r="F7" s="5377"/>
      <c r="G7" s="5377"/>
      <c r="H7" s="5377"/>
      <c r="I7" s="5397"/>
      <c r="J7" s="5374" t="e">
        <f>S5&amp;".1"</f>
        <v>#N/A</v>
      </c>
      <c r="K7" s="1222"/>
      <c r="L7" s="1225"/>
      <c r="M7" s="418"/>
      <c r="N7" s="418"/>
      <c r="O7" s="418"/>
      <c r="P7" s="5375"/>
      <c r="Q7" s="5375">
        <v>1</v>
      </c>
      <c r="R7" s="274"/>
      <c r="S7" s="931"/>
      <c r="T7" s="1277"/>
      <c r="U7" s="1262"/>
      <c r="V7" s="5406"/>
      <c r="W7" s="5406"/>
      <c r="X7" s="5406"/>
      <c r="Y7" s="5406"/>
      <c r="Z7" s="5406"/>
      <c r="AA7" s="5407"/>
      <c r="AB7" s="5405"/>
      <c r="AC7" s="5406"/>
      <c r="AD7" s="5406"/>
      <c r="AE7" s="5406"/>
      <c r="AF7" s="5406"/>
      <c r="AG7" s="5406"/>
      <c r="AH7" s="5406"/>
      <c r="AI7" s="5406"/>
      <c r="AJ7" s="5406"/>
      <c r="AK7" s="5406"/>
      <c r="AL7" s="5406"/>
      <c r="AM7" s="5406"/>
      <c r="AN7" s="5406"/>
      <c r="AO7" s="5406"/>
      <c r="AP7" s="5406"/>
      <c r="AQ7" s="5406"/>
      <c r="AR7" s="5406"/>
      <c r="AS7" s="5406"/>
      <c r="AT7" s="5407"/>
      <c r="AU7" s="1263"/>
      <c r="AW7" s="408"/>
      <c r="AX7" s="408" t="str">
        <f t="shared" si="0"/>
        <v/>
      </c>
      <c r="AY7" s="408"/>
      <c r="AZ7" s="408"/>
    </row>
    <row r="8" spans="1:52" ht="21" customHeight="1">
      <c r="A8" s="1241"/>
      <c r="B8" s="1241"/>
      <c r="C8" s="1241"/>
      <c r="D8" s="1241"/>
      <c r="E8" s="5377"/>
      <c r="F8" s="5377"/>
      <c r="G8" s="5377"/>
      <c r="H8" s="5377"/>
      <c r="I8" s="5397"/>
      <c r="J8" s="5397"/>
      <c r="K8" s="5374" t="e">
        <f>S5&amp;".1"</f>
        <v>#N/A</v>
      </c>
      <c r="L8" s="1242"/>
      <c r="P8" s="5375"/>
      <c r="Q8" s="5375"/>
      <c r="R8" s="5432">
        <v>1</v>
      </c>
      <c r="S8" s="5426" t="e">
        <f>$K8</f>
        <v>#N/A</v>
      </c>
      <c r="T8" s="5429"/>
      <c r="U8" s="218"/>
      <c r="V8" s="650"/>
      <c r="W8" s="1140"/>
      <c r="X8" s="5379"/>
      <c r="Y8" s="5225" t="s">
        <v>64</v>
      </c>
      <c r="Z8" s="5379"/>
      <c r="AA8" s="5225" t="s">
        <v>64</v>
      </c>
      <c r="AB8" s="5225" t="s">
        <v>54</v>
      </c>
      <c r="AC8" s="5412"/>
      <c r="AD8" s="5332">
        <v>1</v>
      </c>
      <c r="AE8" s="5413"/>
      <c r="AF8" s="5225" t="s">
        <v>54</v>
      </c>
      <c r="AG8" s="5412"/>
      <c r="AH8" s="5332">
        <v>1</v>
      </c>
      <c r="AI8" s="5413"/>
      <c r="AJ8" s="5225" t="s">
        <v>54</v>
      </c>
      <c r="AK8" s="229"/>
      <c r="AL8" s="1216">
        <v>1</v>
      </c>
      <c r="AM8" s="1276"/>
      <c r="AN8" s="650"/>
      <c r="AO8" s="1140"/>
      <c r="AP8" s="1597"/>
      <c r="AQ8" s="1334" t="s">
        <v>64</v>
      </c>
      <c r="AR8" s="1597"/>
      <c r="AS8" s="1334" t="s">
        <v>64</v>
      </c>
      <c r="AT8" s="1227"/>
      <c r="AU8" s="5371" t="s">
        <v>539</v>
      </c>
      <c r="AV8" s="419" t="e">
        <f ca="1">STRCHECKDATE(V11:AT11)</f>
        <v>#NAME?</v>
      </c>
      <c r="AW8" s="408"/>
      <c r="AX8" s="408" t="str">
        <f t="shared" si="0"/>
        <v/>
      </c>
      <c r="AY8" s="408"/>
      <c r="AZ8" s="408"/>
    </row>
    <row r="9" spans="1:52" ht="11.25" customHeight="1">
      <c r="A9" s="1241"/>
      <c r="B9" s="1241"/>
      <c r="C9" s="1241"/>
      <c r="D9" s="1241"/>
      <c r="E9" s="5377"/>
      <c r="F9" s="5377"/>
      <c r="G9" s="5377"/>
      <c r="H9" s="5377"/>
      <c r="I9" s="5397"/>
      <c r="J9" s="5397"/>
      <c r="K9" s="5374"/>
      <c r="L9" s="1242"/>
      <c r="P9" s="5375"/>
      <c r="Q9" s="5375"/>
      <c r="R9" s="5432"/>
      <c r="S9" s="5427"/>
      <c r="T9" s="5430"/>
      <c r="U9" s="218"/>
      <c r="V9" s="1271"/>
      <c r="W9" s="1275"/>
      <c r="X9" s="5379"/>
      <c r="Y9" s="5225"/>
      <c r="Z9" s="5379"/>
      <c r="AA9" s="5225"/>
      <c r="AB9" s="5225"/>
      <c r="AC9" s="5412"/>
      <c r="AD9" s="5332"/>
      <c r="AE9" s="5413"/>
      <c r="AF9" s="5225"/>
      <c r="AG9" s="5412"/>
      <c r="AH9" s="5332"/>
      <c r="AI9" s="5413"/>
      <c r="AJ9" s="5225"/>
      <c r="AK9" s="234"/>
      <c r="AL9" s="332"/>
      <c r="AM9" s="331" t="s">
        <v>540</v>
      </c>
      <c r="AN9" s="1271"/>
      <c r="AO9" s="1368"/>
      <c r="AP9" s="1271"/>
      <c r="AQ9" s="1271"/>
      <c r="AR9" s="1271"/>
      <c r="AS9" s="1271"/>
      <c r="AT9" s="1268"/>
      <c r="AU9" s="5372"/>
      <c r="AW9" s="408"/>
      <c r="AX9" s="408"/>
      <c r="AY9" s="408"/>
      <c r="AZ9" s="408"/>
    </row>
    <row r="10" spans="1:52" ht="11.25" customHeight="1">
      <c r="A10" s="1241"/>
      <c r="B10" s="1241"/>
      <c r="C10" s="1241"/>
      <c r="D10" s="1241"/>
      <c r="E10" s="5377"/>
      <c r="F10" s="5377"/>
      <c r="G10" s="5377"/>
      <c r="H10" s="5377"/>
      <c r="I10" s="5397"/>
      <c r="J10" s="5397"/>
      <c r="K10" s="5374"/>
      <c r="L10" s="1242"/>
      <c r="P10" s="5375"/>
      <c r="Q10" s="5375"/>
      <c r="R10" s="5432"/>
      <c r="S10" s="5427"/>
      <c r="T10" s="5430"/>
      <c r="U10" s="218"/>
      <c r="V10" s="1271"/>
      <c r="W10" s="1275"/>
      <c r="X10" s="5379"/>
      <c r="Y10" s="5225"/>
      <c r="Z10" s="5379"/>
      <c r="AA10" s="5225"/>
      <c r="AB10" s="5225"/>
      <c r="AC10" s="5412"/>
      <c r="AD10" s="5332"/>
      <c r="AE10" s="5413"/>
      <c r="AF10" s="5225"/>
      <c r="AG10" s="212"/>
      <c r="AH10" s="331"/>
      <c r="AI10" s="331" t="s">
        <v>541</v>
      </c>
      <c r="AJ10" s="1271"/>
      <c r="AK10" s="1271"/>
      <c r="AL10" s="1271"/>
      <c r="AM10" s="1271"/>
      <c r="AN10" s="1271"/>
      <c r="AO10" s="1368"/>
      <c r="AP10" s="1271"/>
      <c r="AQ10" s="1271"/>
      <c r="AR10" s="1271"/>
      <c r="AS10" s="1271"/>
      <c r="AT10" s="1268"/>
      <c r="AU10" s="5372"/>
      <c r="AW10" s="408"/>
      <c r="AX10" s="408"/>
      <c r="AY10" s="408"/>
      <c r="AZ10" s="408"/>
    </row>
    <row r="11" spans="1:52" ht="11.25" customHeight="1">
      <c r="A11" s="1241"/>
      <c r="B11" s="1241"/>
      <c r="C11" s="1241"/>
      <c r="D11" s="1241"/>
      <c r="E11" s="5377"/>
      <c r="F11" s="5377"/>
      <c r="G11" s="5377"/>
      <c r="H11" s="5377"/>
      <c r="I11" s="5397"/>
      <c r="J11" s="5397"/>
      <c r="K11" s="5374"/>
      <c r="L11" s="1242"/>
      <c r="P11" s="5375"/>
      <c r="Q11" s="5375"/>
      <c r="R11" s="5432"/>
      <c r="S11" s="5428"/>
      <c r="T11" s="5431"/>
      <c r="U11" s="218"/>
      <c r="V11" s="1271"/>
      <c r="W11" s="1274" t="str">
        <f>X8&amp;"-"&amp;Z8</f>
        <v>-</v>
      </c>
      <c r="X11" s="5380"/>
      <c r="Y11" s="5225"/>
      <c r="Z11" s="5380"/>
      <c r="AA11" s="5225"/>
      <c r="AB11" s="5225"/>
      <c r="AC11" s="230"/>
      <c r="AD11" s="232"/>
      <c r="AE11" s="331" t="s">
        <v>542</v>
      </c>
      <c r="AF11" s="1271"/>
      <c r="AG11" s="1271"/>
      <c r="AH11" s="1271"/>
      <c r="AI11" s="1271"/>
      <c r="AJ11" s="1271"/>
      <c r="AK11" s="1271"/>
      <c r="AL11" s="1271"/>
      <c r="AM11" s="1271"/>
      <c r="AN11" s="1271"/>
      <c r="AO11" s="1272" t="str">
        <f>AP8&amp;"-"&amp;AR8</f>
        <v>-</v>
      </c>
      <c r="AP11" s="1271"/>
      <c r="AQ11" s="1271"/>
      <c r="AR11" s="1271"/>
      <c r="AS11" s="1271"/>
      <c r="AT11" s="1228"/>
      <c r="AU11" s="5372"/>
      <c r="AW11" s="408"/>
      <c r="AX11" s="408" t="str">
        <f t="shared" ref="AX11:AX17" si="1">IF(T11="","",T11)</f>
        <v/>
      </c>
      <c r="AY11" s="408"/>
      <c r="AZ11" s="408"/>
    </row>
    <row r="12" spans="1:52" ht="11.25" customHeight="1">
      <c r="A12" s="1241"/>
      <c r="B12" s="1241"/>
      <c r="C12" s="1241"/>
      <c r="D12" s="1241"/>
      <c r="E12" s="5377"/>
      <c r="F12" s="5377"/>
      <c r="G12" s="5377"/>
      <c r="H12" s="5377"/>
      <c r="I12" s="5397"/>
      <c r="J12" s="5374"/>
      <c r="K12" s="1241"/>
      <c r="L12" s="1242"/>
      <c r="P12" s="5375"/>
      <c r="Q12" s="5375"/>
      <c r="R12" s="273"/>
      <c r="S12" s="1161"/>
      <c r="T12" s="205" t="s">
        <v>543</v>
      </c>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42"/>
      <c r="AU12" s="5373"/>
      <c r="AW12" s="408"/>
      <c r="AX12" s="408" t="str">
        <f t="shared" si="1"/>
        <v>Добавить строку</v>
      </c>
      <c r="AY12" s="408"/>
      <c r="AZ12" s="408"/>
    </row>
    <row r="13" spans="1:52" s="4856" customFormat="1" ht="0" hidden="1" customHeight="1">
      <c r="A13" s="1222"/>
      <c r="B13" s="1222"/>
      <c r="C13" s="1222"/>
      <c r="D13" s="1222"/>
      <c r="E13" s="5377"/>
      <c r="F13" s="5377"/>
      <c r="G13" s="5377"/>
      <c r="H13" s="5377"/>
      <c r="I13" s="5374"/>
      <c r="J13" s="1222"/>
      <c r="K13" s="1222"/>
      <c r="L13" s="1225"/>
      <c r="M13" s="418"/>
      <c r="N13" s="418"/>
      <c r="O13" s="418"/>
      <c r="P13" s="5375"/>
      <c r="Q13" s="1210"/>
      <c r="R13" s="273"/>
      <c r="S13" s="1264"/>
      <c r="T13" s="1265"/>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7"/>
      <c r="AW13" s="408"/>
      <c r="AX13" s="408" t="str">
        <f t="shared" si="1"/>
        <v/>
      </c>
      <c r="AY13" s="408"/>
      <c r="AZ13" s="408"/>
    </row>
    <row r="14" spans="1:52" s="4856" customFormat="1" ht="0" hidden="1" customHeight="1">
      <c r="A14" s="1222"/>
      <c r="B14" s="1222"/>
      <c r="C14" s="1222"/>
      <c r="D14" s="1222"/>
      <c r="E14" s="5377"/>
      <c r="F14" s="5377"/>
      <c r="G14" s="5377"/>
      <c r="H14" s="5376"/>
      <c r="I14" s="1222"/>
      <c r="J14" s="1222"/>
      <c r="K14" s="1222"/>
      <c r="L14" s="1225"/>
      <c r="M14" s="1195"/>
      <c r="N14" s="1195"/>
      <c r="O14" s="426"/>
      <c r="P14" s="296"/>
      <c r="Q14" s="1223"/>
      <c r="R14" s="1279"/>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7"/>
      <c r="AW14" s="408"/>
      <c r="AX14" s="408" t="str">
        <f t="shared" si="1"/>
        <v/>
      </c>
      <c r="AY14" s="408"/>
      <c r="AZ14" s="408"/>
    </row>
    <row r="15" spans="1:52" s="4853" customFormat="1" ht="0" hidden="1" customHeight="1">
      <c r="A15" s="1222"/>
      <c r="B15" s="1222"/>
      <c r="C15" s="1222"/>
      <c r="D15" s="1194"/>
      <c r="E15" s="5377"/>
      <c r="F15" s="5377"/>
      <c r="G15" s="5376"/>
      <c r="H15" s="1194"/>
      <c r="I15" s="1194"/>
      <c r="J15" s="1194"/>
      <c r="K15" s="1194"/>
      <c r="L15" s="1218"/>
      <c r="M15" s="1195"/>
      <c r="N15" s="1195"/>
      <c r="P15" s="1196"/>
      <c r="Q15" s="1197"/>
      <c r="R15" s="1196"/>
      <c r="S15" s="1202"/>
      <c r="T15" s="1205" t="s">
        <v>492</v>
      </c>
      <c r="U15" s="1204"/>
      <c r="V15" s="1204"/>
      <c r="W15" s="1204"/>
      <c r="X15" s="1204"/>
      <c r="Y15" s="1204"/>
      <c r="Z15" s="1204"/>
      <c r="AA15" s="1204"/>
      <c r="AB15" s="1204"/>
      <c r="AC15" s="1204"/>
      <c r="AD15" s="1204"/>
      <c r="AE15" s="1204"/>
      <c r="AF15" s="1204"/>
      <c r="AG15" s="1204"/>
      <c r="AH15" s="1204"/>
      <c r="AI15" s="1204"/>
      <c r="AJ15" s="1204"/>
      <c r="AK15" s="1204"/>
      <c r="AL15" s="1204"/>
      <c r="AM15" s="1204"/>
      <c r="AN15" s="1204"/>
      <c r="AO15" s="1204"/>
      <c r="AP15" s="1204"/>
      <c r="AQ15" s="1204"/>
      <c r="AR15" s="1204"/>
      <c r="AS15" s="1204"/>
      <c r="AT15" s="1204"/>
      <c r="AU15" s="1204"/>
      <c r="AW15" s="688"/>
      <c r="AX15" s="688" t="str">
        <f t="shared" si="1"/>
        <v>Добавить источник для дифференциации</v>
      </c>
      <c r="AY15" s="688"/>
      <c r="AZ15" s="688"/>
    </row>
    <row r="16" spans="1:52" s="4853" customFormat="1" ht="0" hidden="1" customHeight="1">
      <c r="A16" s="1222"/>
      <c r="B16" s="1222"/>
      <c r="C16" s="1194"/>
      <c r="D16" s="1194"/>
      <c r="E16" s="5377"/>
      <c r="F16" s="5376"/>
      <c r="G16" s="1194"/>
      <c r="H16" s="1194"/>
      <c r="I16" s="1194"/>
      <c r="J16" s="1194"/>
      <c r="K16" s="1194"/>
      <c r="L16" s="1218"/>
      <c r="M16" s="1201"/>
      <c r="N16" s="1201"/>
      <c r="P16" s="1196"/>
      <c r="Q16" s="1197"/>
      <c r="R16" s="1196"/>
      <c r="S16" s="1202"/>
      <c r="T16" s="1205" t="s">
        <v>271</v>
      </c>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W16" s="688"/>
      <c r="AX16" s="688" t="str">
        <f t="shared" si="1"/>
        <v>Добавить централизованную систему для дифференциации</v>
      </c>
      <c r="AY16" s="688"/>
      <c r="AZ16" s="688"/>
    </row>
    <row r="17" spans="1:52" s="4856" customFormat="1" ht="0" hidden="1" customHeight="1">
      <c r="A17" s="1222"/>
      <c r="B17" s="1222"/>
      <c r="C17" s="1222"/>
      <c r="D17" s="1222"/>
      <c r="E17" s="5376"/>
      <c r="F17" s="1222"/>
      <c r="G17" s="1222"/>
      <c r="H17" s="1222"/>
      <c r="I17" s="1222"/>
      <c r="J17" s="1222"/>
      <c r="K17" s="1222"/>
      <c r="L17" s="1225"/>
      <c r="M17" s="1201"/>
      <c r="N17" s="1201"/>
      <c r="O17" s="426"/>
      <c r="P17" s="296"/>
      <c r="Q17" s="1223"/>
      <c r="R17" s="296"/>
      <c r="S17" s="1202"/>
      <c r="T17" s="1205" t="s">
        <v>330</v>
      </c>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W17" s="408"/>
      <c r="AX17" s="408" t="str">
        <f t="shared" si="1"/>
        <v>Добавить территорию для дифференциации</v>
      </c>
      <c r="AY17" s="408"/>
      <c r="AZ17" s="408"/>
    </row>
    <row r="18" spans="1:52" ht="14.25" customHeight="1">
      <c r="AA18" s="245"/>
      <c r="AS18" s="245"/>
    </row>
    <row r="19" spans="1:52" ht="14.25" customHeight="1">
      <c r="AB19" s="1204" t="s">
        <v>54</v>
      </c>
      <c r="AC19" s="1373"/>
      <c r="AD19" s="455">
        <v>1</v>
      </c>
      <c r="AE19" s="1374"/>
      <c r="AF19" s="1204" t="s">
        <v>54</v>
      </c>
      <c r="AG19" s="1373"/>
      <c r="AH19" s="455">
        <v>1</v>
      </c>
      <c r="AI19" s="1374"/>
      <c r="AJ19" s="1204" t="s">
        <v>54</v>
      </c>
      <c r="AK19" s="1375"/>
      <c r="AL19" s="455">
        <v>1</v>
      </c>
      <c r="AM19" s="1378"/>
      <c r="AN19" s="1281"/>
      <c r="AO19" s="1282"/>
      <c r="AP19" s="1599"/>
      <c r="AQ19" s="1335" t="s">
        <v>64</v>
      </c>
      <c r="AR19" s="1599"/>
      <c r="AS19" s="1335" t="s">
        <v>64</v>
      </c>
    </row>
    <row r="20" spans="1:52" ht="14.25" customHeight="1">
      <c r="AV20" s="404"/>
      <c r="AW20" s="404"/>
      <c r="AX20" s="404"/>
      <c r="AY20" s="404"/>
      <c r="AZ20" s="404"/>
    </row>
    <row r="21" spans="1:52" ht="14.25" customHeight="1">
      <c r="O21" s="1245" t="s">
        <v>493</v>
      </c>
      <c r="X21" s="1224"/>
      <c r="Z21" s="1224"/>
      <c r="AA21" s="245"/>
      <c r="AP21" s="1224"/>
      <c r="AR21" s="1224"/>
      <c r="AS21" s="245"/>
      <c r="AV21" s="404"/>
      <c r="AW21" s="404"/>
      <c r="AX21" s="404"/>
      <c r="AY21" s="404"/>
      <c r="AZ21" s="404"/>
    </row>
    <row r="22" spans="1:52" ht="14.25" customHeight="1">
      <c r="AA22" s="245"/>
      <c r="AS22" s="245"/>
      <c r="AV22" s="404"/>
      <c r="AW22" s="404"/>
      <c r="AX22" s="404"/>
      <c r="AY22" s="404"/>
      <c r="AZ22" s="404"/>
    </row>
    <row r="23" spans="1:52" s="4873" customFormat="1" ht="14.25" customHeight="1">
      <c r="M23" s="1380"/>
      <c r="N23" s="1380"/>
      <c r="O23" s="1381" t="s">
        <v>494</v>
      </c>
      <c r="P23" s="1380"/>
      <c r="Q23" s="1382"/>
      <c r="R23" s="1382"/>
      <c r="Y23" s="1379" t="s">
        <v>496</v>
      </c>
      <c r="AA23" s="1379" t="s">
        <v>497</v>
      </c>
      <c r="AB23" s="1379" t="s">
        <v>544</v>
      </c>
      <c r="AE23" s="1379" t="s">
        <v>545</v>
      </c>
      <c r="AF23" s="1379" t="s">
        <v>544</v>
      </c>
      <c r="AI23" s="1379" t="s">
        <v>546</v>
      </c>
      <c r="AJ23" s="1379" t="s">
        <v>544</v>
      </c>
      <c r="AM23" s="1379" t="s">
        <v>547</v>
      </c>
      <c r="AQ23" s="1379" t="s">
        <v>496</v>
      </c>
      <c r="AS23" s="1379" t="s">
        <v>497</v>
      </c>
      <c r="AV23" s="1383"/>
      <c r="AW23" s="1383"/>
      <c r="AX23" s="1383"/>
      <c r="AY23" s="1383"/>
      <c r="AZ23" s="1383"/>
    </row>
    <row r="24" spans="1:52" ht="14.25" customHeight="1">
      <c r="O24" s="1242"/>
      <c r="AV24" s="404"/>
      <c r="AW24" s="404"/>
      <c r="AX24" s="404"/>
      <c r="AY24" s="404"/>
      <c r="AZ24" s="404"/>
    </row>
    <row r="25" spans="1:52" ht="14.25" customHeight="1">
      <c r="O25" s="1242"/>
      <c r="AV25" s="404"/>
      <c r="AW25" s="404"/>
      <c r="AX25" s="404"/>
      <c r="AY25" s="404"/>
      <c r="AZ25" s="404"/>
    </row>
    <row r="26" spans="1:52" ht="14.25" customHeight="1">
      <c r="Q26" s="209"/>
      <c r="R26" s="292"/>
      <c r="S26" s="1158"/>
      <c r="T26" s="280"/>
      <c r="U26" s="280"/>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c r="AS26" s="417"/>
    </row>
    <row r="27" spans="1:52" ht="26.25" customHeight="1">
      <c r="Q27" s="209"/>
      <c r="R27" s="292"/>
      <c r="S27" s="536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5360"/>
      <c r="U27" s="5360"/>
      <c r="V27" s="5360"/>
      <c r="W27" s="5360"/>
      <c r="X27" s="5360"/>
      <c r="Y27" s="5360"/>
      <c r="Z27" s="5360"/>
      <c r="AA27" s="5360"/>
      <c r="AB27" s="5360"/>
      <c r="AC27" s="5360"/>
      <c r="AD27" s="5360"/>
      <c r="AE27" s="5360"/>
      <c r="AF27" s="5360"/>
      <c r="AG27" s="5360"/>
      <c r="AH27" s="5360"/>
      <c r="AI27" s="5360"/>
      <c r="AJ27" s="5360"/>
      <c r="AK27" s="5360"/>
      <c r="AL27" s="5360"/>
      <c r="AM27" s="5360"/>
      <c r="AN27" s="5360"/>
      <c r="AO27" s="5360"/>
      <c r="AP27" s="5360"/>
      <c r="AQ27" s="5360"/>
      <c r="AR27" s="5360"/>
      <c r="AS27" s="1126"/>
    </row>
    <row r="28" spans="1:52" ht="14.25" customHeight="1">
      <c r="Q28" s="209"/>
      <c r="R28" s="292"/>
      <c r="S28" s="5308" t="str">
        <f>IF(org=0,"Не определено",org)</f>
        <v>ООО «Газпром теплоэнерго МО»</v>
      </c>
      <c r="T28" s="5308"/>
      <c r="U28" s="5308"/>
      <c r="V28" s="5308"/>
      <c r="W28" s="5308"/>
      <c r="X28" s="5308"/>
      <c r="Y28" s="5308"/>
      <c r="Z28" s="5308"/>
      <c r="AA28" s="5308"/>
      <c r="AB28" s="5308"/>
      <c r="AC28" s="5308"/>
      <c r="AD28" s="5308"/>
      <c r="AE28" s="5308"/>
      <c r="AF28" s="5308"/>
      <c r="AG28" s="5308"/>
      <c r="AH28" s="5308"/>
      <c r="AI28" s="5308"/>
      <c r="AJ28" s="5308"/>
      <c r="AK28" s="5308"/>
      <c r="AL28" s="5308"/>
      <c r="AM28" s="5308"/>
      <c r="AN28" s="5308"/>
      <c r="AO28" s="5308"/>
      <c r="AP28" s="5308"/>
      <c r="AQ28" s="5308"/>
      <c r="AR28" s="5308"/>
      <c r="AS28" s="1126"/>
    </row>
    <row r="29" spans="1:52" ht="14.25" customHeight="1">
      <c r="Q29" s="209"/>
      <c r="R29" s="292"/>
      <c r="S29" s="1158"/>
      <c r="T29" s="280"/>
      <c r="U29" s="28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417"/>
    </row>
    <row r="30" spans="1:52" s="4855" customFormat="1" ht="25.5" customHeight="1">
      <c r="A30" s="1246"/>
      <c r="B30" s="1246"/>
      <c r="C30" s="1246"/>
      <c r="D30" s="1246"/>
      <c r="E30" s="1246"/>
      <c r="F30" s="1246"/>
      <c r="G30" s="1246"/>
      <c r="H30" s="1246"/>
      <c r="I30" s="1246"/>
      <c r="J30" s="1246"/>
      <c r="K30" s="1246"/>
      <c r="L30" s="1247"/>
      <c r="M30" s="1246"/>
      <c r="N30" s="1246"/>
      <c r="O30" s="1246"/>
      <c r="P30" s="1246"/>
      <c r="Q30" s="1246"/>
      <c r="S30" s="5368" t="s">
        <v>38</v>
      </c>
      <c r="T30" s="5368"/>
      <c r="U30" s="1250"/>
      <c r="V30" s="5369" t="str">
        <f>IF(TITLE_NAME_OR_PR_CHANGE="",IF(TITLE_NAME_OR_PR="","",TITLE_NAME_OR_PR),TITLE_NAME_OR_PR_CHANGE)</f>
        <v>Комитет по ценам и тарифам Московской области</v>
      </c>
      <c r="W30" s="5369"/>
      <c r="X30" s="5369"/>
      <c r="Y30" s="5369"/>
      <c r="Z30" s="5369"/>
      <c r="AA30" s="244"/>
      <c r="AB30" s="5369" t="str">
        <f>IF(TITLE_NAME_OR_PR_CHANGE="",IF(TITLE_NAME_OR_PR="","",TITLE_NAME_OR_PR),TITLE_NAME_OR_PR_CHANGE)</f>
        <v>Комитет по ценам и тарифам Московской области</v>
      </c>
      <c r="AC30" s="5369"/>
      <c r="AD30" s="5369"/>
      <c r="AE30" s="5369"/>
      <c r="AF30" s="5369"/>
      <c r="AG30" s="5369"/>
      <c r="AH30" s="5369"/>
      <c r="AI30" s="5369"/>
      <c r="AJ30" s="5369"/>
      <c r="AK30" s="5369"/>
      <c r="AL30" s="5369"/>
      <c r="AM30" s="5369"/>
      <c r="AN30" s="5369"/>
      <c r="AO30" s="5369"/>
      <c r="AP30" s="5369"/>
      <c r="AQ30" s="5369"/>
      <c r="AR30" s="5369"/>
      <c r="AS30" s="244"/>
      <c r="AT30" s="244"/>
      <c r="AU30" s="199"/>
      <c r="AV30" s="284"/>
      <c r="AW30" s="284"/>
      <c r="AX30" s="284"/>
      <c r="AY30" s="284"/>
      <c r="AZ30" s="284"/>
    </row>
    <row r="31" spans="1:52" s="4855" customFormat="1" ht="18.75" customHeight="1">
      <c r="A31" s="1246"/>
      <c r="B31" s="1246"/>
      <c r="C31" s="1246"/>
      <c r="D31" s="1246"/>
      <c r="E31" s="1246"/>
      <c r="F31" s="1246"/>
      <c r="G31" s="1246"/>
      <c r="H31" s="1246"/>
      <c r="I31" s="1246"/>
      <c r="J31" s="1246"/>
      <c r="K31" s="1246"/>
      <c r="L31" s="1247"/>
      <c r="M31" s="1246"/>
      <c r="N31" s="1246"/>
      <c r="O31" s="1246"/>
      <c r="P31" s="1246"/>
      <c r="Q31" s="1246"/>
      <c r="S31" s="5368" t="s">
        <v>499</v>
      </c>
      <c r="T31" s="5368"/>
      <c r="U31" s="1250"/>
      <c r="V31" s="5378">
        <f>IF(TITLE_DATE_PR_CHANGE="",IF(TITLE_DATE_PR="","",TITLE_DATE_PR),TITLE_DATE_PR_CHANGE)</f>
        <v>45280</v>
      </c>
      <c r="W31" s="5378"/>
      <c r="X31" s="5378"/>
      <c r="Y31" s="5378"/>
      <c r="Z31" s="5378"/>
      <c r="AA31" s="244"/>
      <c r="AB31" s="5378">
        <f>IF(TITLE_DATE_PR_CHANGE="",IF(TITLE_DATE_PR="","",TITLE_DATE_PR),TITLE_DATE_PR_CHANGE)</f>
        <v>45280</v>
      </c>
      <c r="AC31" s="5378"/>
      <c r="AD31" s="5378"/>
      <c r="AE31" s="5378"/>
      <c r="AF31" s="5378"/>
      <c r="AG31" s="5378"/>
      <c r="AH31" s="5378"/>
      <c r="AI31" s="5378"/>
      <c r="AJ31" s="5378"/>
      <c r="AK31" s="5378"/>
      <c r="AL31" s="5378"/>
      <c r="AM31" s="5378"/>
      <c r="AN31" s="5378"/>
      <c r="AO31" s="5378"/>
      <c r="AP31" s="5378"/>
      <c r="AQ31" s="5378"/>
      <c r="AR31" s="5378"/>
      <c r="AS31" s="244"/>
      <c r="AT31" s="244"/>
      <c r="AU31" s="199"/>
      <c r="AV31" s="284"/>
      <c r="AW31" s="284"/>
      <c r="AX31" s="284"/>
      <c r="AY31" s="284"/>
      <c r="AZ31" s="284"/>
    </row>
    <row r="32" spans="1:52" s="4855" customFormat="1" ht="18.75" customHeight="1">
      <c r="A32" s="1246"/>
      <c r="B32" s="1246"/>
      <c r="C32" s="1246"/>
      <c r="D32" s="1246"/>
      <c r="E32" s="1246"/>
      <c r="F32" s="1246"/>
      <c r="G32" s="1246"/>
      <c r="H32" s="1246"/>
      <c r="I32" s="1246"/>
      <c r="J32" s="1246"/>
      <c r="K32" s="1246"/>
      <c r="L32" s="1247"/>
      <c r="M32" s="1246"/>
      <c r="N32" s="1246"/>
      <c r="O32" s="1246"/>
      <c r="P32" s="1246"/>
      <c r="Q32" s="1246"/>
      <c r="S32" s="5368" t="s">
        <v>500</v>
      </c>
      <c r="T32" s="5368"/>
      <c r="U32" s="1250"/>
      <c r="V32" s="5369" t="str">
        <f>IF(TITLE_NUMBER_PR_CHANGE="",IF(TITLE_NUMBER_PR="","",TITLE_NUMBER_PR),TITLE_NUMBER_PR_CHANGE)</f>
        <v>317-Р</v>
      </c>
      <c r="W32" s="5369"/>
      <c r="X32" s="5369"/>
      <c r="Y32" s="5369"/>
      <c r="Z32" s="5369"/>
      <c r="AA32" s="244"/>
      <c r="AB32" s="5369" t="str">
        <f>IF(TITLE_NUMBER_PR_CHANGE="",IF(TITLE_NUMBER_PR="","",TITLE_NUMBER_PR),TITLE_NUMBER_PR_CHANGE)</f>
        <v>317-Р</v>
      </c>
      <c r="AC32" s="5369"/>
      <c r="AD32" s="5369"/>
      <c r="AE32" s="5369"/>
      <c r="AF32" s="5369"/>
      <c r="AG32" s="5369"/>
      <c r="AH32" s="5369"/>
      <c r="AI32" s="5369"/>
      <c r="AJ32" s="5369"/>
      <c r="AK32" s="5369"/>
      <c r="AL32" s="5369"/>
      <c r="AM32" s="5369"/>
      <c r="AN32" s="5369"/>
      <c r="AO32" s="5369"/>
      <c r="AP32" s="5369"/>
      <c r="AQ32" s="5369"/>
      <c r="AR32" s="5369"/>
      <c r="AS32" s="244"/>
      <c r="AT32" s="244"/>
      <c r="AU32" s="199"/>
      <c r="AV32" s="284"/>
      <c r="AW32" s="284"/>
      <c r="AX32" s="284"/>
      <c r="AY32" s="284"/>
      <c r="AZ32" s="284"/>
    </row>
    <row r="33" spans="1:52" s="4855" customFormat="1" ht="18.75" customHeight="1">
      <c r="A33" s="1246"/>
      <c r="B33" s="1246"/>
      <c r="C33" s="1246"/>
      <c r="D33" s="1246"/>
      <c r="E33" s="1246"/>
      <c r="F33" s="1246"/>
      <c r="G33" s="1246"/>
      <c r="H33" s="1246"/>
      <c r="I33" s="1246"/>
      <c r="J33" s="1246"/>
      <c r="K33" s="1246"/>
      <c r="L33" s="1247"/>
      <c r="M33" s="1246"/>
      <c r="N33" s="1246"/>
      <c r="O33" s="1246"/>
      <c r="P33" s="1246"/>
      <c r="Q33" s="1246"/>
      <c r="S33" s="5368" t="s">
        <v>40</v>
      </c>
      <c r="T33" s="5368"/>
      <c r="U33" s="1250"/>
      <c r="V33" s="5369" t="str">
        <f>IF(TITLE_IST_PUB_CHANGE="",IF(TITLE_IST_PUB="","",TITLE_IST_PUB),TITLE_IST_PUB_CHANGE)</f>
        <v>https://ktc.mosreg.ru/dokumenty/normotvorchestvo/rasporyazheniya/gosudarstvennoe-regulirovanie-tarifov-na-teplovuyu-energiyu-raspor/29-12-2023-16-47-50-rasporyazhenie-komiteta-po-tsenam-i-tarifam-moskov</v>
      </c>
      <c r="W33" s="5369"/>
      <c r="X33" s="5369"/>
      <c r="Y33" s="5369"/>
      <c r="Z33" s="5369"/>
      <c r="AA33" s="244"/>
      <c r="AB33" s="5369" t="str">
        <f>IF(TITLE_IST_PUB_CHANGE="",IF(TITLE_IST_PUB="","",TITLE_IST_PUB),TITLE_IST_PUB_CHANGE)</f>
        <v>https://ktc.mosreg.ru/dokumenty/normotvorchestvo/rasporyazheniya/gosudarstvennoe-regulirovanie-tarifov-na-teplovuyu-energiyu-raspor/29-12-2023-16-47-50-rasporyazhenie-komiteta-po-tsenam-i-tarifam-moskov</v>
      </c>
      <c r="AC33" s="5369"/>
      <c r="AD33" s="5369"/>
      <c r="AE33" s="5369"/>
      <c r="AF33" s="5369"/>
      <c r="AG33" s="5369"/>
      <c r="AH33" s="5369"/>
      <c r="AI33" s="5369"/>
      <c r="AJ33" s="5369"/>
      <c r="AK33" s="5369"/>
      <c r="AL33" s="5369"/>
      <c r="AM33" s="5369"/>
      <c r="AN33" s="5369"/>
      <c r="AO33" s="5369"/>
      <c r="AP33" s="5369"/>
      <c r="AQ33" s="5369"/>
      <c r="AR33" s="5369"/>
      <c r="AS33" s="244"/>
      <c r="AT33" s="244"/>
      <c r="AU33" s="199"/>
      <c r="AV33" s="284"/>
      <c r="AW33" s="284"/>
      <c r="AX33" s="284"/>
      <c r="AY33" s="284"/>
      <c r="AZ33" s="284"/>
    </row>
    <row r="34" spans="1:52" ht="14.25" hidden="1" customHeight="1">
      <c r="Q34" s="209"/>
      <c r="R34" s="292"/>
      <c r="S34" s="1158"/>
      <c r="T34" s="280"/>
      <c r="U34" s="280"/>
      <c r="V34" s="240"/>
      <c r="W34" s="240"/>
      <c r="X34" s="240"/>
      <c r="Y34" s="240"/>
      <c r="Z34" s="240"/>
      <c r="AA34" s="240"/>
      <c r="AB34" s="240"/>
      <c r="AC34" s="240"/>
      <c r="AD34" s="240"/>
      <c r="AE34" s="240"/>
      <c r="AF34" s="240"/>
      <c r="AG34" s="240"/>
      <c r="AH34" s="240"/>
      <c r="AI34" s="240"/>
      <c r="AJ34" s="240"/>
      <c r="AK34" s="240"/>
      <c r="AL34" s="240"/>
      <c r="AM34" s="240"/>
      <c r="AN34" s="240"/>
      <c r="AO34" s="240"/>
      <c r="AP34" s="240"/>
      <c r="AQ34" s="240"/>
      <c r="AR34" s="240"/>
      <c r="AS34" s="240"/>
      <c r="AT34" s="417"/>
    </row>
    <row r="35" spans="1:52" s="4855" customFormat="1" ht="18.75" hidden="1" customHeight="1">
      <c r="A35" s="1246"/>
      <c r="B35" s="1246"/>
      <c r="C35" s="1246"/>
      <c r="D35" s="1246"/>
      <c r="E35" s="1246"/>
      <c r="F35" s="1246"/>
      <c r="G35" s="1246"/>
      <c r="H35" s="1246"/>
      <c r="I35" s="1246"/>
      <c r="J35" s="1246"/>
      <c r="K35" s="1246"/>
      <c r="L35" s="1247"/>
      <c r="M35" s="1246"/>
      <c r="N35" s="1246"/>
      <c r="O35" s="1246"/>
      <c r="P35" s="1246"/>
      <c r="Q35" s="1246"/>
      <c r="S35" s="5368" t="s">
        <v>499</v>
      </c>
      <c r="T35" s="5368"/>
      <c r="U35" s="1250"/>
      <c r="V35" s="5378">
        <f>IF(TITLE_DATE_PR_CHANGE="",IF(TITLE_DATE_PR="","",TITLE_DATE_PR),TITLE_DATE_PR_CHANGE)</f>
        <v>45280</v>
      </c>
      <c r="W35" s="5378"/>
      <c r="X35" s="5378"/>
      <c r="Y35" s="5378"/>
      <c r="Z35" s="5378"/>
      <c r="AA35" s="244"/>
      <c r="AB35" s="5378">
        <f>IF(TITLE_DATE_PR_CHANGE="",IF(TITLE_DATE_PR="","",TITLE_DATE_PR),TITLE_DATE_PR_CHANGE)</f>
        <v>45280</v>
      </c>
      <c r="AC35" s="5378"/>
      <c r="AD35" s="5378"/>
      <c r="AE35" s="5378"/>
      <c r="AF35" s="5378"/>
      <c r="AG35" s="5378"/>
      <c r="AH35" s="5378"/>
      <c r="AI35" s="5378"/>
      <c r="AJ35" s="5378"/>
      <c r="AK35" s="5378"/>
      <c r="AL35" s="5378"/>
      <c r="AM35" s="5378"/>
      <c r="AN35" s="5378"/>
      <c r="AO35" s="5378"/>
      <c r="AP35" s="5378"/>
      <c r="AQ35" s="5378"/>
      <c r="AR35" s="5378"/>
      <c r="AS35" s="244"/>
      <c r="AT35" s="244"/>
      <c r="AU35" s="199"/>
      <c r="AV35" s="284"/>
      <c r="AW35" s="284"/>
      <c r="AX35" s="284"/>
      <c r="AY35" s="284"/>
      <c r="AZ35" s="284"/>
    </row>
    <row r="36" spans="1:52" s="4855" customFormat="1" ht="18" hidden="1" customHeight="1">
      <c r="A36" s="1246"/>
      <c r="B36" s="1246"/>
      <c r="C36" s="1246"/>
      <c r="D36" s="1246"/>
      <c r="E36" s="1246"/>
      <c r="F36" s="1246"/>
      <c r="G36" s="1246"/>
      <c r="H36" s="1246"/>
      <c r="I36" s="1246"/>
      <c r="J36" s="1246"/>
      <c r="K36" s="1246"/>
      <c r="L36" s="1247"/>
      <c r="M36" s="1246"/>
      <c r="N36" s="1246"/>
      <c r="O36" s="1246"/>
      <c r="P36" s="1246"/>
      <c r="Q36" s="1246"/>
      <c r="S36" s="5368" t="s">
        <v>500</v>
      </c>
      <c r="T36" s="5368"/>
      <c r="U36" s="1250"/>
      <c r="V36" s="5369" t="str">
        <f>IF(TITLE_NUMBER_PR_CHANGE="",IF(TITLE_NUMBER_PR="","",TITLE_NUMBER_PR),TITLE_NUMBER_PR_CHANGE)</f>
        <v>317-Р</v>
      </c>
      <c r="W36" s="5369"/>
      <c r="X36" s="5369"/>
      <c r="Y36" s="5369"/>
      <c r="Z36" s="5369"/>
      <c r="AA36" s="244"/>
      <c r="AB36" s="5369" t="str">
        <f>IF(TITLE_NUMBER_PR_CHANGE="",IF(TITLE_NUMBER_PR="","",TITLE_NUMBER_PR),TITLE_NUMBER_PR_CHANGE)</f>
        <v>317-Р</v>
      </c>
      <c r="AC36" s="5369"/>
      <c r="AD36" s="5369"/>
      <c r="AE36" s="5369"/>
      <c r="AF36" s="5369"/>
      <c r="AG36" s="5369"/>
      <c r="AH36" s="5369"/>
      <c r="AI36" s="5369"/>
      <c r="AJ36" s="5369"/>
      <c r="AK36" s="5369"/>
      <c r="AL36" s="5369"/>
      <c r="AM36" s="5369"/>
      <c r="AN36" s="5369"/>
      <c r="AO36" s="5369"/>
      <c r="AP36" s="5369"/>
      <c r="AQ36" s="5369"/>
      <c r="AR36" s="5369"/>
      <c r="AS36" s="244"/>
      <c r="AT36" s="244"/>
      <c r="AU36" s="199"/>
      <c r="AV36" s="284"/>
      <c r="AW36" s="284"/>
      <c r="AX36" s="284"/>
      <c r="AY36" s="284"/>
      <c r="AZ36" s="284"/>
    </row>
    <row r="37" spans="1:52" s="4855" customFormat="1" ht="0.75" customHeight="1">
      <c r="A37" s="1246"/>
      <c r="B37" s="1246"/>
      <c r="C37" s="1246"/>
      <c r="D37" s="1246"/>
      <c r="E37" s="1246"/>
      <c r="F37" s="1246"/>
      <c r="G37" s="1246"/>
      <c r="H37" s="1246"/>
      <c r="I37" s="1246"/>
      <c r="J37" s="1246"/>
      <c r="K37" s="1246"/>
      <c r="L37" s="1247"/>
      <c r="M37" s="1246"/>
      <c r="N37" s="1246"/>
      <c r="O37" s="1246"/>
      <c r="P37" s="1246"/>
      <c r="Q37" s="1246"/>
      <c r="S37" s="241"/>
      <c r="T37" s="241"/>
      <c r="U37" s="1219"/>
      <c r="V37" s="244"/>
      <c r="W37" s="244"/>
      <c r="X37" s="244"/>
      <c r="Y37" s="244"/>
      <c r="Z37" s="244"/>
      <c r="AA37" s="197" t="s">
        <v>503</v>
      </c>
      <c r="AB37" s="244"/>
      <c r="AC37" s="244"/>
      <c r="AD37" s="244"/>
      <c r="AE37" s="244"/>
      <c r="AF37" s="244"/>
      <c r="AG37" s="244"/>
      <c r="AH37" s="244"/>
      <c r="AI37" s="244"/>
      <c r="AJ37" s="244"/>
      <c r="AK37" s="244"/>
      <c r="AL37" s="244"/>
      <c r="AM37" s="244"/>
      <c r="AN37" s="244"/>
      <c r="AO37" s="244"/>
      <c r="AP37" s="244"/>
      <c r="AQ37" s="244"/>
      <c r="AR37" s="244"/>
      <c r="AS37" s="197" t="s">
        <v>503</v>
      </c>
      <c r="AV37" s="284"/>
      <c r="AW37" s="284"/>
      <c r="AX37" s="284"/>
      <c r="AY37" s="284"/>
      <c r="AZ37" s="284"/>
    </row>
    <row r="38" spans="1:52" ht="14.25" customHeight="1">
      <c r="Q38" s="209"/>
      <c r="R38" s="292"/>
      <c r="S38" s="1158"/>
      <c r="T38" s="280"/>
      <c r="U38" s="1127"/>
      <c r="V38" s="5370"/>
      <c r="W38" s="5370"/>
      <c r="X38" s="5370"/>
      <c r="Y38" s="5370"/>
      <c r="Z38" s="5370"/>
      <c r="AA38" s="5370"/>
      <c r="AB38" s="5370"/>
      <c r="AC38" s="5370"/>
      <c r="AD38" s="5370"/>
      <c r="AE38" s="5370"/>
      <c r="AF38" s="5370"/>
      <c r="AG38" s="5370"/>
      <c r="AH38" s="5370"/>
      <c r="AI38" s="5370"/>
      <c r="AJ38" s="5370"/>
      <c r="AK38" s="5370"/>
      <c r="AL38" s="5370"/>
      <c r="AM38" s="5370"/>
      <c r="AN38" s="5370"/>
      <c r="AO38" s="5370"/>
      <c r="AP38" s="5370"/>
      <c r="AQ38" s="5370"/>
      <c r="AR38" s="5370"/>
      <c r="AS38" s="5370"/>
    </row>
    <row r="39" spans="1:52" ht="14.25" customHeight="1">
      <c r="Q39" s="209"/>
      <c r="R39" s="292"/>
      <c r="S39" s="5244" t="s">
        <v>378</v>
      </c>
      <c r="T39" s="5244"/>
      <c r="U39" s="5244"/>
      <c r="V39" s="5244"/>
      <c r="W39" s="5244"/>
      <c r="X39" s="5244"/>
      <c r="Y39" s="5244"/>
      <c r="Z39" s="5244"/>
      <c r="AA39" s="5244"/>
      <c r="AB39" s="5307"/>
      <c r="AC39" s="5307"/>
      <c r="AD39" s="5307"/>
      <c r="AE39" s="5307"/>
      <c r="AF39" s="5244"/>
      <c r="AG39" s="5244"/>
      <c r="AH39" s="5244"/>
      <c r="AI39" s="5244"/>
      <c r="AJ39" s="5244"/>
      <c r="AK39" s="5244"/>
      <c r="AL39" s="5244"/>
      <c r="AM39" s="5244"/>
      <c r="AN39" s="5244"/>
      <c r="AO39" s="5244"/>
      <c r="AP39" s="5244"/>
      <c r="AQ39" s="5244"/>
      <c r="AR39" s="5244"/>
      <c r="AS39" s="5244"/>
      <c r="AT39" s="5244"/>
      <c r="AU39" s="5244" t="s">
        <v>379</v>
      </c>
    </row>
    <row r="40" spans="1:52" ht="14.25" customHeight="1">
      <c r="Q40" s="209"/>
      <c r="R40" s="292"/>
      <c r="S40" s="5384" t="s">
        <v>85</v>
      </c>
      <c r="T40" s="5336" t="s">
        <v>548</v>
      </c>
      <c r="U40" s="219"/>
      <c r="V40" s="5386"/>
      <c r="W40" s="5386"/>
      <c r="X40" s="5386"/>
      <c r="Y40" s="5386"/>
      <c r="Z40" s="5387"/>
      <c r="AA40" s="5422" t="s">
        <v>506</v>
      </c>
      <c r="AB40" s="5414" t="s">
        <v>549</v>
      </c>
      <c r="AC40" s="5402"/>
      <c r="AD40" s="5402"/>
      <c r="AE40" s="5415"/>
      <c r="AF40" s="5402" t="s">
        <v>550</v>
      </c>
      <c r="AG40" s="5402"/>
      <c r="AH40" s="5402"/>
      <c r="AI40" s="5415"/>
      <c r="AJ40" s="5414" t="s">
        <v>551</v>
      </c>
      <c r="AK40" s="5402"/>
      <c r="AL40" s="5402"/>
      <c r="AM40" s="5415"/>
      <c r="AN40" s="5414" t="s">
        <v>505</v>
      </c>
      <c r="AO40" s="5402"/>
      <c r="AP40" s="5386"/>
      <c r="AQ40" s="5386"/>
      <c r="AR40" s="5387"/>
      <c r="AS40" s="5388" t="s">
        <v>506</v>
      </c>
      <c r="AT40" s="5391" t="s">
        <v>508</v>
      </c>
      <c r="AU40" s="5244"/>
    </row>
    <row r="41" spans="1:52" ht="33.75" customHeight="1">
      <c r="Q41" s="209"/>
      <c r="R41" s="292"/>
      <c r="S41" s="5384"/>
      <c r="T41" s="5336"/>
      <c r="U41" s="920"/>
      <c r="V41" s="5322" t="s">
        <v>552</v>
      </c>
      <c r="W41" s="5323"/>
      <c r="X41" s="5322" t="s">
        <v>512</v>
      </c>
      <c r="Y41" s="5409"/>
      <c r="Z41" s="5323"/>
      <c r="AA41" s="5423"/>
      <c r="AB41" s="5416"/>
      <c r="AC41" s="5417"/>
      <c r="AD41" s="5417"/>
      <c r="AE41" s="5418"/>
      <c r="AF41" s="5417"/>
      <c r="AG41" s="5417"/>
      <c r="AH41" s="5417"/>
      <c r="AI41" s="5418"/>
      <c r="AJ41" s="5416"/>
      <c r="AK41" s="5417"/>
      <c r="AL41" s="5417"/>
      <c r="AM41" s="5417"/>
      <c r="AN41" s="5244" t="s">
        <v>553</v>
      </c>
      <c r="AO41" s="5244"/>
      <c r="AP41" s="5409" t="s">
        <v>512</v>
      </c>
      <c r="AQ41" s="5409"/>
      <c r="AR41" s="5323"/>
      <c r="AS41" s="5389"/>
      <c r="AT41" s="5392"/>
      <c r="AU41" s="5244"/>
    </row>
    <row r="42" spans="1:52" ht="14.25" customHeight="1">
      <c r="Q42" s="209"/>
      <c r="R42" s="292"/>
      <c r="S42" s="5384"/>
      <c r="T42" s="5336"/>
      <c r="U42" s="920"/>
      <c r="V42" s="5327"/>
      <c r="W42" s="5328"/>
      <c r="X42" s="5327"/>
      <c r="Y42" s="5410"/>
      <c r="Z42" s="5328"/>
      <c r="AA42" s="5423"/>
      <c r="AB42" s="5416"/>
      <c r="AC42" s="5417"/>
      <c r="AD42" s="5417"/>
      <c r="AE42" s="5418"/>
      <c r="AF42" s="5417"/>
      <c r="AG42" s="5417"/>
      <c r="AH42" s="5417"/>
      <c r="AI42" s="5418"/>
      <c r="AJ42" s="5416"/>
      <c r="AK42" s="5417"/>
      <c r="AL42" s="5417"/>
      <c r="AM42" s="5417"/>
      <c r="AN42" s="5425"/>
      <c r="AO42" s="5425"/>
      <c r="AP42" s="5410"/>
      <c r="AQ42" s="5410"/>
      <c r="AR42" s="5328"/>
      <c r="AS42" s="5389"/>
      <c r="AT42" s="5392"/>
      <c r="AU42" s="5244"/>
    </row>
    <row r="43" spans="1:52" ht="14.25" customHeight="1">
      <c r="A43" s="1248"/>
      <c r="B43" s="1248" t="s">
        <v>153</v>
      </c>
      <c r="C43" s="1248" t="s">
        <v>154</v>
      </c>
      <c r="D43" s="1248" t="s">
        <v>155</v>
      </c>
      <c r="E43" s="1242" t="s">
        <v>513</v>
      </c>
      <c r="F43" s="1242" t="s">
        <v>514</v>
      </c>
      <c r="G43" s="1242" t="s">
        <v>515</v>
      </c>
      <c r="H43" s="1242" t="s">
        <v>516</v>
      </c>
      <c r="I43" s="1242" t="s">
        <v>517</v>
      </c>
      <c r="J43" s="1242" t="s">
        <v>518</v>
      </c>
      <c r="K43" s="1242" t="s">
        <v>519</v>
      </c>
      <c r="L43" s="1242" t="s">
        <v>494</v>
      </c>
      <c r="Q43" s="209"/>
      <c r="R43" s="292"/>
      <c r="S43" s="5384"/>
      <c r="T43" s="5336"/>
      <c r="U43" s="220"/>
      <c r="V43" s="1209" t="s">
        <v>554</v>
      </c>
      <c r="W43" s="1209" t="s">
        <v>555</v>
      </c>
      <c r="X43" s="1217" t="s">
        <v>522</v>
      </c>
      <c r="Y43" s="5344" t="s">
        <v>523</v>
      </c>
      <c r="Z43" s="5346"/>
      <c r="AA43" s="5424"/>
      <c r="AB43" s="5419"/>
      <c r="AC43" s="5420"/>
      <c r="AD43" s="5420"/>
      <c r="AE43" s="5421"/>
      <c r="AF43" s="5420"/>
      <c r="AG43" s="5420"/>
      <c r="AH43" s="5420"/>
      <c r="AI43" s="5421"/>
      <c r="AJ43" s="5419"/>
      <c r="AK43" s="5420"/>
      <c r="AL43" s="5420"/>
      <c r="AM43" s="5421"/>
      <c r="AN43" s="1722" t="s">
        <v>554</v>
      </c>
      <c r="AO43" s="1722" t="s">
        <v>555</v>
      </c>
      <c r="AP43" s="1217" t="s">
        <v>522</v>
      </c>
      <c r="AQ43" s="5344" t="s">
        <v>523</v>
      </c>
      <c r="AR43" s="5346"/>
      <c r="AS43" s="5390"/>
      <c r="AT43" s="5393"/>
      <c r="AU43" s="5244"/>
    </row>
    <row r="44" spans="1:52" s="4840" customFormat="1" ht="11.25" hidden="1" customHeight="1">
      <c r="A44" s="1248"/>
      <c r="B44" s="1248"/>
      <c r="C44" s="1248"/>
      <c r="D44" s="1248"/>
      <c r="E44" s="1248"/>
      <c r="F44" s="1248"/>
      <c r="G44" s="1248"/>
      <c r="H44" s="1248"/>
      <c r="I44" s="1248"/>
      <c r="J44" s="1248"/>
      <c r="K44" s="1248"/>
      <c r="L44" s="1242"/>
      <c r="M44" s="1240"/>
      <c r="N44" s="1240"/>
      <c r="O44" s="1240"/>
      <c r="P44" s="418"/>
      <c r="Q44" s="1137"/>
      <c r="R44" s="1137">
        <v>1</v>
      </c>
      <c r="S44" s="1160" t="s">
        <v>129</v>
      </c>
      <c r="T44" s="1138" t="s">
        <v>100</v>
      </c>
      <c r="U44" s="1128" t="str">
        <f ca="1">OFFSET(U44,0,-1)</f>
        <v>2</v>
      </c>
      <c r="V44" s="1214">
        <f ca="1">OFFSET(V44,0,-1)+1</f>
        <v>3</v>
      </c>
      <c r="W44" s="1214">
        <f ca="1">OFFSET(W44,0,-1)+1</f>
        <v>4</v>
      </c>
      <c r="X44" s="1214">
        <f ca="1">OFFSET(X44,0,-1)+1</f>
        <v>5</v>
      </c>
      <c r="Y44" s="5383">
        <f ca="1">OFFSET(Y44,0,-1)+1</f>
        <v>6</v>
      </c>
      <c r="Z44" s="5383"/>
      <c r="AA44" s="1214">
        <f ca="1">OFFSET(AA44,0,-2)+1</f>
        <v>7</v>
      </c>
      <c r="AB44" s="1220">
        <f ca="1">OFFSET(AB44,0,-1)+1</f>
        <v>8</v>
      </c>
      <c r="AC44" s="1220"/>
      <c r="AD44" s="1220"/>
      <c r="AE44" s="1220"/>
      <c r="AF44" s="1214"/>
      <c r="AG44" s="1214"/>
      <c r="AH44" s="1214"/>
      <c r="AI44" s="1214"/>
      <c r="AJ44" s="1214"/>
      <c r="AK44" s="1214"/>
      <c r="AL44" s="1214"/>
      <c r="AM44" s="1214"/>
      <c r="AN44" s="1214">
        <f ca="1">OFFSET(AN44,0,-1)+1</f>
        <v>1</v>
      </c>
      <c r="AO44" s="1214">
        <f ca="1">OFFSET(AO44,0,-1)+1</f>
        <v>2</v>
      </c>
      <c r="AP44" s="1214">
        <f ca="1">OFFSET(AP44,0,-1)+1</f>
        <v>3</v>
      </c>
      <c r="AQ44" s="5383">
        <f ca="1">OFFSET(AQ44,0,-1)+1</f>
        <v>4</v>
      </c>
      <c r="AR44" s="5383"/>
      <c r="AS44" s="1214">
        <f ca="1">OFFSET(AS44,0,-2)+1</f>
        <v>5</v>
      </c>
      <c r="AT44" s="1128">
        <f ca="1">OFFSET(AT44,0,-1)</f>
        <v>5</v>
      </c>
      <c r="AU44" s="1214">
        <f ca="1">OFFSET(AU44,0,-1)+1</f>
        <v>6</v>
      </c>
      <c r="AV44" s="419"/>
      <c r="AW44" s="419"/>
      <c r="AX44" s="419"/>
      <c r="AY44" s="419"/>
      <c r="AZ44" s="419"/>
    </row>
    <row r="45" spans="1:52" ht="102" customHeight="1">
      <c r="A45" s="1241" t="s">
        <v>215</v>
      </c>
      <c r="B45" s="1241"/>
      <c r="C45" s="1241"/>
      <c r="D45" s="1241"/>
      <c r="E45" s="5376">
        <v>1</v>
      </c>
      <c r="F45" s="1241"/>
      <c r="G45" s="1241"/>
      <c r="H45" s="1241"/>
      <c r="I45" s="1241"/>
      <c r="J45" s="1241"/>
      <c r="K45" s="1241"/>
      <c r="L45" s="1242"/>
      <c r="M45" s="1243"/>
      <c r="N45" s="1243"/>
      <c r="O45" s="1243"/>
      <c r="P45" s="1287"/>
      <c r="Q45" s="768"/>
      <c r="R45" s="272"/>
      <c r="S45" s="1215">
        <f>INDEX(PT_DIFFERENTIATION_NUM_NTAR,MATCH(A45,PT_DIFFERENTIATION_NTAR_ID,0))</f>
        <v>0</v>
      </c>
      <c r="T45" s="216" t="s">
        <v>141</v>
      </c>
      <c r="U45" s="218"/>
      <c r="V45" s="5363"/>
      <c r="W45" s="5363"/>
      <c r="X45" s="5363"/>
      <c r="Y45" s="5363"/>
      <c r="Z45" s="5363"/>
      <c r="AA45" s="5364"/>
      <c r="AB45" s="5362" t="str">
        <f>INDEX(PT_DIFFERENTIATION_NTAR,MATCH(A45,PT_DIFFERENTIATION_NTAR_ID,0))</f>
        <v/>
      </c>
      <c r="AC45" s="5363"/>
      <c r="AD45" s="5363"/>
      <c r="AE45" s="5363"/>
      <c r="AF45" s="5363"/>
      <c r="AG45" s="5363"/>
      <c r="AH45" s="5363"/>
      <c r="AI45" s="5363"/>
      <c r="AJ45" s="5363"/>
      <c r="AK45" s="5363"/>
      <c r="AL45" s="5363"/>
      <c r="AM45" s="5363"/>
      <c r="AN45" s="5363"/>
      <c r="AO45" s="5363"/>
      <c r="AP45" s="5363"/>
      <c r="AQ45" s="5363"/>
      <c r="AR45" s="5363"/>
      <c r="AS45" s="5363"/>
      <c r="AT45" s="5364"/>
      <c r="AU45" s="11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08"/>
      <c r="AX45" s="408" t="str">
        <f t="shared" ref="AX45:AX51" si="2">IF(T45="","",T45)</f>
        <v>Наименование тарифа</v>
      </c>
      <c r="AY45" s="408"/>
      <c r="AZ45" s="408"/>
    </row>
    <row r="46" spans="1:52" ht="21" customHeight="1">
      <c r="A46" s="1241" t="s">
        <v>215</v>
      </c>
      <c r="B46" s="1241" t="s">
        <v>216</v>
      </c>
      <c r="C46" s="1241"/>
      <c r="D46" s="1241"/>
      <c r="E46" s="5377"/>
      <c r="F46" s="5376">
        <v>1</v>
      </c>
      <c r="G46" s="1241"/>
      <c r="H46" s="1241"/>
      <c r="I46" s="1241"/>
      <c r="J46" s="1241"/>
      <c r="K46" s="1241"/>
      <c r="L46" s="1242"/>
      <c r="M46" s="1243"/>
      <c r="N46" s="1243"/>
      <c r="O46" s="1243"/>
      <c r="P46" s="1288"/>
      <c r="Q46" s="1289"/>
      <c r="R46" s="270"/>
      <c r="S46" s="1215" t="str">
        <f>INDEX(PT_DIFFERENTIATION_NUM_TER,MATCH(B46,PT_DIFFERENTIATION_TER_ID,0))</f>
        <v>.</v>
      </c>
      <c r="T46" s="226" t="s">
        <v>475</v>
      </c>
      <c r="U46" s="218"/>
      <c r="V46" s="5363"/>
      <c r="W46" s="5363"/>
      <c r="X46" s="5363"/>
      <c r="Y46" s="5363"/>
      <c r="Z46" s="5363"/>
      <c r="AA46" s="5364"/>
      <c r="AB46" s="5362" t="str">
        <f>INDEX(PT_DIFFERENTIATION_TER,MATCH(B46,PT_DIFFERENTIATION_TER_ID,0))</f>
        <v/>
      </c>
      <c r="AC46" s="5363"/>
      <c r="AD46" s="5363"/>
      <c r="AE46" s="5363"/>
      <c r="AF46" s="5363"/>
      <c r="AG46" s="5363"/>
      <c r="AH46" s="5363"/>
      <c r="AI46" s="5363"/>
      <c r="AJ46" s="5363"/>
      <c r="AK46" s="5363"/>
      <c r="AL46" s="5363"/>
      <c r="AM46" s="5363"/>
      <c r="AN46" s="5363"/>
      <c r="AO46" s="5363"/>
      <c r="AP46" s="5363"/>
      <c r="AQ46" s="5363"/>
      <c r="AR46" s="5363"/>
      <c r="AS46" s="5363"/>
      <c r="AT46" s="5364"/>
      <c r="AU46" s="1141" t="s">
        <v>476</v>
      </c>
      <c r="AW46" s="408"/>
      <c r="AX46" s="408" t="str">
        <f t="shared" si="2"/>
        <v>Территория действия тарифа</v>
      </c>
      <c r="AY46" s="408"/>
      <c r="AZ46" s="408"/>
    </row>
    <row r="47" spans="1:52" ht="23.25" customHeight="1">
      <c r="A47" s="1241" t="s">
        <v>215</v>
      </c>
      <c r="B47" s="1241" t="s">
        <v>216</v>
      </c>
      <c r="C47" s="1241" t="s">
        <v>217</v>
      </c>
      <c r="D47" s="1241"/>
      <c r="E47" s="5377"/>
      <c r="F47" s="5377"/>
      <c r="G47" s="5376">
        <v>1</v>
      </c>
      <c r="H47" s="1241"/>
      <c r="I47" s="1241"/>
      <c r="J47" s="1241"/>
      <c r="K47" s="1241"/>
      <c r="L47" s="1242"/>
      <c r="M47" s="1243"/>
      <c r="N47" s="1243"/>
      <c r="O47" s="1243"/>
      <c r="P47" s="1290"/>
      <c r="Q47" s="1289"/>
      <c r="R47" s="270"/>
      <c r="S47" s="1215" t="str">
        <f>INDEX(PT_DIFFERENTIATION_NUM_CS,MATCH(C47,PT_DIFFERENTIATION_CS_ID,0))</f>
        <v>..</v>
      </c>
      <c r="T47" s="227" t="s">
        <v>477</v>
      </c>
      <c r="U47" s="218"/>
      <c r="V47" s="5363"/>
      <c r="W47" s="5363"/>
      <c r="X47" s="5363"/>
      <c r="Y47" s="5363"/>
      <c r="Z47" s="5363"/>
      <c r="AA47" s="5364"/>
      <c r="AB47" s="5362" t="str">
        <f>INDEX(PT_DIFFERENTIATION_CS,MATCH(C47,PT_DIFFERENTIATION_CS_ID,0))</f>
        <v/>
      </c>
      <c r="AC47" s="5363"/>
      <c r="AD47" s="5363"/>
      <c r="AE47" s="5363"/>
      <c r="AF47" s="5363"/>
      <c r="AG47" s="5363"/>
      <c r="AH47" s="5363"/>
      <c r="AI47" s="5363"/>
      <c r="AJ47" s="5363"/>
      <c r="AK47" s="5363"/>
      <c r="AL47" s="5363"/>
      <c r="AM47" s="5363"/>
      <c r="AN47" s="5363"/>
      <c r="AO47" s="5363"/>
      <c r="AP47" s="5363"/>
      <c r="AQ47" s="5363"/>
      <c r="AR47" s="5363"/>
      <c r="AS47" s="5363"/>
      <c r="AT47" s="5364"/>
      <c r="AU47" s="1141" t="s">
        <v>478</v>
      </c>
      <c r="AW47" s="408"/>
      <c r="AX47" s="408" t="str">
        <f t="shared" si="2"/>
        <v xml:space="preserve">Наименование системы теплоснабжения </v>
      </c>
      <c r="AY47" s="408"/>
      <c r="AZ47" s="408"/>
    </row>
    <row r="48" spans="1:52" ht="21" customHeight="1">
      <c r="A48" s="1241" t="s">
        <v>215</v>
      </c>
      <c r="B48" s="1241" t="s">
        <v>216</v>
      </c>
      <c r="C48" s="1241" t="s">
        <v>217</v>
      </c>
      <c r="D48" s="1241" t="s">
        <v>218</v>
      </c>
      <c r="E48" s="5377"/>
      <c r="F48" s="5377"/>
      <c r="G48" s="5377"/>
      <c r="H48" s="5376">
        <v>1</v>
      </c>
      <c r="I48" s="1241"/>
      <c r="J48" s="1241"/>
      <c r="K48" s="1241"/>
      <c r="L48" s="1242"/>
      <c r="M48" s="1243"/>
      <c r="N48" s="1243"/>
      <c r="O48" s="1243"/>
      <c r="P48" s="1290"/>
      <c r="Q48" s="1289"/>
      <c r="R48" s="270"/>
      <c r="S48" s="1215" t="str">
        <f>INDEX(PT_DIFFERENTIATION_NUM_IST_TE,MATCH(D48,PT_DIFFERENTIATION_IST_TE_ID,0))</f>
        <v>...</v>
      </c>
      <c r="T48" s="228" t="s">
        <v>479</v>
      </c>
      <c r="U48" s="218"/>
      <c r="V48" s="5363"/>
      <c r="W48" s="5363"/>
      <c r="X48" s="5363"/>
      <c r="Y48" s="5363"/>
      <c r="Z48" s="5363"/>
      <c r="AA48" s="5364"/>
      <c r="AB48" s="5362" t="str">
        <f>INDEX(PT_DIFFERENTIATION_IST_TE,MATCH(D48,PT_DIFFERENTIATION_IST_TE_ID,0))</f>
        <v/>
      </c>
      <c r="AC48" s="5363"/>
      <c r="AD48" s="5363"/>
      <c r="AE48" s="5363"/>
      <c r="AF48" s="5363"/>
      <c r="AG48" s="5363"/>
      <c r="AH48" s="5363"/>
      <c r="AI48" s="5363"/>
      <c r="AJ48" s="5363"/>
      <c r="AK48" s="5363"/>
      <c r="AL48" s="5363"/>
      <c r="AM48" s="5363"/>
      <c r="AN48" s="5363"/>
      <c r="AO48" s="5363"/>
      <c r="AP48" s="5363"/>
      <c r="AQ48" s="5363"/>
      <c r="AR48" s="5363"/>
      <c r="AS48" s="5363"/>
      <c r="AT48" s="5364"/>
      <c r="AU48" s="1141" t="s">
        <v>480</v>
      </c>
      <c r="AW48" s="408"/>
      <c r="AX48" s="408" t="str">
        <f t="shared" si="2"/>
        <v xml:space="preserve">Источник тепловой энергии  </v>
      </c>
      <c r="AY48" s="408"/>
      <c r="AZ48" s="408"/>
    </row>
    <row r="49" spans="1:52" s="4856" customFormat="1" ht="0" hidden="1" customHeight="1">
      <c r="A49" s="1222" t="s">
        <v>215</v>
      </c>
      <c r="B49" s="1222" t="s">
        <v>216</v>
      </c>
      <c r="C49" s="1222" t="s">
        <v>217</v>
      </c>
      <c r="D49" s="1222" t="s">
        <v>218</v>
      </c>
      <c r="E49" s="5377"/>
      <c r="F49" s="5377"/>
      <c r="G49" s="5377"/>
      <c r="H49" s="5377"/>
      <c r="I49" s="5374" t="str">
        <f>S48&amp;".1"</f>
        <v>....1</v>
      </c>
      <c r="J49" s="1222"/>
      <c r="K49" s="1222"/>
      <c r="L49" s="1225" t="s">
        <v>481</v>
      </c>
      <c r="M49" s="418"/>
      <c r="N49" s="418"/>
      <c r="O49" s="418"/>
      <c r="P49" s="5375">
        <v>1</v>
      </c>
      <c r="Q49" s="1210"/>
      <c r="R49" s="273"/>
      <c r="S49" s="931"/>
      <c r="T49" s="1261"/>
      <c r="U49" s="1262"/>
      <c r="V49" s="5406"/>
      <c r="W49" s="5406"/>
      <c r="X49" s="5406"/>
      <c r="Y49" s="5406"/>
      <c r="Z49" s="5406"/>
      <c r="AA49" s="5407"/>
      <c r="AB49" s="5405"/>
      <c r="AC49" s="5406"/>
      <c r="AD49" s="5406"/>
      <c r="AE49" s="5406"/>
      <c r="AF49" s="5406"/>
      <c r="AG49" s="5406"/>
      <c r="AH49" s="5406"/>
      <c r="AI49" s="5406"/>
      <c r="AJ49" s="5406"/>
      <c r="AK49" s="5406"/>
      <c r="AL49" s="5406"/>
      <c r="AM49" s="5406"/>
      <c r="AN49" s="5406"/>
      <c r="AO49" s="5406"/>
      <c r="AP49" s="5406"/>
      <c r="AQ49" s="5406"/>
      <c r="AR49" s="5406"/>
      <c r="AS49" s="5406"/>
      <c r="AT49" s="5407"/>
      <c r="AU49" s="1263"/>
      <c r="AW49" s="408"/>
      <c r="AX49" s="408" t="str">
        <f t="shared" si="2"/>
        <v/>
      </c>
      <c r="AY49" s="408"/>
      <c r="AZ49" s="408"/>
    </row>
    <row r="50" spans="1:52" s="4856" customFormat="1" ht="0" hidden="1" customHeight="1">
      <c r="A50" s="1222" t="s">
        <v>215</v>
      </c>
      <c r="B50" s="1222" t="s">
        <v>216</v>
      </c>
      <c r="C50" s="1222" t="s">
        <v>217</v>
      </c>
      <c r="D50" s="1222" t="s">
        <v>218</v>
      </c>
      <c r="E50" s="5377"/>
      <c r="F50" s="5377"/>
      <c r="G50" s="5377"/>
      <c r="H50" s="5377"/>
      <c r="I50" s="5397"/>
      <c r="J50" s="5374" t="str">
        <f>S48&amp;".1"</f>
        <v>....1</v>
      </c>
      <c r="K50" s="1222"/>
      <c r="L50" s="1225"/>
      <c r="M50" s="418"/>
      <c r="N50" s="418"/>
      <c r="O50" s="418"/>
      <c r="P50" s="5375"/>
      <c r="Q50" s="5375">
        <v>1</v>
      </c>
      <c r="R50" s="274"/>
      <c r="S50" s="931"/>
      <c r="T50" s="1277"/>
      <c r="U50" s="1262"/>
      <c r="V50" s="5406"/>
      <c r="W50" s="5406"/>
      <c r="X50" s="5406"/>
      <c r="Y50" s="5406"/>
      <c r="Z50" s="5406"/>
      <c r="AA50" s="5407"/>
      <c r="AB50" s="5405"/>
      <c r="AC50" s="5406"/>
      <c r="AD50" s="5406"/>
      <c r="AE50" s="5406"/>
      <c r="AF50" s="5406"/>
      <c r="AG50" s="5406"/>
      <c r="AH50" s="5406"/>
      <c r="AI50" s="5406"/>
      <c r="AJ50" s="5406"/>
      <c r="AK50" s="5406"/>
      <c r="AL50" s="5406"/>
      <c r="AM50" s="5406"/>
      <c r="AN50" s="5406"/>
      <c r="AO50" s="5406"/>
      <c r="AP50" s="5406"/>
      <c r="AQ50" s="5406"/>
      <c r="AR50" s="5406"/>
      <c r="AS50" s="5406"/>
      <c r="AT50" s="5407"/>
      <c r="AU50" s="1263"/>
      <c r="AW50" s="408"/>
      <c r="AX50" s="408" t="str">
        <f t="shared" si="2"/>
        <v/>
      </c>
      <c r="AY50" s="408"/>
      <c r="AZ50" s="408"/>
    </row>
    <row r="51" spans="1:52" ht="21" customHeight="1">
      <c r="A51" s="1241" t="s">
        <v>215</v>
      </c>
      <c r="B51" s="1241" t="s">
        <v>216</v>
      </c>
      <c r="C51" s="1241" t="s">
        <v>217</v>
      </c>
      <c r="D51" s="1241" t="s">
        <v>218</v>
      </c>
      <c r="E51" s="5377"/>
      <c r="F51" s="5377"/>
      <c r="G51" s="5377"/>
      <c r="H51" s="5377"/>
      <c r="I51" s="5397"/>
      <c r="J51" s="5397"/>
      <c r="K51" s="5374" t="str">
        <f>S48&amp;".1"</f>
        <v>....1</v>
      </c>
      <c r="L51" s="1242"/>
      <c r="P51" s="5375"/>
      <c r="Q51" s="5375"/>
      <c r="R51" s="274">
        <v>1</v>
      </c>
      <c r="S51" s="5426" t="str">
        <f>$K51</f>
        <v>....1</v>
      </c>
      <c r="T51" s="5429"/>
      <c r="U51" s="218"/>
      <c r="V51" s="650"/>
      <c r="W51" s="1140"/>
      <c r="X51" s="1597"/>
      <c r="Y51" s="1334" t="s">
        <v>64</v>
      </c>
      <c r="Z51" s="1597"/>
      <c r="AA51" s="1334" t="s">
        <v>64</v>
      </c>
      <c r="AB51" s="5225" t="s">
        <v>54</v>
      </c>
      <c r="AC51" s="5412"/>
      <c r="AD51" s="5332">
        <v>1</v>
      </c>
      <c r="AE51" s="5433" t="s">
        <v>24</v>
      </c>
      <c r="AF51" s="5225" t="s">
        <v>54</v>
      </c>
      <c r="AG51" s="5412"/>
      <c r="AH51" s="5332">
        <v>1</v>
      </c>
      <c r="AI51" s="5433" t="s">
        <v>24</v>
      </c>
      <c r="AJ51" s="5225" t="s">
        <v>54</v>
      </c>
      <c r="AK51" s="229"/>
      <c r="AL51" s="1216">
        <v>1</v>
      </c>
      <c r="AM51" s="1280"/>
      <c r="AN51" s="650"/>
      <c r="AO51" s="1140"/>
      <c r="AP51" s="1597"/>
      <c r="AQ51" s="1334" t="s">
        <v>64</v>
      </c>
      <c r="AR51" s="1597"/>
      <c r="AS51" s="1334" t="s">
        <v>64</v>
      </c>
      <c r="AT51" s="1227"/>
      <c r="AU51" s="5371" t="s">
        <v>556</v>
      </c>
      <c r="AV51" s="419" t="e">
        <f ca="1">STRCHECKDATE(V54:AT54)</f>
        <v>#NAME?</v>
      </c>
      <c r="AW51" s="408"/>
      <c r="AX51" s="408" t="str">
        <f t="shared" si="2"/>
        <v/>
      </c>
      <c r="AY51" s="408"/>
      <c r="AZ51" s="408"/>
    </row>
    <row r="52" spans="1:52" ht="11.25" customHeight="1">
      <c r="A52" s="1241" t="s">
        <v>215</v>
      </c>
      <c r="B52" s="1241"/>
      <c r="C52" s="1241"/>
      <c r="D52" s="1241"/>
      <c r="E52" s="5377"/>
      <c r="F52" s="5377"/>
      <c r="G52" s="5377"/>
      <c r="H52" s="5377"/>
      <c r="I52" s="5397"/>
      <c r="J52" s="5397"/>
      <c r="K52" s="5374"/>
      <c r="L52" s="1242"/>
      <c r="P52" s="5375"/>
      <c r="Q52" s="5375"/>
      <c r="R52" s="274"/>
      <c r="S52" s="5427"/>
      <c r="T52" s="5430"/>
      <c r="U52" s="218"/>
      <c r="V52" s="1271"/>
      <c r="W52" s="1368"/>
      <c r="X52" s="1271"/>
      <c r="Y52" s="1271"/>
      <c r="Z52" s="1271"/>
      <c r="AA52" s="1271"/>
      <c r="AB52" s="5225"/>
      <c r="AC52" s="5412"/>
      <c r="AD52" s="5332"/>
      <c r="AE52" s="5433"/>
      <c r="AF52" s="5225"/>
      <c r="AG52" s="5412"/>
      <c r="AH52" s="5332"/>
      <c r="AI52" s="5433"/>
      <c r="AJ52" s="5225"/>
      <c r="AK52" s="234"/>
      <c r="AL52" s="332"/>
      <c r="AM52" s="331" t="s">
        <v>540</v>
      </c>
      <c r="AN52" s="1271"/>
      <c r="AO52" s="1368"/>
      <c r="AP52" s="1271"/>
      <c r="AQ52" s="1271"/>
      <c r="AR52" s="1271"/>
      <c r="AS52" s="1271"/>
      <c r="AT52" s="1268"/>
      <c r="AU52" s="5372"/>
      <c r="AW52" s="408"/>
      <c r="AX52" s="408"/>
      <c r="AY52" s="408"/>
      <c r="AZ52" s="408"/>
    </row>
    <row r="53" spans="1:52" ht="11.25" customHeight="1">
      <c r="A53" s="1241" t="s">
        <v>215</v>
      </c>
      <c r="B53" s="1241"/>
      <c r="C53" s="1241"/>
      <c r="D53" s="1241"/>
      <c r="E53" s="5377"/>
      <c r="F53" s="5377"/>
      <c r="G53" s="5377"/>
      <c r="H53" s="5377"/>
      <c r="I53" s="5397"/>
      <c r="J53" s="5397"/>
      <c r="K53" s="5374"/>
      <c r="L53" s="1242"/>
      <c r="P53" s="5375"/>
      <c r="Q53" s="5375"/>
      <c r="R53" s="274"/>
      <c r="S53" s="5427"/>
      <c r="T53" s="5430"/>
      <c r="U53" s="218"/>
      <c r="V53" s="1271"/>
      <c r="W53" s="1368"/>
      <c r="X53" s="1271"/>
      <c r="Y53" s="1271"/>
      <c r="Z53" s="1271"/>
      <c r="AA53" s="1271"/>
      <c r="AB53" s="5225"/>
      <c r="AC53" s="5412"/>
      <c r="AD53" s="5332"/>
      <c r="AE53" s="5433"/>
      <c r="AF53" s="5225"/>
      <c r="AG53" s="212"/>
      <c r="AH53" s="331"/>
      <c r="AI53" s="331" t="s">
        <v>541</v>
      </c>
      <c r="AJ53" s="1271"/>
      <c r="AK53" s="1271"/>
      <c r="AL53" s="1271"/>
      <c r="AM53" s="1271"/>
      <c r="AN53" s="1271"/>
      <c r="AO53" s="1368"/>
      <c r="AP53" s="1271"/>
      <c r="AQ53" s="1271"/>
      <c r="AR53" s="1271"/>
      <c r="AS53" s="1271"/>
      <c r="AT53" s="1268"/>
      <c r="AU53" s="5372"/>
      <c r="AW53" s="408"/>
      <c r="AX53" s="408"/>
      <c r="AY53" s="408"/>
      <c r="AZ53" s="408"/>
    </row>
    <row r="54" spans="1:52" ht="11.25" customHeight="1">
      <c r="A54" s="1241" t="s">
        <v>215</v>
      </c>
      <c r="B54" s="1241" t="s">
        <v>216</v>
      </c>
      <c r="C54" s="1241" t="s">
        <v>217</v>
      </c>
      <c r="D54" s="1241" t="s">
        <v>218</v>
      </c>
      <c r="E54" s="5377"/>
      <c r="F54" s="5377"/>
      <c r="G54" s="5377"/>
      <c r="H54" s="5377"/>
      <c r="I54" s="5397"/>
      <c r="J54" s="5397"/>
      <c r="K54" s="5374"/>
      <c r="L54" s="1242"/>
      <c r="P54" s="5375"/>
      <c r="Q54" s="5375"/>
      <c r="R54" s="274"/>
      <c r="S54" s="5428"/>
      <c r="T54" s="5431"/>
      <c r="U54" s="218"/>
      <c r="V54" s="1271"/>
      <c r="W54" s="1272" t="str">
        <f>X51&amp;"-"&amp;Z51</f>
        <v>-</v>
      </c>
      <c r="X54" s="1271"/>
      <c r="Y54" s="1271"/>
      <c r="Z54" s="1271"/>
      <c r="AA54" s="1271"/>
      <c r="AB54" s="5225"/>
      <c r="AC54" s="230"/>
      <c r="AD54" s="232"/>
      <c r="AE54" s="331" t="s">
        <v>542</v>
      </c>
      <c r="AF54" s="1271"/>
      <c r="AG54" s="1271"/>
      <c r="AH54" s="1271"/>
      <c r="AI54" s="1271"/>
      <c r="AJ54" s="1271"/>
      <c r="AK54" s="1271"/>
      <c r="AL54" s="1271"/>
      <c r="AM54" s="1271"/>
      <c r="AN54" s="1271"/>
      <c r="AO54" s="1272" t="str">
        <f>AP51&amp;"-"&amp;AR51</f>
        <v>-</v>
      </c>
      <c r="AP54" s="1271"/>
      <c r="AQ54" s="1271"/>
      <c r="AR54" s="1271"/>
      <c r="AS54" s="1271"/>
      <c r="AT54" s="1228"/>
      <c r="AU54" s="5372"/>
      <c r="AW54" s="408"/>
      <c r="AX54" s="408" t="str">
        <f t="shared" ref="AX54:AX62" si="3">IF(T54="","",T54)</f>
        <v/>
      </c>
      <c r="AY54" s="408"/>
      <c r="AZ54" s="408"/>
    </row>
    <row r="55" spans="1:52" ht="11.25" customHeight="1">
      <c r="A55" s="1241" t="s">
        <v>215</v>
      </c>
      <c r="B55" s="1241" t="s">
        <v>216</v>
      </c>
      <c r="C55" s="1241" t="s">
        <v>217</v>
      </c>
      <c r="D55" s="1241" t="s">
        <v>218</v>
      </c>
      <c r="E55" s="5377"/>
      <c r="F55" s="5377"/>
      <c r="G55" s="5377"/>
      <c r="H55" s="5377"/>
      <c r="I55" s="5397"/>
      <c r="J55" s="5374"/>
      <c r="K55" s="1241"/>
      <c r="L55" s="1242"/>
      <c r="P55" s="5375"/>
      <c r="Q55" s="5375"/>
      <c r="R55" s="273"/>
      <c r="S55" s="1161"/>
      <c r="T55" s="205" t="s">
        <v>543</v>
      </c>
      <c r="U55" s="283"/>
      <c r="V55" s="283"/>
      <c r="W55" s="283"/>
      <c r="X55" s="283"/>
      <c r="Y55" s="283"/>
      <c r="Z55" s="283"/>
      <c r="AA55" s="242"/>
      <c r="AB55" s="1377"/>
      <c r="AC55" s="283"/>
      <c r="AD55" s="283"/>
      <c r="AE55" s="283"/>
      <c r="AF55" s="283"/>
      <c r="AG55" s="283"/>
      <c r="AH55" s="283"/>
      <c r="AI55" s="283"/>
      <c r="AJ55" s="283"/>
      <c r="AK55" s="283"/>
      <c r="AL55" s="283"/>
      <c r="AM55" s="283"/>
      <c r="AN55" s="283"/>
      <c r="AO55" s="283"/>
      <c r="AP55" s="283"/>
      <c r="AQ55" s="283"/>
      <c r="AR55" s="283"/>
      <c r="AS55" s="283"/>
      <c r="AT55" s="242"/>
      <c r="AU55" s="5373"/>
      <c r="AW55" s="408"/>
      <c r="AX55" s="408" t="str">
        <f t="shared" si="3"/>
        <v>Добавить строку</v>
      </c>
      <c r="AY55" s="408"/>
      <c r="AZ55" s="408"/>
    </row>
    <row r="56" spans="1:52" s="4856" customFormat="1" ht="5.25" customHeight="1">
      <c r="A56" s="1222" t="s">
        <v>215</v>
      </c>
      <c r="B56" s="1222" t="s">
        <v>216</v>
      </c>
      <c r="C56" s="1222" t="s">
        <v>217</v>
      </c>
      <c r="D56" s="1222" t="s">
        <v>218</v>
      </c>
      <c r="E56" s="5377"/>
      <c r="F56" s="5377"/>
      <c r="G56" s="5377"/>
      <c r="H56" s="5377"/>
      <c r="I56" s="5374"/>
      <c r="J56" s="1222"/>
      <c r="K56" s="1222"/>
      <c r="L56" s="1225"/>
      <c r="M56" s="418"/>
      <c r="N56" s="418"/>
      <c r="O56" s="418"/>
      <c r="P56" s="5375"/>
      <c r="Q56" s="1210"/>
      <c r="R56" s="273"/>
      <c r="S56" s="1264"/>
      <c r="T56" s="1265" t="s">
        <v>490</v>
      </c>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AU56" s="1267"/>
      <c r="AW56" s="408"/>
      <c r="AX56" s="408" t="str">
        <f t="shared" si="3"/>
        <v>Добавить группу потребителей</v>
      </c>
      <c r="AY56" s="408"/>
      <c r="AZ56" s="408"/>
    </row>
    <row r="57" spans="1:52" s="4840" customFormat="1" ht="5.25" customHeight="1">
      <c r="A57" s="1222" t="s">
        <v>215</v>
      </c>
      <c r="B57" s="1222" t="s">
        <v>216</v>
      </c>
      <c r="C57" s="1222" t="s">
        <v>217</v>
      </c>
      <c r="D57" s="1222" t="s">
        <v>218</v>
      </c>
      <c r="E57" s="5377"/>
      <c r="F57" s="5377"/>
      <c r="G57" s="5377"/>
      <c r="H57" s="5376"/>
      <c r="I57" s="1222"/>
      <c r="J57" s="1222"/>
      <c r="K57" s="1222"/>
      <c r="L57" s="1225"/>
      <c r="M57" s="1195"/>
      <c r="N57" s="1195"/>
      <c r="O57" s="426"/>
      <c r="P57" s="296"/>
      <c r="Q57" s="1223"/>
      <c r="R57" s="1278"/>
      <c r="S57" s="1264"/>
      <c r="T57" s="1265"/>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AU57" s="1267"/>
      <c r="AV57" s="419"/>
      <c r="AW57" s="408"/>
      <c r="AX57" s="408" t="str">
        <f t="shared" si="3"/>
        <v/>
      </c>
      <c r="AY57" s="408"/>
      <c r="AZ57" s="408"/>
    </row>
    <row r="58" spans="1:52" s="4853" customFormat="1" ht="5.25" customHeight="1">
      <c r="A58" s="1222" t="s">
        <v>215</v>
      </c>
      <c r="B58" s="1222" t="s">
        <v>216</v>
      </c>
      <c r="C58" s="1222" t="s">
        <v>217</v>
      </c>
      <c r="D58" s="1194"/>
      <c r="E58" s="5377"/>
      <c r="F58" s="5377"/>
      <c r="G58" s="5376"/>
      <c r="H58" s="1194"/>
      <c r="I58" s="1194"/>
      <c r="J58" s="1194"/>
      <c r="K58" s="1194"/>
      <c r="L58" s="1218"/>
      <c r="M58" s="1195"/>
      <c r="N58" s="1195"/>
      <c r="P58" s="1196"/>
      <c r="Q58" s="1197"/>
      <c r="R58" s="1196"/>
      <c r="S58" s="1202"/>
      <c r="T58" s="1205" t="s">
        <v>492</v>
      </c>
      <c r="U58" s="1204"/>
      <c r="V58" s="1204"/>
      <c r="W58" s="1204"/>
      <c r="X58" s="1204"/>
      <c r="Y58" s="1204"/>
      <c r="Z58" s="1204"/>
      <c r="AA58" s="1204"/>
      <c r="AB58" s="1204"/>
      <c r="AC58" s="1204"/>
      <c r="AD58" s="1204"/>
      <c r="AE58" s="1204"/>
      <c r="AF58" s="1204"/>
      <c r="AG58" s="1204"/>
      <c r="AH58" s="1204"/>
      <c r="AI58" s="1204"/>
      <c r="AJ58" s="1204"/>
      <c r="AK58" s="1204"/>
      <c r="AL58" s="1204"/>
      <c r="AM58" s="1204"/>
      <c r="AN58" s="1204"/>
      <c r="AO58" s="1204"/>
      <c r="AP58" s="1204"/>
      <c r="AQ58" s="1204"/>
      <c r="AR58" s="1204"/>
      <c r="AS58" s="1204"/>
      <c r="AT58" s="1204"/>
      <c r="AU58" s="1204"/>
      <c r="AW58" s="688"/>
      <c r="AX58" s="688" t="str">
        <f t="shared" si="3"/>
        <v>Добавить источник для дифференциации</v>
      </c>
      <c r="AY58" s="688"/>
      <c r="AZ58" s="688"/>
    </row>
    <row r="59" spans="1:52" s="4853" customFormat="1" ht="5.25" customHeight="1">
      <c r="A59" s="1222" t="s">
        <v>215</v>
      </c>
      <c r="B59" s="1222" t="s">
        <v>216</v>
      </c>
      <c r="C59" s="1194"/>
      <c r="D59" s="1194"/>
      <c r="E59" s="5377"/>
      <c r="F59" s="5376"/>
      <c r="G59" s="1194"/>
      <c r="H59" s="1194"/>
      <c r="I59" s="1194"/>
      <c r="J59" s="1194"/>
      <c r="K59" s="1194"/>
      <c r="L59" s="1218"/>
      <c r="M59" s="1201"/>
      <c r="N59" s="1201"/>
      <c r="P59" s="1196"/>
      <c r="Q59" s="1197"/>
      <c r="R59" s="1196"/>
      <c r="S59" s="1202"/>
      <c r="T59" s="1205" t="s">
        <v>271</v>
      </c>
      <c r="U59" s="1204"/>
      <c r="V59" s="1204"/>
      <c r="W59" s="1204"/>
      <c r="X59" s="1204"/>
      <c r="Y59" s="1204"/>
      <c r="Z59" s="1204"/>
      <c r="AA59" s="1204"/>
      <c r="AB59" s="1204"/>
      <c r="AC59" s="1204"/>
      <c r="AD59" s="1204"/>
      <c r="AE59" s="1204"/>
      <c r="AF59" s="1204"/>
      <c r="AG59" s="1204"/>
      <c r="AH59" s="1204"/>
      <c r="AI59" s="1204"/>
      <c r="AJ59" s="1204"/>
      <c r="AK59" s="1204"/>
      <c r="AL59" s="1204"/>
      <c r="AM59" s="1204"/>
      <c r="AN59" s="1204"/>
      <c r="AO59" s="1204"/>
      <c r="AP59" s="1204"/>
      <c r="AQ59" s="1204"/>
      <c r="AR59" s="1204"/>
      <c r="AS59" s="1204"/>
      <c r="AT59" s="1204"/>
      <c r="AU59" s="1204"/>
      <c r="AW59" s="688"/>
      <c r="AX59" s="688" t="str">
        <f t="shared" si="3"/>
        <v>Добавить централизованную систему для дифференциации</v>
      </c>
      <c r="AY59" s="688"/>
      <c r="AZ59" s="688"/>
    </row>
    <row r="60" spans="1:52" s="4856" customFormat="1" ht="5.25" customHeight="1">
      <c r="A60" s="1222" t="s">
        <v>215</v>
      </c>
      <c r="B60" s="1222"/>
      <c r="C60" s="1222"/>
      <c r="D60" s="1222"/>
      <c r="E60" s="5377"/>
      <c r="F60" s="1222"/>
      <c r="G60" s="1222"/>
      <c r="H60" s="1222"/>
      <c r="I60" s="1222"/>
      <c r="J60" s="1222"/>
      <c r="K60" s="1222"/>
      <c r="L60" s="1225"/>
      <c r="M60" s="1201"/>
      <c r="N60" s="1201"/>
      <c r="O60" s="426"/>
      <c r="P60" s="296"/>
      <c r="Q60" s="1223"/>
      <c r="R60" s="296"/>
      <c r="S60" s="1202"/>
      <c r="T60" s="1205" t="s">
        <v>330</v>
      </c>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W60" s="408"/>
      <c r="AX60" s="408" t="str">
        <f t="shared" si="3"/>
        <v>Добавить территорию для дифференциации</v>
      </c>
      <c r="AY60" s="408"/>
      <c r="AZ60" s="408"/>
    </row>
    <row r="61" spans="1:52" s="4856" customFormat="1" ht="5.25" customHeight="1">
      <c r="A61" s="1222" t="s">
        <v>215</v>
      </c>
      <c r="B61" s="1222"/>
      <c r="C61" s="1222"/>
      <c r="D61" s="1222"/>
      <c r="E61" s="5376"/>
      <c r="F61" s="1222"/>
      <c r="G61" s="1222"/>
      <c r="H61" s="1222"/>
      <c r="I61" s="1222"/>
      <c r="J61" s="1222"/>
      <c r="K61" s="1222"/>
      <c r="L61" s="1225"/>
      <c r="M61" s="1201"/>
      <c r="N61" s="1201"/>
      <c r="O61" s="426"/>
      <c r="P61" s="296"/>
      <c r="Q61" s="1223"/>
      <c r="R61" s="296"/>
      <c r="S61" s="1202"/>
      <c r="T61" s="1205" t="s">
        <v>330</v>
      </c>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1204"/>
      <c r="AW61" s="408"/>
      <c r="AX61" s="408" t="str">
        <f t="shared" si="3"/>
        <v>Добавить территорию для дифференциации</v>
      </c>
      <c r="AY61" s="408"/>
      <c r="AZ61" s="408"/>
    </row>
    <row r="62" spans="1:52" s="4853" customFormat="1" ht="5.25" customHeight="1">
      <c r="A62" s="1194"/>
      <c r="B62" s="1194"/>
      <c r="C62" s="1194"/>
      <c r="D62" s="1194"/>
      <c r="E62" s="1222"/>
      <c r="F62" s="1194"/>
      <c r="G62" s="1194"/>
      <c r="H62" s="1194"/>
      <c r="I62" s="1194"/>
      <c r="J62" s="1194"/>
      <c r="K62" s="1194"/>
      <c r="L62" s="1218"/>
      <c r="M62" s="1201"/>
      <c r="N62" s="1201"/>
      <c r="P62" s="1196"/>
      <c r="Q62" s="1197"/>
      <c r="R62" s="1196"/>
      <c r="S62" s="1202"/>
      <c r="T62" s="1205" t="s">
        <v>331</v>
      </c>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W62" s="688"/>
      <c r="AX62" s="688" t="str">
        <f t="shared" si="3"/>
        <v>Добавить наименование тарифа</v>
      </c>
      <c r="AY62" s="688"/>
      <c r="AZ62" s="688"/>
    </row>
    <row r="63" spans="1:52" ht="11.25" customHeight="1">
      <c r="M63" s="1042"/>
      <c r="N63" s="1042"/>
      <c r="O63" s="444"/>
      <c r="P63" s="1042"/>
      <c r="Q63" s="1042"/>
      <c r="R63" s="1037"/>
      <c r="S63" s="1037"/>
      <c r="AV63" s="1037"/>
      <c r="AW63" s="1037"/>
      <c r="AX63" s="1037"/>
      <c r="AY63" s="1037"/>
      <c r="AZ63" s="1037"/>
    </row>
    <row r="64" spans="1:52" ht="18.75" customHeight="1">
      <c r="O64" s="444"/>
      <c r="S64" s="1136"/>
      <c r="T64" s="5396"/>
      <c r="U64" s="5396"/>
      <c r="V64" s="5396"/>
      <c r="W64" s="5396"/>
      <c r="X64" s="5396"/>
      <c r="Y64" s="5396"/>
      <c r="Z64" s="5396"/>
      <c r="AA64" s="5396"/>
      <c r="AB64" s="5396"/>
      <c r="AC64" s="5396"/>
      <c r="AD64" s="5396"/>
      <c r="AE64" s="5396"/>
      <c r="AF64" s="5396"/>
      <c r="AG64" s="5396"/>
      <c r="AH64" s="5396"/>
      <c r="AI64" s="5396"/>
      <c r="AJ64" s="5396"/>
      <c r="AK64" s="5396"/>
      <c r="AL64" s="5396"/>
      <c r="AM64" s="5396"/>
      <c r="AN64" s="5396"/>
      <c r="AO64" s="5396"/>
      <c r="AP64" s="5396"/>
      <c r="AQ64" s="5396"/>
      <c r="AR64" s="5396"/>
      <c r="AS64" s="5396"/>
      <c r="AT64" s="5396"/>
      <c r="AU64" s="5396"/>
    </row>
    <row r="65" spans="15:47" ht="19.5" customHeight="1">
      <c r="O65" s="444"/>
      <c r="T65" s="5396"/>
      <c r="U65" s="5396"/>
      <c r="V65" s="5396"/>
      <c r="W65" s="5396"/>
      <c r="X65" s="5396"/>
      <c r="Y65" s="5396"/>
      <c r="Z65" s="5396"/>
      <c r="AA65" s="5396"/>
      <c r="AB65" s="5396"/>
      <c r="AC65" s="5396"/>
      <c r="AD65" s="5396"/>
      <c r="AE65" s="5396"/>
      <c r="AF65" s="5396"/>
      <c r="AG65" s="5396"/>
      <c r="AH65" s="5396"/>
      <c r="AI65" s="5396"/>
      <c r="AJ65" s="5396"/>
      <c r="AK65" s="5396"/>
      <c r="AL65" s="5396"/>
      <c r="AM65" s="5396"/>
      <c r="AN65" s="5396"/>
      <c r="AO65" s="5396"/>
      <c r="AP65" s="5396"/>
      <c r="AQ65" s="5396"/>
      <c r="AR65" s="5396"/>
      <c r="AS65" s="5396"/>
      <c r="AT65" s="5396"/>
      <c r="AU65" s="5396"/>
    </row>
    <row r="66" spans="15:47" ht="14.25" customHeight="1">
      <c r="O66" s="444"/>
      <c r="T66" s="1212"/>
      <c r="U66" s="1212"/>
      <c r="V66" s="1212"/>
      <c r="W66" s="1212"/>
      <c r="X66" s="1212"/>
      <c r="Y66" s="1212"/>
      <c r="Z66" s="1212"/>
      <c r="AA66" s="1212"/>
      <c r="AB66" s="1212"/>
      <c r="AC66" s="1212"/>
      <c r="AD66" s="1212"/>
      <c r="AE66" s="1212"/>
      <c r="AF66" s="1212"/>
      <c r="AG66" s="1212"/>
      <c r="AH66" s="1212"/>
      <c r="AI66" s="1212"/>
      <c r="AJ66" s="1212"/>
      <c r="AK66" s="1212"/>
      <c r="AL66" s="1212"/>
      <c r="AM66" s="1212"/>
      <c r="AN66" s="1212"/>
      <c r="AO66" s="1212"/>
      <c r="AP66" s="1212"/>
      <c r="AQ66" s="1212"/>
      <c r="AR66" s="1212"/>
      <c r="AS66" s="1212"/>
      <c r="AT66" s="1212"/>
      <c r="AU66" s="1212"/>
    </row>
    <row r="67" spans="15:47" ht="18.75" customHeight="1">
      <c r="O67" s="444"/>
      <c r="T67" s="5396"/>
      <c r="U67" s="5396"/>
      <c r="V67" s="5396"/>
      <c r="W67" s="5396"/>
      <c r="X67" s="5396"/>
      <c r="Y67" s="5396"/>
      <c r="Z67" s="5396"/>
      <c r="AA67" s="5396"/>
      <c r="AB67" s="5396"/>
      <c r="AC67" s="5396"/>
      <c r="AD67" s="5396"/>
      <c r="AE67" s="5396"/>
      <c r="AF67" s="5396"/>
      <c r="AG67" s="5396"/>
      <c r="AH67" s="5396"/>
      <c r="AI67" s="5396"/>
      <c r="AJ67" s="5396"/>
      <c r="AK67" s="5396"/>
      <c r="AL67" s="5396"/>
      <c r="AM67" s="5396"/>
      <c r="AN67" s="5396"/>
      <c r="AO67" s="5396"/>
      <c r="AP67" s="5396"/>
      <c r="AQ67" s="5396"/>
      <c r="AR67" s="5396"/>
      <c r="AS67" s="5396"/>
      <c r="AT67" s="5396"/>
      <c r="AU67" s="5396"/>
    </row>
    <row r="68" spans="15:47" ht="15.75" customHeight="1">
      <c r="O68" s="444"/>
      <c r="T68" s="5396"/>
      <c r="U68" s="5396"/>
      <c r="V68" s="5396"/>
      <c r="W68" s="5396"/>
      <c r="X68" s="5396"/>
      <c r="Y68" s="5396"/>
      <c r="Z68" s="5396"/>
      <c r="AA68" s="5396"/>
      <c r="AB68" s="5396"/>
      <c r="AC68" s="5396"/>
      <c r="AD68" s="5396"/>
      <c r="AE68" s="5396"/>
      <c r="AF68" s="5396"/>
      <c r="AG68" s="5396"/>
      <c r="AH68" s="5396"/>
      <c r="AI68" s="5396"/>
      <c r="AJ68" s="5396"/>
      <c r="AK68" s="5396"/>
      <c r="AL68" s="5396"/>
      <c r="AM68" s="5396"/>
      <c r="AN68" s="5396"/>
      <c r="AO68" s="5396"/>
      <c r="AP68" s="5396"/>
      <c r="AQ68" s="5396"/>
      <c r="AR68" s="5396"/>
      <c r="AS68" s="5396"/>
      <c r="AT68" s="5396"/>
      <c r="AU68" s="5396"/>
    </row>
    <row r="69" spans="15:47" ht="14.25" customHeight="1">
      <c r="O69" s="444"/>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4.140625" style="4854" hidden="1" customWidth="1"/>
    <col min="10" max="10" width="9.85546875" style="4854" hidden="1" customWidth="1"/>
    <col min="11" max="11" width="14.7109375" style="4854" hidden="1" customWidth="1"/>
    <col min="12" max="12" width="19.140625" style="4875" hidden="1" customWidth="1"/>
    <col min="13" max="14" width="12.28515625" style="4858" hidden="1" customWidth="1"/>
    <col min="15" max="15" width="23.42578125" style="4858" hidden="1" customWidth="1"/>
    <col min="16" max="16" width="3.7109375" style="4876" customWidth="1"/>
    <col min="17" max="18" width="3.7109375" style="4860" customWidth="1"/>
    <col min="19" max="19" width="12.7109375" style="4861" customWidth="1"/>
    <col min="20" max="20" width="35.7109375" style="4862" customWidth="1"/>
    <col min="21" max="21" width="0.140625" style="4862" customWidth="1"/>
    <col min="22" max="24" width="24.7109375" style="4862" hidden="1" customWidth="1"/>
    <col min="25" max="25" width="11.7109375" style="4862" hidden="1" customWidth="1"/>
    <col min="26" max="26" width="3.7109375" style="4862" hidden="1" customWidth="1"/>
    <col min="27" max="27" width="11.7109375" style="4862" hidden="1" customWidth="1"/>
    <col min="28" max="28" width="8.5703125" style="4862" hidden="1" customWidth="1"/>
    <col min="29" max="31" width="24.7109375" style="4862" customWidth="1"/>
    <col min="32" max="32" width="11.7109375" style="4862" customWidth="1"/>
    <col min="33" max="33" width="3.7109375" style="4862" customWidth="1"/>
    <col min="34" max="34" width="11.7109375" style="4862" customWidth="1"/>
    <col min="35" max="35" width="8.5703125" style="4862" hidden="1" customWidth="1"/>
    <col min="36" max="36" width="4.7109375" style="4862" customWidth="1"/>
    <col min="37" max="37" width="115.7109375" style="4862" customWidth="1"/>
    <col min="38" max="39" width="10.5703125" style="4856"/>
    <col min="40" max="40" width="11.140625" style="4856" customWidth="1"/>
    <col min="41" max="42" width="10.5703125" style="4856"/>
  </cols>
  <sheetData>
    <row r="1" spans="1:42" ht="14.25" hidden="1" customHeight="1">
      <c r="X1" s="245"/>
      <c r="Y1" s="245"/>
      <c r="AE1" s="245"/>
      <c r="AF1" s="245"/>
    </row>
    <row r="2" spans="1:42" ht="23.25" hidden="1" customHeight="1">
      <c r="A2" s="1241"/>
      <c r="B2" s="1241"/>
      <c r="C2" s="1241"/>
      <c r="D2" s="1241"/>
      <c r="E2" s="5376">
        <v>1</v>
      </c>
      <c r="F2" s="1241"/>
      <c r="G2" s="1241"/>
      <c r="H2" s="1241"/>
      <c r="I2" s="1241"/>
      <c r="J2" s="1241"/>
      <c r="K2" s="1241"/>
      <c r="L2" s="1242"/>
      <c r="M2" s="1243"/>
      <c r="N2" s="1243"/>
      <c r="O2" s="1243"/>
      <c r="P2" s="278"/>
      <c r="Q2" s="277"/>
      <c r="R2" s="272"/>
      <c r="S2" s="1302" t="e">
        <f>INDEX(PT_DIFFERENTIATION_NUM_NTAR,MATCH(A2,PT_DIFFERENTIATION_NTAR_ID,0))</f>
        <v>#N/A</v>
      </c>
      <c r="T2" s="216" t="s">
        <v>141</v>
      </c>
      <c r="U2" s="218"/>
      <c r="V2" s="5362"/>
      <c r="W2" s="5363"/>
      <c r="X2" s="5363"/>
      <c r="Y2" s="5363"/>
      <c r="Z2" s="5363"/>
      <c r="AA2" s="5363"/>
      <c r="AB2" s="5364"/>
      <c r="AC2" s="5362" t="e">
        <f>INDEX(PT_DIFFERENTIATION_NTAR,MATCH(A2,PT_DIFFERENTIATION_NTAR_ID,0))</f>
        <v>#N/A</v>
      </c>
      <c r="AD2" s="5363"/>
      <c r="AE2" s="5363"/>
      <c r="AF2" s="5363"/>
      <c r="AG2" s="5363"/>
      <c r="AH2" s="5363"/>
      <c r="AI2" s="5363"/>
      <c r="AJ2" s="5364"/>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1"/>
      <c r="B3" s="1241"/>
      <c r="C3" s="1241"/>
      <c r="D3" s="1241"/>
      <c r="E3" s="5377"/>
      <c r="F3" s="5376">
        <v>1</v>
      </c>
      <c r="G3" s="1241"/>
      <c r="H3" s="1241"/>
      <c r="I3" s="1241"/>
      <c r="J3" s="1241"/>
      <c r="K3" s="1241"/>
      <c r="L3" s="1242"/>
      <c r="M3" s="1243"/>
      <c r="N3" s="1243"/>
      <c r="O3" s="1243"/>
      <c r="P3" s="1300"/>
      <c r="Q3" s="269"/>
      <c r="R3" s="270"/>
      <c r="S3" s="1302" t="e">
        <f>INDEX(PT_DIFFERENTIATION_NUM_TER,MATCH(B3,PT_DIFFERENTIATION_TER_ID,0))</f>
        <v>#N/A</v>
      </c>
      <c r="T3" s="226" t="s">
        <v>475</v>
      </c>
      <c r="U3" s="218"/>
      <c r="V3" s="5362"/>
      <c r="W3" s="5363"/>
      <c r="X3" s="5363"/>
      <c r="Y3" s="5363"/>
      <c r="Z3" s="5363"/>
      <c r="AA3" s="5363"/>
      <c r="AB3" s="5364"/>
      <c r="AC3" s="5362" t="e">
        <f>INDEX(PT_DIFFERENTIATION_TER,MATCH(B3,PT_DIFFERENTIATION_TER_ID,0))</f>
        <v>#N/A</v>
      </c>
      <c r="AD3" s="5363"/>
      <c r="AE3" s="5363"/>
      <c r="AF3" s="5363"/>
      <c r="AG3" s="5363"/>
      <c r="AH3" s="5363"/>
      <c r="AI3" s="5363"/>
      <c r="AJ3" s="5364"/>
      <c r="AK3" s="1141" t="s">
        <v>476</v>
      </c>
      <c r="AM3" s="408"/>
      <c r="AN3" s="408" t="str">
        <f t="shared" si="0"/>
        <v>Территория действия тарифа</v>
      </c>
      <c r="AO3" s="408"/>
      <c r="AP3" s="408"/>
    </row>
    <row r="4" spans="1:42" ht="23.25" hidden="1" customHeight="1">
      <c r="A4" s="1241"/>
      <c r="B4" s="1241"/>
      <c r="C4" s="1241"/>
      <c r="D4" s="1241"/>
      <c r="E4" s="5377"/>
      <c r="F4" s="5377"/>
      <c r="G4" s="5376">
        <v>1</v>
      </c>
      <c r="H4" s="1241"/>
      <c r="I4" s="1241"/>
      <c r="J4" s="1241"/>
      <c r="K4" s="1241"/>
      <c r="L4" s="1242"/>
      <c r="M4" s="1243"/>
      <c r="N4" s="1243"/>
      <c r="O4" s="1243"/>
      <c r="P4" s="271"/>
      <c r="Q4" s="269"/>
      <c r="R4" s="270"/>
      <c r="S4" s="1302" t="e">
        <f>INDEX(PT_DIFFERENTIATION_NUM_CS,MATCH(C4,PT_DIFFERENTIATION_CS_ID,0))</f>
        <v>#N/A</v>
      </c>
      <c r="T4" s="227" t="s">
        <v>557</v>
      </c>
      <c r="U4" s="218"/>
      <c r="V4" s="5362"/>
      <c r="W4" s="5363"/>
      <c r="X4" s="5363"/>
      <c r="Y4" s="5363"/>
      <c r="Z4" s="5363"/>
      <c r="AA4" s="5363"/>
      <c r="AB4" s="5364"/>
      <c r="AC4" s="5362" t="e">
        <f>INDEX(PT_DIFFERENTIATION_CS,MATCH(C4,PT_DIFFERENTIATION_CS_ID,0))</f>
        <v>#N/A</v>
      </c>
      <c r="AD4" s="5363"/>
      <c r="AE4" s="5363"/>
      <c r="AF4" s="5363"/>
      <c r="AG4" s="5363"/>
      <c r="AH4" s="5363"/>
      <c r="AI4" s="5363"/>
      <c r="AJ4" s="5364"/>
      <c r="AK4" s="1141" t="s">
        <v>558</v>
      </c>
      <c r="AM4" s="408"/>
      <c r="AN4" s="408" t="str">
        <f t="shared" si="0"/>
        <v>Наименование централизованной системы холодного водоснабжения</v>
      </c>
      <c r="AO4" s="408"/>
      <c r="AP4" s="408"/>
    </row>
    <row r="5" spans="1:42" ht="23.25" hidden="1" customHeight="1">
      <c r="A5" s="1241"/>
      <c r="B5" s="1241"/>
      <c r="C5" s="1241"/>
      <c r="D5" s="1241"/>
      <c r="E5" s="5377"/>
      <c r="F5" s="5377"/>
      <c r="G5" s="5377"/>
      <c r="H5" s="5377"/>
      <c r="I5" s="5374" t="e">
        <f>S4&amp;".1"</f>
        <v>#N/A</v>
      </c>
      <c r="J5" s="1241"/>
      <c r="K5" s="1241"/>
      <c r="L5" s="1242"/>
      <c r="P5" s="5375">
        <v>1</v>
      </c>
      <c r="Q5" s="1299"/>
      <c r="R5" s="273"/>
      <c r="S5" s="1302" t="e">
        <f>$I5</f>
        <v>#N/A</v>
      </c>
      <c r="T5" s="203" t="s">
        <v>559</v>
      </c>
      <c r="U5" s="218"/>
      <c r="V5" s="5435"/>
      <c r="W5" s="5436"/>
      <c r="X5" s="5436"/>
      <c r="Y5" s="5436"/>
      <c r="Z5" s="5436"/>
      <c r="AA5" s="5436"/>
      <c r="AB5" s="5437"/>
      <c r="AC5" s="5438"/>
      <c r="AD5" s="5439"/>
      <c r="AE5" s="5439"/>
      <c r="AF5" s="5439"/>
      <c r="AG5" s="5439"/>
      <c r="AH5" s="5439"/>
      <c r="AI5" s="5439"/>
      <c r="AJ5" s="5440"/>
      <c r="AK5" s="1141" t="s">
        <v>560</v>
      </c>
      <c r="AM5" s="408"/>
      <c r="AN5" s="408" t="str">
        <f t="shared" si="0"/>
        <v>Наименование признака дифференциации</v>
      </c>
      <c r="AO5" s="408"/>
      <c r="AP5" s="408"/>
    </row>
    <row r="6" spans="1:42" ht="23.25" hidden="1" customHeight="1">
      <c r="A6" s="1241"/>
      <c r="B6" s="1241"/>
      <c r="C6" s="1241"/>
      <c r="D6" s="1241"/>
      <c r="E6" s="5377"/>
      <c r="F6" s="5377"/>
      <c r="G6" s="5377"/>
      <c r="H6" s="5377"/>
      <c r="I6" s="5397"/>
      <c r="J6" s="5374" t="e">
        <f>I5&amp;".1"</f>
        <v>#N/A</v>
      </c>
      <c r="K6" s="1241"/>
      <c r="L6" s="1242" t="s">
        <v>484</v>
      </c>
      <c r="P6" s="5375"/>
      <c r="Q6" s="5375">
        <v>1</v>
      </c>
      <c r="R6" s="274"/>
      <c r="S6" s="1302" t="e">
        <f>$J6</f>
        <v>#N/A</v>
      </c>
      <c r="T6" s="204" t="s">
        <v>485</v>
      </c>
      <c r="U6" s="218"/>
      <c r="V6" s="5365"/>
      <c r="W6" s="5366"/>
      <c r="X6" s="5366"/>
      <c r="Y6" s="5366"/>
      <c r="Z6" s="5366"/>
      <c r="AA6" s="5366"/>
      <c r="AB6" s="5367"/>
      <c r="AC6" s="5365"/>
      <c r="AD6" s="5366"/>
      <c r="AE6" s="5366"/>
      <c r="AF6" s="5366"/>
      <c r="AG6" s="5366"/>
      <c r="AH6" s="5366"/>
      <c r="AI6" s="5366"/>
      <c r="AJ6" s="5367"/>
      <c r="AK6" s="1188" t="s">
        <v>561</v>
      </c>
      <c r="AM6" s="408"/>
      <c r="AN6" s="408" t="str">
        <f t="shared" si="0"/>
        <v>Группа потребителей</v>
      </c>
      <c r="AO6" s="408"/>
      <c r="AP6" s="408"/>
    </row>
    <row r="7" spans="1:42" ht="23.25" hidden="1" customHeight="1">
      <c r="A7" s="1241"/>
      <c r="B7" s="1241"/>
      <c r="C7" s="1241"/>
      <c r="D7" s="1241"/>
      <c r="E7" s="5377"/>
      <c r="F7" s="5377"/>
      <c r="G7" s="5377"/>
      <c r="H7" s="5377"/>
      <c r="I7" s="5397"/>
      <c r="J7" s="5397"/>
      <c r="K7" s="5374" t="e">
        <f>J6&amp;".1"</f>
        <v>#N/A</v>
      </c>
      <c r="L7" s="1242"/>
      <c r="P7" s="5375"/>
      <c r="Q7" s="5375"/>
      <c r="R7" s="274">
        <v>1</v>
      </c>
      <c r="S7" s="1302" t="e">
        <f>$K7</f>
        <v>#N/A</v>
      </c>
      <c r="T7" s="1314"/>
      <c r="U7" s="218"/>
      <c r="V7" s="650"/>
      <c r="W7" s="650"/>
      <c r="X7" s="1140"/>
      <c r="Y7" s="5379"/>
      <c r="Z7" s="5225" t="s">
        <v>64</v>
      </c>
      <c r="AA7" s="5379"/>
      <c r="AB7" s="5225" t="s">
        <v>64</v>
      </c>
      <c r="AC7" s="650"/>
      <c r="AD7" s="650"/>
      <c r="AE7" s="1140"/>
      <c r="AF7" s="5379"/>
      <c r="AG7" s="5225" t="s">
        <v>64</v>
      </c>
      <c r="AH7" s="5398"/>
      <c r="AI7" s="5225" t="s">
        <v>64</v>
      </c>
      <c r="AJ7" s="1315"/>
      <c r="AK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1"/>
      <c r="B8" s="1241"/>
      <c r="C8" s="1241"/>
      <c r="D8" s="1241"/>
      <c r="E8" s="5377"/>
      <c r="F8" s="5377"/>
      <c r="G8" s="5377"/>
      <c r="H8" s="5377"/>
      <c r="I8" s="5397"/>
      <c r="J8" s="5397"/>
      <c r="K8" s="5374"/>
      <c r="L8" s="1242"/>
      <c r="P8" s="5375"/>
      <c r="Q8" s="5375"/>
      <c r="R8" s="274"/>
      <c r="S8" s="1301"/>
      <c r="T8" s="218"/>
      <c r="U8" s="218"/>
      <c r="V8" s="243"/>
      <c r="W8" s="243"/>
      <c r="X8" s="246" t="str">
        <f>Y7&amp;"-"&amp;AA7</f>
        <v>-</v>
      </c>
      <c r="Y8" s="5380"/>
      <c r="Z8" s="5225"/>
      <c r="AA8" s="5380"/>
      <c r="AB8" s="5225"/>
      <c r="AC8" s="243"/>
      <c r="AD8" s="243"/>
      <c r="AE8" s="246" t="str">
        <f>AF7&amp;"-"&amp;AH7</f>
        <v>-</v>
      </c>
      <c r="AF8" s="5380"/>
      <c r="AG8" s="5225"/>
      <c r="AH8" s="5399"/>
      <c r="AI8" s="5225"/>
      <c r="AJ8" s="1316"/>
      <c r="AK8" s="5434"/>
      <c r="AM8" s="408"/>
      <c r="AN8" s="408" t="str">
        <f t="shared" si="0"/>
        <v/>
      </c>
      <c r="AO8" s="408"/>
      <c r="AP8" s="408"/>
    </row>
    <row r="9" spans="1:42" ht="21" hidden="1" customHeight="1">
      <c r="A9" s="1241"/>
      <c r="B9" s="1241"/>
      <c r="C9" s="1241"/>
      <c r="D9" s="1241"/>
      <c r="E9" s="5377"/>
      <c r="F9" s="5377"/>
      <c r="G9" s="5377"/>
      <c r="H9" s="5377"/>
      <c r="I9" s="5397"/>
      <c r="J9" s="5374"/>
      <c r="K9" s="1241"/>
      <c r="L9" s="1242"/>
      <c r="P9" s="5375"/>
      <c r="Q9" s="5375"/>
      <c r="R9" s="273"/>
      <c r="S9" s="1161"/>
      <c r="T9" s="205" t="s">
        <v>562</v>
      </c>
      <c r="U9" s="283"/>
      <c r="V9" s="283"/>
      <c r="W9" s="283"/>
      <c r="X9" s="283"/>
      <c r="Y9" s="283"/>
      <c r="Z9" s="283"/>
      <c r="AA9" s="283"/>
      <c r="AB9" s="283"/>
      <c r="AC9" s="283"/>
      <c r="AD9" s="283"/>
      <c r="AE9" s="283"/>
      <c r="AF9" s="283"/>
      <c r="AG9" s="283"/>
      <c r="AH9" s="283"/>
      <c r="AI9" s="283"/>
      <c r="AJ9" s="283"/>
      <c r="AK9" s="1141" t="s">
        <v>563</v>
      </c>
      <c r="AM9" s="408"/>
      <c r="AN9" s="408" t="str">
        <f t="shared" si="0"/>
        <v>Добавить значение признака дифференциации</v>
      </c>
      <c r="AO9" s="408"/>
      <c r="AP9" s="408"/>
    </row>
    <row r="10" spans="1:42" ht="21" hidden="1" customHeight="1">
      <c r="A10" s="1241"/>
      <c r="B10" s="1241"/>
      <c r="C10" s="1241"/>
      <c r="D10" s="1241"/>
      <c r="E10" s="5377"/>
      <c r="F10" s="5377"/>
      <c r="G10" s="5377"/>
      <c r="H10" s="5377"/>
      <c r="I10" s="5374"/>
      <c r="J10" s="1241"/>
      <c r="K10" s="1241"/>
      <c r="L10" s="1242"/>
      <c r="P10" s="5375"/>
      <c r="Q10" s="1299"/>
      <c r="R10" s="273"/>
      <c r="S10" s="1161"/>
      <c r="T10" s="281" t="s">
        <v>490</v>
      </c>
      <c r="U10" s="283"/>
      <c r="V10" s="283"/>
      <c r="W10" s="283"/>
      <c r="X10" s="283"/>
      <c r="Y10" s="283"/>
      <c r="Z10" s="283"/>
      <c r="AA10" s="283"/>
      <c r="AB10" s="282"/>
      <c r="AC10" s="283"/>
      <c r="AD10" s="283"/>
      <c r="AE10" s="283"/>
      <c r="AF10" s="283"/>
      <c r="AG10" s="283"/>
      <c r="AH10" s="283"/>
      <c r="AI10" s="282"/>
      <c r="AJ10" s="283"/>
      <c r="AK10" s="1317"/>
      <c r="AM10" s="408"/>
      <c r="AN10" s="408" t="str">
        <f t="shared" si="0"/>
        <v>Добавить группу потребителей</v>
      </c>
      <c r="AO10" s="408"/>
      <c r="AP10" s="408"/>
    </row>
    <row r="11" spans="1:42" ht="14.25" hidden="1" customHeight="1">
      <c r="A11" s="1241"/>
      <c r="B11" s="1241"/>
      <c r="C11" s="1241"/>
      <c r="D11" s="1241"/>
      <c r="E11" s="5377"/>
      <c r="F11" s="5377"/>
      <c r="G11" s="5377"/>
      <c r="H11" s="5376"/>
      <c r="I11" s="1241"/>
      <c r="J11" s="1241"/>
      <c r="K11" s="1241"/>
      <c r="L11" s="1242"/>
      <c r="M11" s="1243"/>
      <c r="N11" s="1243"/>
      <c r="O11" s="444"/>
      <c r="P11" s="277"/>
      <c r="Q11" s="291"/>
      <c r="R11" s="272"/>
      <c r="S11" s="1161"/>
      <c r="T11" s="288" t="s">
        <v>564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4853" customFormat="1" ht="14.25" hidden="1" customHeight="1">
      <c r="A12" s="1222"/>
      <c r="B12" s="1222"/>
      <c r="C12" s="1194"/>
      <c r="D12" s="1194"/>
      <c r="E12" s="5377"/>
      <c r="F12" s="5376"/>
      <c r="G12" s="1194"/>
      <c r="H12" s="1194"/>
      <c r="I12" s="1194"/>
      <c r="J12" s="1194"/>
      <c r="K12" s="1194"/>
      <c r="L12" s="1303"/>
      <c r="M12" s="1201"/>
      <c r="N12" s="1201"/>
      <c r="P12" s="1196"/>
      <c r="Q12" s="1197"/>
      <c r="R12" s="1196"/>
      <c r="S12" s="1202"/>
      <c r="T12" s="1205" t="s">
        <v>271</v>
      </c>
      <c r="U12" s="1204"/>
      <c r="V12" s="1204"/>
      <c r="W12" s="1204"/>
      <c r="X12" s="1204"/>
      <c r="Y12" s="1204"/>
      <c r="Z12" s="1204"/>
      <c r="AA12" s="1204"/>
      <c r="AB12" s="1204"/>
      <c r="AC12" s="1204"/>
      <c r="AD12" s="1204"/>
      <c r="AE12" s="1204"/>
      <c r="AF12" s="1204"/>
      <c r="AG12" s="1204"/>
      <c r="AH12" s="1204"/>
      <c r="AI12" s="1204"/>
      <c r="AJ12" s="1204"/>
      <c r="AK12" s="1204"/>
      <c r="AM12" s="688"/>
      <c r="AN12" s="688" t="str">
        <f t="shared" si="0"/>
        <v>Добавить централизованную систему для дифференциации</v>
      </c>
      <c r="AO12" s="688"/>
      <c r="AP12" s="688"/>
    </row>
    <row r="13" spans="1:42" s="4856" customFormat="1" ht="14.25" hidden="1" customHeight="1">
      <c r="A13" s="1222"/>
      <c r="B13" s="1222"/>
      <c r="C13" s="1222"/>
      <c r="D13" s="1222"/>
      <c r="E13" s="5376"/>
      <c r="F13" s="1222"/>
      <c r="G13" s="1222"/>
      <c r="H13" s="1222"/>
      <c r="I13" s="1222"/>
      <c r="J13" s="1222"/>
      <c r="K13" s="1222"/>
      <c r="L13" s="1225"/>
      <c r="M13" s="1201"/>
      <c r="N13" s="1201"/>
      <c r="O13" s="426"/>
      <c r="P13" s="296"/>
      <c r="Q13" s="1223"/>
      <c r="R13" s="296"/>
      <c r="S13" s="1202"/>
      <c r="T13" s="1205" t="s">
        <v>330</v>
      </c>
      <c r="U13" s="1204"/>
      <c r="V13" s="1204"/>
      <c r="W13" s="1204"/>
      <c r="X13" s="1204"/>
      <c r="Y13" s="1204"/>
      <c r="Z13" s="1204"/>
      <c r="AA13" s="1204"/>
      <c r="AB13" s="1204"/>
      <c r="AC13" s="1204"/>
      <c r="AD13" s="1204"/>
      <c r="AE13" s="1204"/>
      <c r="AF13" s="1204"/>
      <c r="AG13" s="1204"/>
      <c r="AH13" s="1204"/>
      <c r="AI13" s="1204"/>
      <c r="AJ13" s="1204"/>
      <c r="AK13" s="1204"/>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8"/>
      <c r="AD15" s="1238"/>
      <c r="AE15" s="1239"/>
      <c r="AF15" s="5381"/>
      <c r="AG15" s="5382" t="s">
        <v>64</v>
      </c>
      <c r="AH15" s="5381"/>
      <c r="AI15" s="5382" t="s">
        <v>64</v>
      </c>
    </row>
    <row r="16" spans="1:42" ht="14.25" hidden="1" customHeight="1">
      <c r="AC16" s="1238"/>
      <c r="AD16" s="1238"/>
      <c r="AE16" s="246" t="str">
        <f>AF15&amp;"-"&amp;AH15</f>
        <v>-</v>
      </c>
      <c r="AF16" s="5382"/>
      <c r="AG16" s="5382"/>
      <c r="AH16" s="5382"/>
      <c r="AI16" s="5382"/>
    </row>
    <row r="17" spans="1:42" ht="14.25" hidden="1" customHeight="1">
      <c r="AI17" s="245"/>
    </row>
    <row r="18" spans="1:42" s="4854" customFormat="1" ht="22.5" hidden="1" customHeight="1">
      <c r="L18" s="1298"/>
      <c r="M18" s="1240"/>
      <c r="N18" s="1240"/>
      <c r="O18" s="1245" t="s">
        <v>493</v>
      </c>
      <c r="P18" s="1240"/>
      <c r="Q18" s="1249"/>
      <c r="R18" s="1249"/>
      <c r="S18" s="630"/>
      <c r="Y18" s="1245"/>
      <c r="AA18" s="1245"/>
      <c r="AB18" s="1244"/>
      <c r="AF18" s="1245"/>
      <c r="AH18" s="1245"/>
      <c r="AI18" s="1244"/>
      <c r="AL18" s="419"/>
      <c r="AM18" s="419"/>
      <c r="AN18" s="419"/>
      <c r="AO18" s="419"/>
      <c r="AP18" s="419"/>
    </row>
    <row r="19" spans="1:42" s="4854" customFormat="1" ht="14.25" hidden="1" customHeight="1">
      <c r="L19" s="1298"/>
      <c r="M19" s="1240"/>
      <c r="N19" s="1240"/>
      <c r="O19" s="1240"/>
      <c r="P19" s="1240"/>
      <c r="Q19" s="1249"/>
      <c r="R19" s="1249"/>
      <c r="S19" s="630"/>
      <c r="AB19" s="1244"/>
      <c r="AI19" s="1244"/>
      <c r="AL19" s="419"/>
      <c r="AM19" s="419"/>
      <c r="AN19" s="419"/>
      <c r="AO19" s="419"/>
      <c r="AP19" s="419"/>
    </row>
    <row r="20" spans="1:42" s="4854" customFormat="1" ht="12" hidden="1" customHeight="1">
      <c r="L20" s="1298"/>
      <c r="M20" s="1240"/>
      <c r="N20" s="1240"/>
      <c r="O20" s="1242" t="s">
        <v>494</v>
      </c>
      <c r="P20" s="1240"/>
      <c r="Q20" s="1318"/>
      <c r="R20" s="1318"/>
      <c r="S20" s="630"/>
      <c r="T20" s="1042" t="s">
        <v>495</v>
      </c>
      <c r="Z20" s="108" t="s">
        <v>496</v>
      </c>
      <c r="AB20" s="108" t="s">
        <v>497</v>
      </c>
      <c r="AC20" s="1042" t="s">
        <v>495</v>
      </c>
      <c r="AG20" s="108" t="s">
        <v>498</v>
      </c>
      <c r="AI20" s="108" t="s">
        <v>497</v>
      </c>
    </row>
    <row r="21" spans="1:42" ht="14.25" hidden="1" customHeight="1">
      <c r="O21" s="1242"/>
    </row>
    <row r="22" spans="1:42" ht="14.25" hidden="1" customHeight="1">
      <c r="O22" s="1242"/>
    </row>
    <row r="23" spans="1:42" ht="14.25" customHeight="1">
      <c r="Q23" s="292"/>
      <c r="R23" s="292"/>
      <c r="S23" s="1158"/>
      <c r="T23" s="280"/>
      <c r="U23" s="280"/>
      <c r="V23" s="417"/>
      <c r="W23" s="417"/>
      <c r="X23" s="417"/>
      <c r="Y23" s="417"/>
      <c r="Z23" s="417"/>
      <c r="AA23" s="417"/>
      <c r="AB23" s="417"/>
      <c r="AC23" s="417"/>
      <c r="AD23" s="417"/>
      <c r="AE23" s="417"/>
      <c r="AF23" s="417"/>
      <c r="AG23" s="417"/>
      <c r="AH23" s="417"/>
      <c r="AI23" s="417"/>
    </row>
    <row r="24" spans="1:42" ht="14.25" customHeight="1">
      <c r="Q24" s="292"/>
      <c r="R24" s="292"/>
      <c r="S24" s="53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60"/>
      <c r="U24" s="5360"/>
      <c r="V24" s="5360"/>
      <c r="W24" s="5360"/>
      <c r="X24" s="5360"/>
      <c r="Y24" s="5360"/>
      <c r="Z24" s="5360"/>
      <c r="AA24" s="5360"/>
      <c r="AB24" s="5360"/>
      <c r="AC24" s="5360"/>
      <c r="AD24" s="5360"/>
      <c r="AE24" s="5360"/>
      <c r="AF24" s="5360"/>
      <c r="AG24" s="5360"/>
      <c r="AH24" s="5360"/>
      <c r="AI24" s="1126"/>
    </row>
    <row r="25" spans="1:42" ht="14.25" customHeight="1">
      <c r="Q25" s="292"/>
      <c r="R25" s="292"/>
      <c r="S25" s="5308" t="str">
        <f>IF(org=0,"Не определено",org)</f>
        <v>ООО «Газпром теплоэнерго МО»</v>
      </c>
      <c r="T25" s="5308"/>
      <c r="U25" s="5308"/>
      <c r="V25" s="5308"/>
      <c r="W25" s="5308"/>
      <c r="X25" s="5308"/>
      <c r="Y25" s="5308"/>
      <c r="Z25" s="5308"/>
      <c r="AA25" s="5308"/>
      <c r="AB25" s="5308"/>
      <c r="AC25" s="5308"/>
      <c r="AD25" s="5308"/>
      <c r="AE25" s="5308"/>
      <c r="AF25" s="5308"/>
      <c r="AG25" s="5308"/>
      <c r="AH25" s="5308"/>
      <c r="AI25" s="1126"/>
    </row>
    <row r="26" spans="1:42" ht="14.25" customHeight="1">
      <c r="Q26" s="292"/>
      <c r="R26" s="292"/>
      <c r="S26" s="1158"/>
      <c r="T26" s="280"/>
      <c r="U26" s="280"/>
      <c r="V26" s="240"/>
      <c r="W26" s="240"/>
      <c r="X26" s="240"/>
      <c r="Y26" s="240"/>
      <c r="Z26" s="240"/>
      <c r="AA26" s="240"/>
      <c r="AB26" s="240"/>
      <c r="AC26" s="240"/>
      <c r="AD26" s="240"/>
      <c r="AE26" s="240"/>
      <c r="AF26" s="240"/>
      <c r="AG26" s="240"/>
      <c r="AH26" s="240"/>
      <c r="AI26" s="240"/>
      <c r="AJ26" s="417"/>
    </row>
    <row r="27" spans="1:42" s="4855" customFormat="1" ht="25.5" customHeight="1">
      <c r="A27" s="1246"/>
      <c r="B27" s="1246"/>
      <c r="C27" s="1246"/>
      <c r="D27" s="1246"/>
      <c r="E27" s="1246"/>
      <c r="F27" s="1246"/>
      <c r="G27" s="1246"/>
      <c r="H27" s="1246"/>
      <c r="I27" s="1246"/>
      <c r="J27" s="1246"/>
      <c r="K27" s="1246"/>
      <c r="L27" s="1247"/>
      <c r="M27" s="1246"/>
      <c r="N27" s="1246"/>
      <c r="O27" s="1246"/>
      <c r="S27" s="5368" t="s">
        <v>38</v>
      </c>
      <c r="T27" s="5368"/>
      <c r="U27" s="1250"/>
      <c r="V27" s="5369" t="str">
        <f>IF(TITLE_NAME_OR_PR_CHANGE="",IF(TITLE_NAME_OR_PR="","",TITLE_NAME_OR_PR),TITLE_NAME_OR_PR_CHANGE)</f>
        <v>Комитет по ценам и тарифам Московской области</v>
      </c>
      <c r="W27" s="5369"/>
      <c r="X27" s="5369"/>
      <c r="Y27" s="5369"/>
      <c r="Z27" s="5369"/>
      <c r="AA27" s="5369"/>
      <c r="AB27" s="244"/>
      <c r="AC27" s="5369" t="str">
        <f>IF(TITLE_NAME_OR_PR_CHANGE="",IF(TITLE_NAME_OR_PR="","",TITLE_NAME_OR_PR),TITLE_NAME_OR_PR_CHANGE)</f>
        <v>Комитет по ценам и тарифам Московской области</v>
      </c>
      <c r="AD27" s="5369"/>
      <c r="AE27" s="5369"/>
      <c r="AF27" s="5369"/>
      <c r="AG27" s="5369"/>
      <c r="AH27" s="5369"/>
      <c r="AI27" s="244"/>
      <c r="AJ27" s="244"/>
      <c r="AK27" s="199"/>
      <c r="AL27" s="284"/>
      <c r="AM27" s="284"/>
      <c r="AN27" s="284"/>
      <c r="AO27" s="284"/>
      <c r="AP27" s="284"/>
    </row>
    <row r="28" spans="1:42" s="4855" customFormat="1" ht="18.75" customHeight="1">
      <c r="A28" s="1246"/>
      <c r="B28" s="1246"/>
      <c r="C28" s="1246"/>
      <c r="D28" s="1246"/>
      <c r="E28" s="1246"/>
      <c r="F28" s="1246"/>
      <c r="G28" s="1246"/>
      <c r="H28" s="1246"/>
      <c r="I28" s="1246"/>
      <c r="J28" s="1246"/>
      <c r="K28" s="1246"/>
      <c r="L28" s="1247"/>
      <c r="M28" s="1246"/>
      <c r="N28" s="1246"/>
      <c r="O28" s="1246"/>
      <c r="S28" s="5368" t="s">
        <v>499</v>
      </c>
      <c r="T28" s="5368"/>
      <c r="U28" s="1250"/>
      <c r="V28" s="5378">
        <f>IF(TITLE_DATE_PR_CHANGE="",IF(TITLE_DATE_PR="","",TITLE_DATE_PR),TITLE_DATE_PR_CHANGE)</f>
        <v>45280</v>
      </c>
      <c r="W28" s="5378"/>
      <c r="X28" s="5378"/>
      <c r="Y28" s="5378"/>
      <c r="Z28" s="5378"/>
      <c r="AA28" s="5378"/>
      <c r="AB28" s="244"/>
      <c r="AC28" s="5378">
        <f>IF(TITLE_DATE_PR_CHANGE="",IF(TITLE_DATE_PR="","",TITLE_DATE_PR),TITLE_DATE_PR_CHANGE)</f>
        <v>45280</v>
      </c>
      <c r="AD28" s="5378"/>
      <c r="AE28" s="5378"/>
      <c r="AF28" s="5378"/>
      <c r="AG28" s="5378"/>
      <c r="AH28" s="5378"/>
      <c r="AI28" s="244"/>
      <c r="AJ28" s="244"/>
      <c r="AK28" s="199"/>
      <c r="AL28" s="284"/>
      <c r="AM28" s="284"/>
      <c r="AN28" s="284"/>
      <c r="AO28" s="284"/>
      <c r="AP28" s="284"/>
    </row>
    <row r="29" spans="1:42" s="4855" customFormat="1" ht="18.75" customHeight="1">
      <c r="A29" s="1246"/>
      <c r="B29" s="1246"/>
      <c r="C29" s="1246"/>
      <c r="D29" s="1246"/>
      <c r="E29" s="1246"/>
      <c r="F29" s="1246"/>
      <c r="G29" s="1246"/>
      <c r="H29" s="1246"/>
      <c r="I29" s="1246"/>
      <c r="J29" s="1246"/>
      <c r="K29" s="1246"/>
      <c r="L29" s="1247"/>
      <c r="M29" s="1246"/>
      <c r="N29" s="1246"/>
      <c r="O29" s="1246"/>
      <c r="S29" s="5368" t="s">
        <v>500</v>
      </c>
      <c r="T29" s="5368"/>
      <c r="U29" s="1250"/>
      <c r="V29" s="5369" t="str">
        <f>IF(TITLE_NUMBER_PR_CHANGE="",IF(TITLE_NUMBER_PR="","",TITLE_NUMBER_PR),TITLE_NUMBER_PR_CHANGE)</f>
        <v>317-Р</v>
      </c>
      <c r="W29" s="5369"/>
      <c r="X29" s="5369"/>
      <c r="Y29" s="5369"/>
      <c r="Z29" s="5369"/>
      <c r="AA29" s="5369"/>
      <c r="AB29" s="244"/>
      <c r="AC29" s="5369" t="str">
        <f>IF(TITLE_NUMBER_PR_CHANGE="",IF(TITLE_NUMBER_PR="","",TITLE_NUMBER_PR),TITLE_NUMBER_PR_CHANGE)</f>
        <v>317-Р</v>
      </c>
      <c r="AD29" s="5369"/>
      <c r="AE29" s="5369"/>
      <c r="AF29" s="5369"/>
      <c r="AG29" s="5369"/>
      <c r="AH29" s="5369"/>
      <c r="AI29" s="244"/>
      <c r="AJ29" s="244"/>
      <c r="AK29" s="199"/>
      <c r="AL29" s="284"/>
      <c r="AM29" s="284"/>
      <c r="AN29" s="284"/>
      <c r="AO29" s="284"/>
      <c r="AP29" s="284"/>
    </row>
    <row r="30" spans="1:42" s="4855" customFormat="1" ht="18.75" customHeight="1">
      <c r="A30" s="1246"/>
      <c r="B30" s="1246"/>
      <c r="C30" s="1246"/>
      <c r="D30" s="1246"/>
      <c r="E30" s="1246"/>
      <c r="F30" s="1246"/>
      <c r="G30" s="1246"/>
      <c r="H30" s="1246"/>
      <c r="I30" s="1246"/>
      <c r="J30" s="1246"/>
      <c r="K30" s="1246"/>
      <c r="L30" s="1247"/>
      <c r="M30" s="1246"/>
      <c r="N30" s="1246"/>
      <c r="O30" s="1246"/>
      <c r="S30" s="5368" t="s">
        <v>40</v>
      </c>
      <c r="T30" s="5368"/>
      <c r="U30" s="1250"/>
      <c r="V30" s="5369" t="str">
        <f>IF(TITLE_IST_PUB_CHANGE="",IF(TITLE_IST_PUB="","",TITLE_IST_PUB),TITLE_IST_PUB_CHANGE)</f>
        <v>https://ktc.mosreg.ru/dokumenty/normotvorchestvo/rasporyazheniya/gosudarstvennoe-regulirovanie-tarifov-na-teplovuyu-energiyu-raspor/29-12-2023-16-47-50-rasporyazhenie-komiteta-po-tsenam-i-tarifam-moskov</v>
      </c>
      <c r="W30" s="5369"/>
      <c r="X30" s="5369"/>
      <c r="Y30" s="5369"/>
      <c r="Z30" s="5369"/>
      <c r="AA30" s="5369"/>
      <c r="AB30" s="244"/>
      <c r="AC30" s="5369" t="str">
        <f>IF(TITLE_IST_PUB_CHANGE="",IF(TITLE_IST_PUB="","",TITLE_IST_PUB),TITLE_IST_PUB_CHANGE)</f>
        <v>https://ktc.mosreg.ru/dokumenty/normotvorchestvo/rasporyazheniya/gosudarstvennoe-regulirovanie-tarifov-na-teplovuyu-energiyu-raspor/29-12-2023-16-47-50-rasporyazhenie-komiteta-po-tsenam-i-tarifam-moskov</v>
      </c>
      <c r="AD30" s="5369"/>
      <c r="AE30" s="5369"/>
      <c r="AF30" s="5369"/>
      <c r="AG30" s="5369"/>
      <c r="AH30" s="5369"/>
      <c r="AI30" s="244"/>
      <c r="AJ30" s="244"/>
      <c r="AK30" s="199"/>
      <c r="AL30" s="284"/>
      <c r="AM30" s="284"/>
      <c r="AN30" s="284"/>
      <c r="AO30" s="284"/>
      <c r="AP30" s="284"/>
    </row>
    <row r="31" spans="1:42" ht="14.25" hidden="1" customHeight="1">
      <c r="Q31" s="292"/>
      <c r="R31" s="292"/>
      <c r="S31" s="1158"/>
      <c r="T31" s="280"/>
      <c r="U31" s="280"/>
      <c r="V31" s="240"/>
      <c r="W31" s="240"/>
      <c r="X31" s="240"/>
      <c r="Y31" s="240"/>
      <c r="Z31" s="240"/>
      <c r="AA31" s="240"/>
      <c r="AB31" s="240"/>
      <c r="AC31" s="240"/>
      <c r="AD31" s="240"/>
      <c r="AE31" s="240"/>
      <c r="AF31" s="240"/>
      <c r="AG31" s="240"/>
      <c r="AH31" s="240"/>
      <c r="AI31" s="240"/>
      <c r="AJ31" s="417"/>
    </row>
    <row r="32" spans="1:42" s="4855" customFormat="1" ht="18.75" hidden="1" customHeight="1">
      <c r="A32" s="1246"/>
      <c r="B32" s="1246"/>
      <c r="C32" s="1246"/>
      <c r="D32" s="1246"/>
      <c r="E32" s="1246"/>
      <c r="F32" s="1246"/>
      <c r="G32" s="1246"/>
      <c r="H32" s="1246"/>
      <c r="I32" s="1246"/>
      <c r="J32" s="1246"/>
      <c r="K32" s="1246"/>
      <c r="L32" s="1247"/>
      <c r="M32" s="1246"/>
      <c r="N32" s="1246"/>
      <c r="O32" s="1246"/>
      <c r="S32" s="5368" t="s">
        <v>501</v>
      </c>
      <c r="T32" s="5368"/>
      <c r="U32" s="1250"/>
      <c r="V32" s="5378">
        <f>IF(TITLE_DATE_PR_CHANGE="",IF(TITLE_DATE_PR="","",TITLE_DATE_PR),TITLE_DATE_PR_CHANGE)</f>
        <v>45280</v>
      </c>
      <c r="W32" s="5378"/>
      <c r="X32" s="5378"/>
      <c r="Y32" s="5378"/>
      <c r="Z32" s="5378"/>
      <c r="AA32" s="5378"/>
      <c r="AB32" s="244"/>
      <c r="AC32" s="5378">
        <f>IF(TITLE_DATE_PR_CHANGE="",IF(TITLE_DATE_PR="","",TITLE_DATE_PR),TITLE_DATE_PR_CHANGE)</f>
        <v>45280</v>
      </c>
      <c r="AD32" s="5378"/>
      <c r="AE32" s="5378"/>
      <c r="AF32" s="5378"/>
      <c r="AG32" s="5378"/>
      <c r="AH32" s="5378"/>
      <c r="AI32" s="244"/>
      <c r="AJ32" s="244"/>
      <c r="AK32" s="199"/>
      <c r="AL32" s="284"/>
      <c r="AM32" s="284"/>
      <c r="AN32" s="284"/>
      <c r="AO32" s="284"/>
      <c r="AP32" s="284"/>
    </row>
    <row r="33" spans="1:42" s="4855" customFormat="1" ht="18.75" hidden="1" customHeight="1">
      <c r="A33" s="1246"/>
      <c r="B33" s="1246"/>
      <c r="C33" s="1246"/>
      <c r="D33" s="1246"/>
      <c r="E33" s="1246"/>
      <c r="F33" s="1246"/>
      <c r="G33" s="1246"/>
      <c r="H33" s="1246"/>
      <c r="I33" s="1246"/>
      <c r="J33" s="1246"/>
      <c r="K33" s="1246"/>
      <c r="L33" s="1247"/>
      <c r="M33" s="1246"/>
      <c r="N33" s="1246"/>
      <c r="O33" s="1246"/>
      <c r="S33" s="5368" t="s">
        <v>502</v>
      </c>
      <c r="T33" s="5368"/>
      <c r="U33" s="1250"/>
      <c r="V33" s="5369" t="str">
        <f>IF(TITLE_NUMBER_PR_CHANGE="",IF(TITLE_NUMBER_PR="","",TITLE_NUMBER_PR),TITLE_NUMBER_PR_CHANGE)</f>
        <v>317-Р</v>
      </c>
      <c r="W33" s="5369"/>
      <c r="X33" s="5369"/>
      <c r="Y33" s="5369"/>
      <c r="Z33" s="5369"/>
      <c r="AA33" s="5369"/>
      <c r="AB33" s="244"/>
      <c r="AC33" s="5369" t="str">
        <f>IF(TITLE_NUMBER_PR_CHANGE="",IF(TITLE_NUMBER_PR="","",TITLE_NUMBER_PR),TITLE_NUMBER_PR_CHANGE)</f>
        <v>317-Р</v>
      </c>
      <c r="AD33" s="5369"/>
      <c r="AE33" s="5369"/>
      <c r="AF33" s="5369"/>
      <c r="AG33" s="5369"/>
      <c r="AH33" s="5369"/>
      <c r="AI33" s="244"/>
      <c r="AJ33" s="244"/>
      <c r="AK33" s="199"/>
      <c r="AL33" s="284"/>
      <c r="AM33" s="284"/>
      <c r="AN33" s="284"/>
      <c r="AO33" s="284"/>
      <c r="AP33" s="284"/>
    </row>
    <row r="34" spans="1:42" s="4855" customFormat="1" ht="0.75" customHeight="1">
      <c r="A34" s="1246"/>
      <c r="B34" s="1246"/>
      <c r="C34" s="1246"/>
      <c r="D34" s="1246"/>
      <c r="E34" s="1246"/>
      <c r="F34" s="1246"/>
      <c r="G34" s="1246"/>
      <c r="H34" s="1246"/>
      <c r="I34" s="1246"/>
      <c r="J34" s="1246"/>
      <c r="K34" s="1246"/>
      <c r="L34" s="1247"/>
      <c r="M34" s="1246"/>
      <c r="N34" s="1246"/>
      <c r="O34" s="1246"/>
      <c r="S34" s="241"/>
      <c r="T34" s="241"/>
      <c r="U34" s="1233"/>
      <c r="V34" s="244"/>
      <c r="W34" s="244"/>
      <c r="X34" s="244"/>
      <c r="Y34" s="244"/>
      <c r="Z34" s="244"/>
      <c r="AA34" s="244"/>
      <c r="AB34" s="197" t="s">
        <v>503</v>
      </c>
      <c r="AC34" s="244"/>
      <c r="AD34" s="244"/>
      <c r="AE34" s="244"/>
      <c r="AF34" s="244"/>
      <c r="AG34" s="244"/>
      <c r="AH34" s="244"/>
      <c r="AI34" s="197" t="s">
        <v>503</v>
      </c>
      <c r="AL34" s="284"/>
      <c r="AM34" s="284"/>
      <c r="AN34" s="284"/>
      <c r="AO34" s="284"/>
      <c r="AP34" s="284"/>
    </row>
    <row r="35" spans="1:42" ht="14.25" customHeight="1">
      <c r="Q35" s="292"/>
      <c r="R35" s="292"/>
      <c r="S35" s="1158"/>
      <c r="T35" s="280"/>
      <c r="U35" s="1127"/>
      <c r="V35" s="5370"/>
      <c r="W35" s="5370"/>
      <c r="X35" s="5370"/>
      <c r="Y35" s="5370"/>
      <c r="Z35" s="5370"/>
      <c r="AA35" s="5370"/>
      <c r="AB35" s="5370"/>
      <c r="AC35" s="5370"/>
      <c r="AD35" s="5370"/>
      <c r="AE35" s="5370"/>
      <c r="AF35" s="5370"/>
      <c r="AG35" s="5370"/>
      <c r="AH35" s="5370"/>
      <c r="AI35" s="5370"/>
    </row>
    <row r="36" spans="1:42" ht="14.25" customHeight="1">
      <c r="Q36" s="292"/>
      <c r="R36" s="292"/>
      <c r="S36" s="5244" t="s">
        <v>378</v>
      </c>
      <c r="T36" s="5244"/>
      <c r="U36" s="5244"/>
      <c r="V36" s="5244"/>
      <c r="W36" s="5244"/>
      <c r="X36" s="5244"/>
      <c r="Y36" s="5244"/>
      <c r="Z36" s="5244"/>
      <c r="AA36" s="5244"/>
      <c r="AB36" s="5244"/>
      <c r="AC36" s="5244"/>
      <c r="AD36" s="5244"/>
      <c r="AE36" s="5244"/>
      <c r="AF36" s="5244"/>
      <c r="AG36" s="5244"/>
      <c r="AH36" s="5244"/>
      <c r="AI36" s="5244"/>
      <c r="AJ36" s="5244"/>
      <c r="AK36" s="5244" t="s">
        <v>379</v>
      </c>
    </row>
    <row r="37" spans="1:42" ht="14.25" customHeight="1">
      <c r="Q37" s="292"/>
      <c r="R37" s="292"/>
      <c r="S37" s="5384" t="s">
        <v>85</v>
      </c>
      <c r="T37" s="5336" t="s">
        <v>504</v>
      </c>
      <c r="U37" s="219"/>
      <c r="V37" s="5385" t="s">
        <v>505</v>
      </c>
      <c r="W37" s="5386"/>
      <c r="X37" s="5386"/>
      <c r="Y37" s="5386"/>
      <c r="Z37" s="5386"/>
      <c r="AA37" s="5387"/>
      <c r="AB37" s="5388" t="s">
        <v>506</v>
      </c>
      <c r="AC37" s="5385" t="s">
        <v>505</v>
      </c>
      <c r="AD37" s="5386"/>
      <c r="AE37" s="5386"/>
      <c r="AF37" s="5386"/>
      <c r="AG37" s="5386"/>
      <c r="AH37" s="5387"/>
      <c r="AI37" s="5388" t="s">
        <v>507</v>
      </c>
      <c r="AJ37" s="5391" t="s">
        <v>508</v>
      </c>
      <c r="AK37" s="5244"/>
    </row>
    <row r="38" spans="1:42" ht="33.75" customHeight="1">
      <c r="Q38" s="292"/>
      <c r="R38" s="292"/>
      <c r="S38" s="5384"/>
      <c r="T38" s="5336"/>
      <c r="U38" s="920"/>
      <c r="V38" s="1230" t="s">
        <v>565</v>
      </c>
      <c r="W38" s="5215" t="s">
        <v>511</v>
      </c>
      <c r="X38" s="5214"/>
      <c r="Y38" s="5215" t="s">
        <v>512</v>
      </c>
      <c r="Z38" s="5220"/>
      <c r="AA38" s="5214"/>
      <c r="AB38" s="5389"/>
      <c r="AC38" s="1230" t="s">
        <v>565</v>
      </c>
      <c r="AD38" s="5215" t="s">
        <v>511</v>
      </c>
      <c r="AE38" s="5214"/>
      <c r="AF38" s="5215" t="s">
        <v>512</v>
      </c>
      <c r="AG38" s="5220"/>
      <c r="AH38" s="5214"/>
      <c r="AI38" s="5389"/>
      <c r="AJ38" s="5392"/>
      <c r="AK38" s="5244"/>
    </row>
    <row r="39" spans="1:42" ht="33.75" customHeight="1">
      <c r="A39" s="1248"/>
      <c r="B39" s="1248" t="s">
        <v>153</v>
      </c>
      <c r="C39" s="1248" t="s">
        <v>154</v>
      </c>
      <c r="D39" s="1248" t="s">
        <v>155</v>
      </c>
      <c r="E39" s="1242" t="s">
        <v>513</v>
      </c>
      <c r="F39" s="1242" t="s">
        <v>514</v>
      </c>
      <c r="G39" s="1242" t="s">
        <v>515</v>
      </c>
      <c r="H39" s="1242"/>
      <c r="I39" s="1242" t="s">
        <v>566</v>
      </c>
      <c r="J39" s="1242" t="s">
        <v>518</v>
      </c>
      <c r="K39" s="1242" t="s">
        <v>567</v>
      </c>
      <c r="L39" s="1242" t="s">
        <v>494</v>
      </c>
      <c r="Q39" s="292"/>
      <c r="R39" s="292"/>
      <c r="S39" s="5384"/>
      <c r="T39" s="5336"/>
      <c r="U39" s="220"/>
      <c r="V39" s="1230" t="s">
        <v>568</v>
      </c>
      <c r="W39" s="1105" t="s">
        <v>569</v>
      </c>
      <c r="X39" s="1105" t="s">
        <v>570</v>
      </c>
      <c r="Y39" s="1235" t="s">
        <v>522</v>
      </c>
      <c r="Z39" s="5344" t="s">
        <v>523</v>
      </c>
      <c r="AA39" s="5346"/>
      <c r="AB39" s="5390"/>
      <c r="AC39" s="1230" t="s">
        <v>568</v>
      </c>
      <c r="AD39" s="1105" t="s">
        <v>569</v>
      </c>
      <c r="AE39" s="1105" t="s">
        <v>570</v>
      </c>
      <c r="AF39" s="1235" t="s">
        <v>522</v>
      </c>
      <c r="AG39" s="5344" t="s">
        <v>523</v>
      </c>
      <c r="AH39" s="5346"/>
      <c r="AI39" s="5390"/>
      <c r="AJ39" s="5393"/>
      <c r="AK39" s="5244"/>
    </row>
    <row r="40" spans="1:42" s="4840" customFormat="1" ht="11.25"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129</v>
      </c>
      <c r="T40" s="1138" t="s">
        <v>100</v>
      </c>
      <c r="U40" s="1128" t="str">
        <f ca="1">OFFSET(U40,0,-1)</f>
        <v>2</v>
      </c>
      <c r="V40" s="1231">
        <f ca="1">OFFSET(V40,0,-1)+1</f>
        <v>3</v>
      </c>
      <c r="W40" s="1231">
        <f ca="1">OFFSET(W40,0,-1)+1</f>
        <v>4</v>
      </c>
      <c r="X40" s="1231">
        <f ca="1">OFFSET(X40,0,-1)+1</f>
        <v>5</v>
      </c>
      <c r="Y40" s="1231">
        <f ca="1">OFFSET(Y40,0,-1)+1</f>
        <v>6</v>
      </c>
      <c r="Z40" s="5383">
        <f ca="1">OFFSET(Z40,0,-1)+1</f>
        <v>7</v>
      </c>
      <c r="AA40" s="5383"/>
      <c r="AB40" s="1231">
        <f ca="1">OFFSET(AB40,0,-2)+1</f>
        <v>8</v>
      </c>
      <c r="AC40" s="1231">
        <f ca="1">OFFSET(AC40,0,-1)+1</f>
        <v>9</v>
      </c>
      <c r="AD40" s="1231">
        <f ca="1">OFFSET(AD40,0,-1)+1</f>
        <v>10</v>
      </c>
      <c r="AE40" s="1231">
        <f ca="1">OFFSET(AE40,0,-1)+1</f>
        <v>11</v>
      </c>
      <c r="AF40" s="1231">
        <f ca="1">OFFSET(AF40,0,-1)+1</f>
        <v>12</v>
      </c>
      <c r="AG40" s="5383">
        <f ca="1">OFFSET(AG40,0,-1)+1</f>
        <v>13</v>
      </c>
      <c r="AH40" s="5383"/>
      <c r="AI40" s="1231">
        <f ca="1">OFFSET(AI40,0,-2)+1</f>
        <v>14</v>
      </c>
      <c r="AJ40" s="1128">
        <f ca="1">OFFSET(AJ40,0,-1)</f>
        <v>14</v>
      </c>
      <c r="AK40" s="1231">
        <f ca="1">OFFSET(AK40,0,-1)+1</f>
        <v>15</v>
      </c>
      <c r="AL40" s="419"/>
      <c r="AM40" s="419"/>
      <c r="AN40" s="419"/>
      <c r="AO40" s="419"/>
      <c r="AP40" s="419"/>
    </row>
    <row r="41" spans="1:42" ht="23.25" customHeight="1">
      <c r="A41" s="1241" t="s">
        <v>241</v>
      </c>
      <c r="B41" s="1241"/>
      <c r="C41" s="1241"/>
      <c r="D41" s="1241"/>
      <c r="E41" s="5376">
        <v>1</v>
      </c>
      <c r="F41" s="1241"/>
      <c r="G41" s="1241"/>
      <c r="H41" s="1241"/>
      <c r="I41" s="1241"/>
      <c r="J41" s="1241"/>
      <c r="K41" s="1241"/>
      <c r="L41" s="1242"/>
      <c r="M41" s="1243"/>
      <c r="N41" s="1243"/>
      <c r="O41" s="1243"/>
      <c r="P41" s="278"/>
      <c r="Q41" s="277"/>
      <c r="R41" s="272"/>
      <c r="S41" s="1236">
        <f>INDEX(PT_DIFFERENTIATION_NUM_NTAR,MATCH(A41,PT_DIFFERENTIATION_NTAR_ID,0))</f>
        <v>0</v>
      </c>
      <c r="T41" s="216" t="s">
        <v>141</v>
      </c>
      <c r="U41" s="218"/>
      <c r="V41" s="5362"/>
      <c r="W41" s="5363"/>
      <c r="X41" s="5363"/>
      <c r="Y41" s="5363"/>
      <c r="Z41" s="5363"/>
      <c r="AA41" s="5363"/>
      <c r="AB41" s="5364"/>
      <c r="AC41" s="5362" t="str">
        <f>INDEX(PT_DIFFERENTIATION_NTAR,MATCH(A41,PT_DIFFERENTIATION_NTAR_ID,0))</f>
        <v/>
      </c>
      <c r="AD41" s="5363"/>
      <c r="AE41" s="5363"/>
      <c r="AF41" s="5363"/>
      <c r="AG41" s="5363"/>
      <c r="AH41" s="5363"/>
      <c r="AI41" s="5363"/>
      <c r="AJ41" s="5364"/>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1" t="s">
        <v>241</v>
      </c>
      <c r="B42" s="1241" t="s">
        <v>242</v>
      </c>
      <c r="C42" s="1241"/>
      <c r="D42" s="1241"/>
      <c r="E42" s="5377"/>
      <c r="F42" s="5376">
        <v>1</v>
      </c>
      <c r="G42" s="1241"/>
      <c r="H42" s="1241"/>
      <c r="I42" s="1241"/>
      <c r="J42" s="1241"/>
      <c r="K42" s="1241"/>
      <c r="L42" s="1242"/>
      <c r="M42" s="1243"/>
      <c r="N42" s="1243"/>
      <c r="O42" s="1243"/>
      <c r="P42" s="1234"/>
      <c r="Q42" s="269"/>
      <c r="R42" s="270"/>
      <c r="S42" s="1236" t="str">
        <f>INDEX(PT_DIFFERENTIATION_NUM_TER,MATCH(B42,PT_DIFFERENTIATION_TER_ID,0))</f>
        <v>.</v>
      </c>
      <c r="T42" s="226" t="s">
        <v>475</v>
      </c>
      <c r="U42" s="218"/>
      <c r="V42" s="5362"/>
      <c r="W42" s="5363"/>
      <c r="X42" s="5363"/>
      <c r="Y42" s="5363"/>
      <c r="Z42" s="5363"/>
      <c r="AA42" s="5363"/>
      <c r="AB42" s="5364"/>
      <c r="AC42" s="5362" t="str">
        <f>INDEX(PT_DIFFERENTIATION_TER,MATCH(B42,PT_DIFFERENTIATION_TER_ID,0))</f>
        <v/>
      </c>
      <c r="AD42" s="5363"/>
      <c r="AE42" s="5363"/>
      <c r="AF42" s="5363"/>
      <c r="AG42" s="5363"/>
      <c r="AH42" s="5363"/>
      <c r="AI42" s="5363"/>
      <c r="AJ42" s="5364"/>
      <c r="AK42" s="1141" t="s">
        <v>476</v>
      </c>
      <c r="AM42" s="408"/>
      <c r="AN42" s="408" t="str">
        <f t="shared" si="1"/>
        <v>Территория действия тарифа</v>
      </c>
      <c r="AO42" s="408"/>
      <c r="AP42" s="408"/>
    </row>
    <row r="43" spans="1:42" ht="23.25" customHeight="1">
      <c r="A43" s="1241" t="s">
        <v>241</v>
      </c>
      <c r="B43" s="1241" t="s">
        <v>242</v>
      </c>
      <c r="C43" s="1241" t="s">
        <v>243</v>
      </c>
      <c r="D43" s="1241"/>
      <c r="E43" s="5377"/>
      <c r="F43" s="5377"/>
      <c r="G43" s="5376">
        <v>1</v>
      </c>
      <c r="H43" s="1241"/>
      <c r="I43" s="1241"/>
      <c r="J43" s="1241"/>
      <c r="K43" s="1241"/>
      <c r="L43" s="1242"/>
      <c r="M43" s="1243"/>
      <c r="N43" s="1243"/>
      <c r="O43" s="1243"/>
      <c r="P43" s="271"/>
      <c r="Q43" s="269"/>
      <c r="R43" s="270"/>
      <c r="S43" s="1236" t="str">
        <f>INDEX(PT_DIFFERENTIATION_NUM_CS,MATCH(C43,PT_DIFFERENTIATION_CS_ID,0))</f>
        <v>..</v>
      </c>
      <c r="T43" s="227" t="s">
        <v>557</v>
      </c>
      <c r="U43" s="218"/>
      <c r="V43" s="5362"/>
      <c r="W43" s="5363"/>
      <c r="X43" s="5363"/>
      <c r="Y43" s="5363"/>
      <c r="Z43" s="5363"/>
      <c r="AA43" s="5363"/>
      <c r="AB43" s="5364"/>
      <c r="AC43" s="5362" t="str">
        <f>INDEX(PT_DIFFERENTIATION_CS,MATCH(C43,PT_DIFFERENTIATION_CS_ID,0))</f>
        <v/>
      </c>
      <c r="AD43" s="5363"/>
      <c r="AE43" s="5363"/>
      <c r="AF43" s="5363"/>
      <c r="AG43" s="5363"/>
      <c r="AH43" s="5363"/>
      <c r="AI43" s="5363"/>
      <c r="AJ43" s="5364"/>
      <c r="AK43" s="1141" t="s">
        <v>558</v>
      </c>
      <c r="AM43" s="408"/>
      <c r="AN43" s="408" t="str">
        <f t="shared" si="1"/>
        <v>Наименование централизованной системы холодного водоснабжения</v>
      </c>
      <c r="AO43" s="408"/>
      <c r="AP43" s="408"/>
    </row>
    <row r="44" spans="1:42" ht="23.25" customHeight="1">
      <c r="A44" s="1241" t="s">
        <v>241</v>
      </c>
      <c r="B44" s="1241" t="s">
        <v>242</v>
      </c>
      <c r="C44" s="1241" t="s">
        <v>243</v>
      </c>
      <c r="D44" s="1241" t="s">
        <v>571</v>
      </c>
      <c r="E44" s="5377"/>
      <c r="F44" s="5377"/>
      <c r="G44" s="5377"/>
      <c r="H44" s="5377"/>
      <c r="I44" s="5374" t="str">
        <f>S43&amp;".1"</f>
        <v>...1</v>
      </c>
      <c r="J44" s="1241"/>
      <c r="K44" s="1241"/>
      <c r="L44" s="1242"/>
      <c r="P44" s="5375">
        <v>1</v>
      </c>
      <c r="Q44" s="1232"/>
      <c r="R44" s="273"/>
      <c r="S44" s="1236" t="str">
        <f>$I44</f>
        <v>...1</v>
      </c>
      <c r="T44" s="203" t="s">
        <v>559</v>
      </c>
      <c r="U44" s="218"/>
      <c r="V44" s="5435"/>
      <c r="W44" s="5436"/>
      <c r="X44" s="5436"/>
      <c r="Y44" s="5436"/>
      <c r="Z44" s="5436"/>
      <c r="AA44" s="5436"/>
      <c r="AB44" s="5437"/>
      <c r="AC44" s="5438"/>
      <c r="AD44" s="5439"/>
      <c r="AE44" s="5439"/>
      <c r="AF44" s="5439"/>
      <c r="AG44" s="5439"/>
      <c r="AH44" s="5439"/>
      <c r="AI44" s="5439"/>
      <c r="AJ44" s="5440"/>
      <c r="AK44" s="1141" t="s">
        <v>560</v>
      </c>
      <c r="AM44" s="408"/>
      <c r="AN44" s="408" t="str">
        <f t="shared" si="1"/>
        <v>Наименование признака дифференциации</v>
      </c>
      <c r="AO44" s="408"/>
      <c r="AP44" s="408"/>
    </row>
    <row r="45" spans="1:42" ht="23.25" customHeight="1">
      <c r="A45" s="1241" t="s">
        <v>241</v>
      </c>
      <c r="B45" s="1241" t="s">
        <v>242</v>
      </c>
      <c r="C45" s="1241" t="s">
        <v>243</v>
      </c>
      <c r="D45" s="1241" t="s">
        <v>571</v>
      </c>
      <c r="E45" s="5377"/>
      <c r="F45" s="5377"/>
      <c r="G45" s="5377"/>
      <c r="H45" s="5377"/>
      <c r="I45" s="5397"/>
      <c r="J45" s="5374" t="str">
        <f>I44&amp;".1"</f>
        <v>...1.1</v>
      </c>
      <c r="K45" s="1241"/>
      <c r="L45" s="1242" t="s">
        <v>484</v>
      </c>
      <c r="P45" s="5375"/>
      <c r="Q45" s="5375">
        <v>1</v>
      </c>
      <c r="R45" s="274"/>
      <c r="S45" s="1236" t="str">
        <f>$J45</f>
        <v>...1.1</v>
      </c>
      <c r="T45" s="204" t="s">
        <v>485</v>
      </c>
      <c r="U45" s="218"/>
      <c r="V45" s="5365"/>
      <c r="W45" s="5366"/>
      <c r="X45" s="5366"/>
      <c r="Y45" s="5366"/>
      <c r="Z45" s="5366"/>
      <c r="AA45" s="5366"/>
      <c r="AB45" s="5367"/>
      <c r="AC45" s="5365"/>
      <c r="AD45" s="5366"/>
      <c r="AE45" s="5366"/>
      <c r="AF45" s="5366"/>
      <c r="AG45" s="5366"/>
      <c r="AH45" s="5366"/>
      <c r="AI45" s="5366"/>
      <c r="AJ45" s="5367"/>
      <c r="AK45" s="1188" t="s">
        <v>561</v>
      </c>
      <c r="AM45" s="408"/>
      <c r="AN45" s="408" t="str">
        <f t="shared" si="1"/>
        <v>Группа потребителей</v>
      </c>
      <c r="AO45" s="408"/>
      <c r="AP45" s="408"/>
    </row>
    <row r="46" spans="1:42" ht="23.25" customHeight="1">
      <c r="A46" s="1241" t="s">
        <v>241</v>
      </c>
      <c r="B46" s="1241" t="s">
        <v>242</v>
      </c>
      <c r="C46" s="1241" t="s">
        <v>243</v>
      </c>
      <c r="D46" s="1241" t="s">
        <v>571</v>
      </c>
      <c r="E46" s="5377"/>
      <c r="F46" s="5377"/>
      <c r="G46" s="5377"/>
      <c r="H46" s="5377"/>
      <c r="I46" s="5397"/>
      <c r="J46" s="5397"/>
      <c r="K46" s="5374" t="str">
        <f>J45&amp;".1"</f>
        <v>...1.1.1</v>
      </c>
      <c r="L46" s="1242"/>
      <c r="P46" s="5375"/>
      <c r="Q46" s="5375"/>
      <c r="R46" s="274">
        <v>1</v>
      </c>
      <c r="S46" s="1236" t="str">
        <f>$K46</f>
        <v>...1.1.1</v>
      </c>
      <c r="T46" s="1314"/>
      <c r="U46" s="218"/>
      <c r="V46" s="1238"/>
      <c r="W46" s="1238"/>
      <c r="X46" s="1239"/>
      <c r="Y46" s="5381"/>
      <c r="Z46" s="5382" t="s">
        <v>64</v>
      </c>
      <c r="AA46" s="5381"/>
      <c r="AB46" s="5382" t="s">
        <v>64</v>
      </c>
      <c r="AC46" s="650"/>
      <c r="AD46" s="650"/>
      <c r="AE46" s="1140"/>
      <c r="AF46" s="5379"/>
      <c r="AG46" s="5225" t="s">
        <v>64</v>
      </c>
      <c r="AH46" s="5398"/>
      <c r="AI46" s="5225" t="s">
        <v>54</v>
      </c>
      <c r="AJ46" s="1315"/>
      <c r="AK46"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1" t="s">
        <v>241</v>
      </c>
      <c r="B47" s="1241" t="s">
        <v>242</v>
      </c>
      <c r="C47" s="1241" t="s">
        <v>243</v>
      </c>
      <c r="D47" s="1241" t="s">
        <v>571</v>
      </c>
      <c r="E47" s="5377"/>
      <c r="F47" s="5377"/>
      <c r="G47" s="5377"/>
      <c r="H47" s="5377"/>
      <c r="I47" s="5397"/>
      <c r="J47" s="5397"/>
      <c r="K47" s="5374"/>
      <c r="L47" s="1242"/>
      <c r="P47" s="5375"/>
      <c r="Q47" s="5375"/>
      <c r="R47" s="274"/>
      <c r="S47" s="1237"/>
      <c r="T47" s="218"/>
      <c r="U47" s="218"/>
      <c r="V47" s="1238"/>
      <c r="W47" s="1238"/>
      <c r="X47" s="246" t="str">
        <f>Y46&amp;"-"&amp;AA46</f>
        <v>-</v>
      </c>
      <c r="Y47" s="5382"/>
      <c r="Z47" s="5382"/>
      <c r="AA47" s="5382"/>
      <c r="AB47" s="5382"/>
      <c r="AC47" s="243"/>
      <c r="AD47" s="243"/>
      <c r="AE47" s="246" t="str">
        <f>AF46&amp;"-"&amp;AH46</f>
        <v>-</v>
      </c>
      <c r="AF47" s="5380"/>
      <c r="AG47" s="5225"/>
      <c r="AH47" s="5399"/>
      <c r="AI47" s="5225"/>
      <c r="AJ47" s="1316"/>
      <c r="AK47" s="5434"/>
      <c r="AM47" s="408"/>
      <c r="AN47" s="408" t="str">
        <f t="shared" si="1"/>
        <v/>
      </c>
      <c r="AO47" s="408"/>
      <c r="AP47" s="408"/>
    </row>
    <row r="48" spans="1:42" ht="21" customHeight="1">
      <c r="A48" s="1241" t="s">
        <v>241</v>
      </c>
      <c r="B48" s="1241" t="s">
        <v>242</v>
      </c>
      <c r="C48" s="1241" t="s">
        <v>243</v>
      </c>
      <c r="D48" s="1241" t="s">
        <v>571</v>
      </c>
      <c r="E48" s="5377"/>
      <c r="F48" s="5377"/>
      <c r="G48" s="5377"/>
      <c r="H48" s="5377"/>
      <c r="I48" s="5397"/>
      <c r="J48" s="5374"/>
      <c r="K48" s="1241"/>
      <c r="L48" s="1242"/>
      <c r="P48" s="5375"/>
      <c r="Q48" s="5375"/>
      <c r="R48" s="273"/>
      <c r="S48" s="1161"/>
      <c r="T48" s="205" t="s">
        <v>562</v>
      </c>
      <c r="U48" s="283"/>
      <c r="V48" s="283"/>
      <c r="W48" s="283"/>
      <c r="X48" s="283"/>
      <c r="Y48" s="283"/>
      <c r="Z48" s="283"/>
      <c r="AA48" s="283"/>
      <c r="AB48" s="283"/>
      <c r="AC48" s="283"/>
      <c r="AD48" s="283"/>
      <c r="AE48" s="283"/>
      <c r="AF48" s="283"/>
      <c r="AG48" s="283"/>
      <c r="AH48" s="283"/>
      <c r="AI48" s="283"/>
      <c r="AJ48" s="283"/>
      <c r="AK48" s="1141" t="s">
        <v>563</v>
      </c>
      <c r="AM48" s="408"/>
      <c r="AN48" s="408" t="str">
        <f t="shared" si="1"/>
        <v>Добавить значение признака дифференциации</v>
      </c>
      <c r="AO48" s="408"/>
      <c r="AP48" s="408"/>
    </row>
    <row r="49" spans="1:42" ht="21" customHeight="1">
      <c r="A49" s="1241" t="s">
        <v>241</v>
      </c>
      <c r="B49" s="1241" t="s">
        <v>242</v>
      </c>
      <c r="C49" s="1241" t="s">
        <v>243</v>
      </c>
      <c r="D49" s="1241" t="s">
        <v>571</v>
      </c>
      <c r="E49" s="5377"/>
      <c r="F49" s="5377"/>
      <c r="G49" s="5377"/>
      <c r="H49" s="5377"/>
      <c r="I49" s="5374"/>
      <c r="J49" s="1241"/>
      <c r="K49" s="1241"/>
      <c r="L49" s="1242"/>
      <c r="P49" s="5375"/>
      <c r="Q49" s="1232"/>
      <c r="R49" s="273"/>
      <c r="S49" s="1161"/>
      <c r="T49" s="281" t="s">
        <v>490</v>
      </c>
      <c r="U49" s="283"/>
      <c r="V49" s="283"/>
      <c r="W49" s="283"/>
      <c r="X49" s="283"/>
      <c r="Y49" s="283"/>
      <c r="Z49" s="283"/>
      <c r="AA49" s="283"/>
      <c r="AB49" s="282"/>
      <c r="AC49" s="283"/>
      <c r="AD49" s="283"/>
      <c r="AE49" s="283"/>
      <c r="AF49" s="283"/>
      <c r="AG49" s="283"/>
      <c r="AH49" s="283"/>
      <c r="AI49" s="282"/>
      <c r="AJ49" s="283"/>
      <c r="AK49" s="1317"/>
      <c r="AM49" s="408"/>
      <c r="AN49" s="408" t="str">
        <f t="shared" si="1"/>
        <v>Добавить группу потребителей</v>
      </c>
      <c r="AO49" s="408"/>
      <c r="AP49" s="408"/>
    </row>
    <row r="50" spans="1:42" ht="21" customHeight="1">
      <c r="A50" s="1241" t="s">
        <v>241</v>
      </c>
      <c r="B50" s="1241" t="s">
        <v>242</v>
      </c>
      <c r="C50" s="1241" t="s">
        <v>243</v>
      </c>
      <c r="D50" s="1241" t="s">
        <v>571</v>
      </c>
      <c r="E50" s="5377"/>
      <c r="F50" s="5377"/>
      <c r="G50" s="5377"/>
      <c r="H50" s="5376"/>
      <c r="I50" s="1241"/>
      <c r="J50" s="1241"/>
      <c r="K50" s="1241"/>
      <c r="L50" s="1242"/>
      <c r="M50" s="1243"/>
      <c r="N50" s="1243"/>
      <c r="O50" s="444"/>
      <c r="P50" s="277"/>
      <c r="Q50" s="291"/>
      <c r="R50" s="272"/>
      <c r="S50" s="1161"/>
      <c r="T50" s="288" t="s">
        <v>564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4853" customFormat="1" ht="0" hidden="1" customHeight="1">
      <c r="A51" s="1222" t="s">
        <v>241</v>
      </c>
      <c r="B51" s="1222" t="s">
        <v>242</v>
      </c>
      <c r="C51" s="1194"/>
      <c r="D51" s="1194"/>
      <c r="E51" s="5377"/>
      <c r="F51" s="5376"/>
      <c r="G51" s="1194"/>
      <c r="H51" s="1194"/>
      <c r="I51" s="1194"/>
      <c r="J51" s="1194"/>
      <c r="K51" s="1194"/>
      <c r="L51" s="1303"/>
      <c r="M51" s="1201"/>
      <c r="N51" s="1201"/>
      <c r="P51" s="1196"/>
      <c r="Q51" s="1197"/>
      <c r="R51" s="1196"/>
      <c r="S51" s="1202"/>
      <c r="T51" s="1205" t="s">
        <v>271</v>
      </c>
      <c r="U51" s="1204"/>
      <c r="V51" s="1204"/>
      <c r="W51" s="1204"/>
      <c r="X51" s="1204"/>
      <c r="Y51" s="1204"/>
      <c r="Z51" s="1204"/>
      <c r="AA51" s="1204"/>
      <c r="AB51" s="1204"/>
      <c r="AC51" s="1204"/>
      <c r="AD51" s="1204"/>
      <c r="AE51" s="1204"/>
      <c r="AF51" s="1204"/>
      <c r="AG51" s="1204"/>
      <c r="AH51" s="1204"/>
      <c r="AI51" s="1204"/>
      <c r="AJ51" s="1204"/>
      <c r="AK51" s="1204"/>
      <c r="AM51" s="688"/>
      <c r="AN51" s="688" t="str">
        <f t="shared" si="1"/>
        <v>Добавить централизованную систему для дифференциации</v>
      </c>
      <c r="AO51" s="688"/>
      <c r="AP51" s="688"/>
    </row>
    <row r="52" spans="1:42" s="4856" customFormat="1" ht="0" hidden="1" customHeight="1">
      <c r="A52" s="1222" t="s">
        <v>241</v>
      </c>
      <c r="B52" s="1222"/>
      <c r="C52" s="1222"/>
      <c r="D52" s="1222"/>
      <c r="E52" s="5376"/>
      <c r="F52" s="1222"/>
      <c r="G52" s="1222"/>
      <c r="H52" s="1222"/>
      <c r="I52" s="1222"/>
      <c r="J52" s="1222"/>
      <c r="K52" s="1222"/>
      <c r="L52" s="1225"/>
      <c r="M52" s="1201"/>
      <c r="N52" s="1201"/>
      <c r="O52" s="426"/>
      <c r="P52" s="296"/>
      <c r="Q52" s="1223"/>
      <c r="R52" s="296"/>
      <c r="S52" s="1202"/>
      <c r="T52" s="1205" t="s">
        <v>330</v>
      </c>
      <c r="U52" s="1204"/>
      <c r="V52" s="1204"/>
      <c r="W52" s="1204"/>
      <c r="X52" s="1204"/>
      <c r="Y52" s="1204"/>
      <c r="Z52" s="1204"/>
      <c r="AA52" s="1204"/>
      <c r="AB52" s="1204"/>
      <c r="AC52" s="1204"/>
      <c r="AD52" s="1204"/>
      <c r="AE52" s="1204"/>
      <c r="AF52" s="1204"/>
      <c r="AG52" s="1204"/>
      <c r="AH52" s="1204"/>
      <c r="AI52" s="1204"/>
      <c r="AJ52" s="1204"/>
      <c r="AK52" s="1204"/>
      <c r="AM52" s="408"/>
      <c r="AN52" s="408" t="str">
        <f t="shared" si="1"/>
        <v>Добавить территорию для дифференциации</v>
      </c>
      <c r="AO52" s="408"/>
      <c r="AP52" s="408"/>
    </row>
    <row r="53" spans="1:42" s="4853" customFormat="1" ht="0" hidden="1" customHeight="1">
      <c r="A53" s="1194"/>
      <c r="B53" s="1194"/>
      <c r="C53" s="1194"/>
      <c r="D53" s="1194"/>
      <c r="E53" s="1222"/>
      <c r="F53" s="1194"/>
      <c r="G53" s="1194"/>
      <c r="H53" s="1194"/>
      <c r="I53" s="1194"/>
      <c r="J53" s="1194"/>
      <c r="K53" s="1194"/>
      <c r="L53" s="1303"/>
      <c r="M53" s="1201"/>
      <c r="N53" s="1201"/>
      <c r="P53" s="1196"/>
      <c r="Q53" s="1197"/>
      <c r="R53" s="1196"/>
      <c r="S53" s="1202"/>
      <c r="T53" s="1205" t="s">
        <v>331</v>
      </c>
      <c r="U53" s="1204"/>
      <c r="V53" s="1204"/>
      <c r="W53" s="1204"/>
      <c r="X53" s="1204"/>
      <c r="Y53" s="1204"/>
      <c r="Z53" s="1204"/>
      <c r="AA53" s="1204"/>
      <c r="AB53" s="1204"/>
      <c r="AC53" s="1204"/>
      <c r="AD53" s="1204"/>
      <c r="AE53" s="1204"/>
      <c r="AF53" s="1204"/>
      <c r="AG53" s="1204"/>
      <c r="AH53" s="1204"/>
      <c r="AI53" s="1204"/>
      <c r="AJ53" s="1204"/>
      <c r="AK53" s="1204"/>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6"/>
      <c r="T55" s="5396"/>
      <c r="U55" s="5396"/>
      <c r="V55" s="5396"/>
      <c r="W55" s="5396"/>
      <c r="X55" s="5396"/>
      <c r="Y55" s="5396"/>
      <c r="Z55" s="5396"/>
      <c r="AA55" s="5396"/>
      <c r="AB55" s="5396"/>
      <c r="AC55" s="5396"/>
      <c r="AD55" s="5396"/>
      <c r="AE55" s="5396"/>
      <c r="AF55" s="5396"/>
      <c r="AG55" s="5396"/>
      <c r="AH55" s="5396"/>
      <c r="AI55" s="5396"/>
      <c r="AJ55" s="5396"/>
      <c r="AK55" s="5396"/>
    </row>
    <row r="56" spans="1:42" ht="14.25" customHeight="1">
      <c r="O56" s="444"/>
    </row>
    <row r="57" spans="1:42" ht="14.25" customHeight="1">
      <c r="O57" s="444"/>
      <c r="S57" s="1136"/>
      <c r="T57" s="5396"/>
      <c r="U57" s="5396"/>
      <c r="V57" s="5396"/>
      <c r="W57" s="5396"/>
      <c r="X57" s="5396"/>
      <c r="Y57" s="5396"/>
      <c r="Z57" s="5396"/>
      <c r="AA57" s="5396"/>
      <c r="AB57" s="5396"/>
      <c r="AC57" s="5396"/>
      <c r="AD57" s="5396"/>
      <c r="AE57" s="5396"/>
      <c r="AF57" s="5396"/>
      <c r="AG57" s="5396"/>
      <c r="AH57" s="5396"/>
      <c r="AI57" s="5396"/>
      <c r="AJ57" s="5396"/>
      <c r="AK57" s="5396"/>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4.140625" style="4854" hidden="1" customWidth="1"/>
    <col min="10" max="10" width="9.85546875" style="4854" hidden="1" customWidth="1"/>
    <col min="11" max="11" width="14.7109375" style="4854" hidden="1" customWidth="1"/>
    <col min="12" max="12" width="19.140625" style="4877" hidden="1" customWidth="1"/>
    <col min="13" max="14" width="12.28515625" style="4858" hidden="1" customWidth="1"/>
    <col min="15" max="15" width="23.42578125" style="4858" hidden="1" customWidth="1"/>
    <col min="16" max="16" width="3.7109375" style="4878" customWidth="1"/>
    <col min="17" max="18" width="3.7109375" style="4860" customWidth="1"/>
    <col min="19" max="19" width="12.7109375" style="4861" customWidth="1"/>
    <col min="20" max="20" width="35.7109375" style="4862" customWidth="1"/>
    <col min="21" max="21" width="0.140625" style="4862" customWidth="1"/>
    <col min="22" max="24" width="24.7109375" style="4862" hidden="1" customWidth="1"/>
    <col min="25" max="25" width="11.7109375" style="4862" hidden="1" customWidth="1"/>
    <col min="26" max="26" width="3.7109375" style="4862" hidden="1" customWidth="1"/>
    <col min="27" max="27" width="11.7109375" style="4862" hidden="1" customWidth="1"/>
    <col min="28" max="28" width="8.5703125" style="4862" hidden="1" customWidth="1"/>
    <col min="29" max="31" width="24.7109375" style="4862" customWidth="1"/>
    <col min="32" max="32" width="11.7109375" style="4862" customWidth="1"/>
    <col min="33" max="33" width="3.7109375" style="4862" customWidth="1"/>
    <col min="34" max="34" width="11.7109375" style="4862" customWidth="1"/>
    <col min="35" max="35" width="8.5703125" style="4862" hidden="1" customWidth="1"/>
    <col min="36" max="36" width="4.7109375" style="4862" customWidth="1"/>
    <col min="37" max="37" width="115.7109375" style="4862" customWidth="1"/>
    <col min="38" max="39" width="10.5703125" style="4856"/>
    <col min="40" max="40" width="11.140625" style="4856" customWidth="1"/>
    <col min="41" max="42" width="10.5703125" style="4856"/>
  </cols>
  <sheetData>
    <row r="1" spans="1:42" ht="14.25" hidden="1" customHeight="1">
      <c r="X1" s="245"/>
      <c r="Y1" s="245"/>
      <c r="AE1" s="245"/>
      <c r="AF1" s="245"/>
    </row>
    <row r="2" spans="1:42" ht="23.25" hidden="1" customHeight="1">
      <c r="A2" s="1241"/>
      <c r="B2" s="1241"/>
      <c r="C2" s="1241"/>
      <c r="D2" s="1241"/>
      <c r="E2" s="5376">
        <v>1</v>
      </c>
      <c r="F2" s="1241"/>
      <c r="G2" s="1241"/>
      <c r="H2" s="1241"/>
      <c r="I2" s="1241"/>
      <c r="J2" s="1241"/>
      <c r="K2" s="1241"/>
      <c r="L2" s="1242"/>
      <c r="M2" s="1243"/>
      <c r="N2" s="1243"/>
      <c r="O2" s="1243"/>
      <c r="P2" s="278"/>
      <c r="Q2" s="277"/>
      <c r="R2" s="272"/>
      <c r="S2" s="1332" t="e">
        <f>INDEX(PT_DIFFERENTIATION_NUM_NTAR,MATCH(A2,PT_DIFFERENTIATION_NTAR_ID,0))</f>
        <v>#N/A</v>
      </c>
      <c r="T2" s="216" t="s">
        <v>141</v>
      </c>
      <c r="U2" s="218"/>
      <c r="V2" s="5362"/>
      <c r="W2" s="5363"/>
      <c r="X2" s="5363"/>
      <c r="Y2" s="5363"/>
      <c r="Z2" s="5363"/>
      <c r="AA2" s="5363"/>
      <c r="AB2" s="5364"/>
      <c r="AC2" s="5362" t="e">
        <f>INDEX(PT_DIFFERENTIATION_NTAR,MATCH(A2,PT_DIFFERENTIATION_NTAR_ID,0))</f>
        <v>#N/A</v>
      </c>
      <c r="AD2" s="5363"/>
      <c r="AE2" s="5363"/>
      <c r="AF2" s="5363"/>
      <c r="AG2" s="5363"/>
      <c r="AH2" s="5363"/>
      <c r="AI2" s="5363"/>
      <c r="AJ2" s="5364"/>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1"/>
      <c r="B3" s="1241"/>
      <c r="C3" s="1241"/>
      <c r="D3" s="1241"/>
      <c r="E3" s="5377"/>
      <c r="F3" s="5376">
        <v>1</v>
      </c>
      <c r="G3" s="1241"/>
      <c r="H3" s="1241"/>
      <c r="I3" s="1241"/>
      <c r="J3" s="1241"/>
      <c r="K3" s="1241"/>
      <c r="L3" s="1242"/>
      <c r="M3" s="1243"/>
      <c r="N3" s="1243"/>
      <c r="O3" s="1243"/>
      <c r="P3" s="1328"/>
      <c r="Q3" s="269"/>
      <c r="R3" s="270"/>
      <c r="S3" s="1332" t="e">
        <f>INDEX(PT_DIFFERENTIATION_NUM_TER,MATCH(B3,PT_DIFFERENTIATION_TER_ID,0))</f>
        <v>#N/A</v>
      </c>
      <c r="T3" s="226" t="s">
        <v>475</v>
      </c>
      <c r="U3" s="218"/>
      <c r="V3" s="5362"/>
      <c r="W3" s="5363"/>
      <c r="X3" s="5363"/>
      <c r="Y3" s="5363"/>
      <c r="Z3" s="5363"/>
      <c r="AA3" s="5363"/>
      <c r="AB3" s="5364"/>
      <c r="AC3" s="5362" t="e">
        <f>INDEX(PT_DIFFERENTIATION_TER,MATCH(B3,PT_DIFFERENTIATION_TER_ID,0))</f>
        <v>#N/A</v>
      </c>
      <c r="AD3" s="5363"/>
      <c r="AE3" s="5363"/>
      <c r="AF3" s="5363"/>
      <c r="AG3" s="5363"/>
      <c r="AH3" s="5363"/>
      <c r="AI3" s="5363"/>
      <c r="AJ3" s="5364"/>
      <c r="AK3" s="1141" t="s">
        <v>476</v>
      </c>
      <c r="AM3" s="408"/>
      <c r="AN3" s="408" t="str">
        <f t="shared" si="0"/>
        <v>Территория действия тарифа</v>
      </c>
      <c r="AO3" s="408"/>
      <c r="AP3" s="408"/>
    </row>
    <row r="4" spans="1:42" ht="23.25" hidden="1" customHeight="1">
      <c r="A4" s="1241"/>
      <c r="B4" s="1241"/>
      <c r="C4" s="1241"/>
      <c r="D4" s="1241"/>
      <c r="E4" s="5377"/>
      <c r="F4" s="5377"/>
      <c r="G4" s="5376">
        <v>1</v>
      </c>
      <c r="H4" s="1241"/>
      <c r="I4" s="1241"/>
      <c r="J4" s="1241"/>
      <c r="K4" s="1241"/>
      <c r="L4" s="1242"/>
      <c r="M4" s="1243"/>
      <c r="N4" s="1243"/>
      <c r="O4" s="1243"/>
      <c r="P4" s="271"/>
      <c r="Q4" s="269"/>
      <c r="R4" s="270"/>
      <c r="S4" s="1332" t="e">
        <f>INDEX(PT_DIFFERENTIATION_NUM_CS,MATCH(C4,PT_DIFFERENTIATION_CS_ID,0))</f>
        <v>#N/A</v>
      </c>
      <c r="T4" s="227" t="s">
        <v>557</v>
      </c>
      <c r="U4" s="218"/>
      <c r="V4" s="5362"/>
      <c r="W4" s="5363"/>
      <c r="X4" s="5363"/>
      <c r="Y4" s="5363"/>
      <c r="Z4" s="5363"/>
      <c r="AA4" s="5363"/>
      <c r="AB4" s="5364"/>
      <c r="AC4" s="5362" t="e">
        <f>INDEX(PT_DIFFERENTIATION_CS,MATCH(C4,PT_DIFFERENTIATION_CS_ID,0))</f>
        <v>#N/A</v>
      </c>
      <c r="AD4" s="5363"/>
      <c r="AE4" s="5363"/>
      <c r="AF4" s="5363"/>
      <c r="AG4" s="5363"/>
      <c r="AH4" s="5363"/>
      <c r="AI4" s="5363"/>
      <c r="AJ4" s="5364"/>
      <c r="AK4" s="1141" t="s">
        <v>558</v>
      </c>
      <c r="AM4" s="408"/>
      <c r="AN4" s="408" t="str">
        <f t="shared" si="0"/>
        <v>Наименование централизованной системы холодного водоснабжения</v>
      </c>
      <c r="AO4" s="408"/>
      <c r="AP4" s="408"/>
    </row>
    <row r="5" spans="1:42" ht="23.25" hidden="1" customHeight="1">
      <c r="A5" s="1241"/>
      <c r="B5" s="1241"/>
      <c r="C5" s="1241"/>
      <c r="D5" s="1241"/>
      <c r="E5" s="5377"/>
      <c r="F5" s="5377"/>
      <c r="G5" s="5377"/>
      <c r="H5" s="5377"/>
      <c r="I5" s="5374" t="e">
        <f>S4&amp;".1"</f>
        <v>#N/A</v>
      </c>
      <c r="J5" s="1241"/>
      <c r="K5" s="1241"/>
      <c r="L5" s="1242"/>
      <c r="P5" s="5375">
        <v>1</v>
      </c>
      <c r="Q5" s="1325"/>
      <c r="R5" s="273"/>
      <c r="S5" s="1332" t="e">
        <f>$I5</f>
        <v>#N/A</v>
      </c>
      <c r="T5" s="203" t="s">
        <v>559</v>
      </c>
      <c r="U5" s="218"/>
      <c r="V5" s="5435"/>
      <c r="W5" s="5436"/>
      <c r="X5" s="5436"/>
      <c r="Y5" s="5436"/>
      <c r="Z5" s="5436"/>
      <c r="AA5" s="5436"/>
      <c r="AB5" s="5437"/>
      <c r="AC5" s="5438"/>
      <c r="AD5" s="5439"/>
      <c r="AE5" s="5439"/>
      <c r="AF5" s="5439"/>
      <c r="AG5" s="5439"/>
      <c r="AH5" s="5439"/>
      <c r="AI5" s="5439"/>
      <c r="AJ5" s="5440"/>
      <c r="AK5" s="1141" t="s">
        <v>560</v>
      </c>
      <c r="AM5" s="408"/>
      <c r="AN5" s="408" t="str">
        <f t="shared" si="0"/>
        <v>Наименование признака дифференциации</v>
      </c>
      <c r="AO5" s="408"/>
      <c r="AP5" s="408"/>
    </row>
    <row r="6" spans="1:42" ht="23.25" hidden="1" customHeight="1">
      <c r="A6" s="1241"/>
      <c r="B6" s="1241"/>
      <c r="C6" s="1241"/>
      <c r="D6" s="1241"/>
      <c r="E6" s="5377"/>
      <c r="F6" s="5377"/>
      <c r="G6" s="5377"/>
      <c r="H6" s="5377"/>
      <c r="I6" s="5397"/>
      <c r="J6" s="5374" t="e">
        <f>I5&amp;".1"</f>
        <v>#N/A</v>
      </c>
      <c r="K6" s="1241"/>
      <c r="L6" s="1242" t="s">
        <v>484</v>
      </c>
      <c r="P6" s="5375"/>
      <c r="Q6" s="5375">
        <v>1</v>
      </c>
      <c r="R6" s="274"/>
      <c r="S6" s="1332" t="e">
        <f>$J6</f>
        <v>#N/A</v>
      </c>
      <c r="T6" s="204" t="s">
        <v>485</v>
      </c>
      <c r="U6" s="218"/>
      <c r="V6" s="5365"/>
      <c r="W6" s="5366"/>
      <c r="X6" s="5366"/>
      <c r="Y6" s="5366"/>
      <c r="Z6" s="5366"/>
      <c r="AA6" s="5366"/>
      <c r="AB6" s="5367"/>
      <c r="AC6" s="5365"/>
      <c r="AD6" s="5366"/>
      <c r="AE6" s="5366"/>
      <c r="AF6" s="5366"/>
      <c r="AG6" s="5366"/>
      <c r="AH6" s="5366"/>
      <c r="AI6" s="5366"/>
      <c r="AJ6" s="5367"/>
      <c r="AK6" s="1188" t="s">
        <v>561</v>
      </c>
      <c r="AM6" s="408"/>
      <c r="AN6" s="408" t="str">
        <f t="shared" si="0"/>
        <v>Группа потребителей</v>
      </c>
      <c r="AO6" s="408"/>
      <c r="AP6" s="408"/>
    </row>
    <row r="7" spans="1:42" ht="23.25" hidden="1" customHeight="1">
      <c r="A7" s="1241"/>
      <c r="B7" s="1241"/>
      <c r="C7" s="1241"/>
      <c r="D7" s="1241"/>
      <c r="E7" s="5377"/>
      <c r="F7" s="5377"/>
      <c r="G7" s="5377"/>
      <c r="H7" s="5377"/>
      <c r="I7" s="5397"/>
      <c r="J7" s="5397"/>
      <c r="K7" s="5374" t="e">
        <f>J6&amp;".1"</f>
        <v>#N/A</v>
      </c>
      <c r="L7" s="1242"/>
      <c r="P7" s="5375"/>
      <c r="Q7" s="5375"/>
      <c r="R7" s="274">
        <v>1</v>
      </c>
      <c r="S7" s="1332" t="e">
        <f>$K7</f>
        <v>#N/A</v>
      </c>
      <c r="T7" s="1314"/>
      <c r="U7" s="218"/>
      <c r="V7" s="650"/>
      <c r="W7" s="650"/>
      <c r="X7" s="1140"/>
      <c r="Y7" s="5379"/>
      <c r="Z7" s="5225" t="s">
        <v>64</v>
      </c>
      <c r="AA7" s="5379"/>
      <c r="AB7" s="5225" t="s">
        <v>64</v>
      </c>
      <c r="AC7" s="650"/>
      <c r="AD7" s="650"/>
      <c r="AE7" s="1140"/>
      <c r="AF7" s="5379"/>
      <c r="AG7" s="5225" t="s">
        <v>64</v>
      </c>
      <c r="AH7" s="5398"/>
      <c r="AI7" s="5225" t="s">
        <v>64</v>
      </c>
      <c r="AJ7" s="1315"/>
      <c r="AK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1"/>
      <c r="B8" s="1241"/>
      <c r="C8" s="1241"/>
      <c r="D8" s="1241"/>
      <c r="E8" s="5377"/>
      <c r="F8" s="5377"/>
      <c r="G8" s="5377"/>
      <c r="H8" s="5377"/>
      <c r="I8" s="5397"/>
      <c r="J8" s="5397"/>
      <c r="K8" s="5374"/>
      <c r="L8" s="1242"/>
      <c r="P8" s="5375"/>
      <c r="Q8" s="5375"/>
      <c r="R8" s="274"/>
      <c r="S8" s="1331"/>
      <c r="T8" s="218"/>
      <c r="U8" s="218"/>
      <c r="V8" s="243"/>
      <c r="W8" s="243"/>
      <c r="X8" s="246" t="str">
        <f>Y7&amp;"-"&amp;AA7</f>
        <v>-</v>
      </c>
      <c r="Y8" s="5380"/>
      <c r="Z8" s="5225"/>
      <c r="AA8" s="5380"/>
      <c r="AB8" s="5225"/>
      <c r="AC8" s="243"/>
      <c r="AD8" s="243"/>
      <c r="AE8" s="246" t="str">
        <f>AF7&amp;"-"&amp;AH7</f>
        <v>-</v>
      </c>
      <c r="AF8" s="5380"/>
      <c r="AG8" s="5225"/>
      <c r="AH8" s="5399"/>
      <c r="AI8" s="5225"/>
      <c r="AJ8" s="1316"/>
      <c r="AK8" s="5434"/>
      <c r="AM8" s="408"/>
      <c r="AN8" s="408" t="str">
        <f t="shared" si="0"/>
        <v/>
      </c>
      <c r="AO8" s="408"/>
      <c r="AP8" s="408"/>
    </row>
    <row r="9" spans="1:42" ht="21" hidden="1" customHeight="1">
      <c r="A9" s="1241"/>
      <c r="B9" s="1241"/>
      <c r="C9" s="1241"/>
      <c r="D9" s="1241"/>
      <c r="E9" s="5377"/>
      <c r="F9" s="5377"/>
      <c r="G9" s="5377"/>
      <c r="H9" s="5377"/>
      <c r="I9" s="5397"/>
      <c r="J9" s="5374"/>
      <c r="K9" s="1241"/>
      <c r="L9" s="1242"/>
      <c r="P9" s="5375"/>
      <c r="Q9" s="5375"/>
      <c r="R9" s="273"/>
      <c r="S9" s="1161"/>
      <c r="T9" s="205" t="s">
        <v>562</v>
      </c>
      <c r="U9" s="283"/>
      <c r="V9" s="283"/>
      <c r="W9" s="283"/>
      <c r="X9" s="283"/>
      <c r="Y9" s="283"/>
      <c r="Z9" s="283"/>
      <c r="AA9" s="283"/>
      <c r="AB9" s="283"/>
      <c r="AC9" s="283"/>
      <c r="AD9" s="283"/>
      <c r="AE9" s="283"/>
      <c r="AF9" s="283"/>
      <c r="AG9" s="283"/>
      <c r="AH9" s="283"/>
      <c r="AI9" s="283"/>
      <c r="AJ9" s="283"/>
      <c r="AK9" s="1141" t="s">
        <v>563</v>
      </c>
      <c r="AM9" s="408"/>
      <c r="AN9" s="408" t="str">
        <f t="shared" si="0"/>
        <v>Добавить значение признака дифференциации</v>
      </c>
      <c r="AO9" s="408"/>
      <c r="AP9" s="408"/>
    </row>
    <row r="10" spans="1:42" ht="21" hidden="1" customHeight="1">
      <c r="A10" s="1241"/>
      <c r="B10" s="1241"/>
      <c r="C10" s="1241"/>
      <c r="D10" s="1241"/>
      <c r="E10" s="5377"/>
      <c r="F10" s="5377"/>
      <c r="G10" s="5377"/>
      <c r="H10" s="5377"/>
      <c r="I10" s="5374"/>
      <c r="J10" s="1241"/>
      <c r="K10" s="1241"/>
      <c r="L10" s="1242"/>
      <c r="P10" s="5375"/>
      <c r="Q10" s="1325"/>
      <c r="R10" s="273"/>
      <c r="S10" s="1161"/>
      <c r="T10" s="281" t="s">
        <v>490</v>
      </c>
      <c r="U10" s="283"/>
      <c r="V10" s="283"/>
      <c r="W10" s="283"/>
      <c r="X10" s="283"/>
      <c r="Y10" s="283"/>
      <c r="Z10" s="283"/>
      <c r="AA10" s="283"/>
      <c r="AB10" s="282"/>
      <c r="AC10" s="283"/>
      <c r="AD10" s="283"/>
      <c r="AE10" s="283"/>
      <c r="AF10" s="283"/>
      <c r="AG10" s="283"/>
      <c r="AH10" s="283"/>
      <c r="AI10" s="282"/>
      <c r="AJ10" s="283"/>
      <c r="AK10" s="1317"/>
      <c r="AM10" s="408"/>
      <c r="AN10" s="408" t="str">
        <f t="shared" si="0"/>
        <v>Добавить группу потребителей</v>
      </c>
      <c r="AO10" s="408"/>
      <c r="AP10" s="408"/>
    </row>
    <row r="11" spans="1:42" ht="21" hidden="1" customHeight="1">
      <c r="A11" s="1241"/>
      <c r="B11" s="1241"/>
      <c r="C11" s="1241"/>
      <c r="D11" s="1241"/>
      <c r="E11" s="5377"/>
      <c r="F11" s="5377"/>
      <c r="G11" s="5377"/>
      <c r="H11" s="5376"/>
      <c r="I11" s="1241"/>
      <c r="J11" s="1241"/>
      <c r="K11" s="1241"/>
      <c r="L11" s="1242"/>
      <c r="M11" s="1243"/>
      <c r="N11" s="1243"/>
      <c r="O11" s="444"/>
      <c r="P11" s="277"/>
      <c r="Q11" s="291"/>
      <c r="R11" s="272"/>
      <c r="S11" s="1161"/>
      <c r="T11" s="288" t="s">
        <v>564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4853" customFormat="1" ht="14.25" hidden="1" customHeight="1">
      <c r="A12" s="1222"/>
      <c r="B12" s="1222"/>
      <c r="C12" s="1194"/>
      <c r="D12" s="1194"/>
      <c r="E12" s="5377"/>
      <c r="F12" s="5376"/>
      <c r="G12" s="1194"/>
      <c r="H12" s="1194"/>
      <c r="I12" s="1194"/>
      <c r="J12" s="1194"/>
      <c r="K12" s="1194"/>
      <c r="L12" s="1333"/>
      <c r="M12" s="1201"/>
      <c r="N12" s="1201"/>
      <c r="P12" s="1196"/>
      <c r="Q12" s="1197"/>
      <c r="R12" s="1196"/>
      <c r="S12" s="1202"/>
      <c r="T12" s="1205" t="s">
        <v>271</v>
      </c>
      <c r="U12" s="1204"/>
      <c r="V12" s="1204"/>
      <c r="W12" s="1204"/>
      <c r="X12" s="1204"/>
      <c r="Y12" s="1204"/>
      <c r="Z12" s="1204"/>
      <c r="AA12" s="1204"/>
      <c r="AB12" s="1204"/>
      <c r="AC12" s="1204"/>
      <c r="AD12" s="1204"/>
      <c r="AE12" s="1204"/>
      <c r="AF12" s="1204"/>
      <c r="AG12" s="1204"/>
      <c r="AH12" s="1204"/>
      <c r="AI12" s="1204"/>
      <c r="AJ12" s="1204"/>
      <c r="AK12" s="1204"/>
      <c r="AM12" s="688"/>
      <c r="AN12" s="688" t="str">
        <f t="shared" si="0"/>
        <v>Добавить централизованную систему для дифференциации</v>
      </c>
      <c r="AO12" s="688"/>
      <c r="AP12" s="688"/>
    </row>
    <row r="13" spans="1:42" s="4856" customFormat="1" ht="14.25" hidden="1" customHeight="1">
      <c r="A13" s="1222"/>
      <c r="B13" s="1222"/>
      <c r="C13" s="1222"/>
      <c r="D13" s="1222"/>
      <c r="E13" s="5376"/>
      <c r="F13" s="1222"/>
      <c r="G13" s="1222"/>
      <c r="H13" s="1222"/>
      <c r="I13" s="1222"/>
      <c r="J13" s="1222"/>
      <c r="K13" s="1222"/>
      <c r="L13" s="1225"/>
      <c r="M13" s="1201"/>
      <c r="N13" s="1201"/>
      <c r="O13" s="426"/>
      <c r="P13" s="296"/>
      <c r="Q13" s="1223"/>
      <c r="R13" s="296"/>
      <c r="S13" s="1202"/>
      <c r="T13" s="1205" t="s">
        <v>330</v>
      </c>
      <c r="U13" s="1204"/>
      <c r="V13" s="1204"/>
      <c r="W13" s="1204"/>
      <c r="X13" s="1204"/>
      <c r="Y13" s="1204"/>
      <c r="Z13" s="1204"/>
      <c r="AA13" s="1204"/>
      <c r="AB13" s="1204"/>
      <c r="AC13" s="1204"/>
      <c r="AD13" s="1204"/>
      <c r="AE13" s="1204"/>
      <c r="AF13" s="1204"/>
      <c r="AG13" s="1204"/>
      <c r="AH13" s="1204"/>
      <c r="AI13" s="1204"/>
      <c r="AJ13" s="1204"/>
      <c r="AK13" s="1204"/>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8"/>
      <c r="AD15" s="1238"/>
      <c r="AE15" s="1239"/>
      <c r="AF15" s="5381"/>
      <c r="AG15" s="5382" t="s">
        <v>64</v>
      </c>
      <c r="AH15" s="5381"/>
      <c r="AI15" s="5382" t="s">
        <v>64</v>
      </c>
    </row>
    <row r="16" spans="1:42" ht="14.25" hidden="1" customHeight="1">
      <c r="AC16" s="1238"/>
      <c r="AD16" s="1238"/>
      <c r="AE16" s="246" t="str">
        <f>AF15&amp;"-"&amp;AH15</f>
        <v>-</v>
      </c>
      <c r="AF16" s="5382"/>
      <c r="AG16" s="5382"/>
      <c r="AH16" s="5382"/>
      <c r="AI16" s="5382"/>
    </row>
    <row r="17" spans="1:42" ht="14.25" hidden="1" customHeight="1">
      <c r="AI17" s="245"/>
    </row>
    <row r="18" spans="1:42" s="4854" customFormat="1" ht="22.5" hidden="1" customHeight="1">
      <c r="L18" s="1322"/>
      <c r="M18" s="1240"/>
      <c r="N18" s="1240"/>
      <c r="O18" s="1245" t="s">
        <v>493</v>
      </c>
      <c r="P18" s="1240"/>
      <c r="Q18" s="1249"/>
      <c r="R18" s="1249"/>
      <c r="S18" s="630"/>
      <c r="Y18" s="1245"/>
      <c r="AA18" s="1245"/>
      <c r="AB18" s="1244"/>
      <c r="AF18" s="1245"/>
      <c r="AH18" s="1245"/>
      <c r="AI18" s="1244"/>
      <c r="AL18" s="419"/>
      <c r="AM18" s="419"/>
      <c r="AN18" s="419"/>
      <c r="AO18" s="419"/>
      <c r="AP18" s="419"/>
    </row>
    <row r="19" spans="1:42" s="4854" customFormat="1" ht="14.25" hidden="1" customHeight="1">
      <c r="L19" s="1322"/>
      <c r="M19" s="1240"/>
      <c r="N19" s="1240"/>
      <c r="O19" s="1240"/>
      <c r="P19" s="1240"/>
      <c r="Q19" s="1249"/>
      <c r="R19" s="1249"/>
      <c r="S19" s="630"/>
      <c r="AB19" s="1244"/>
      <c r="AI19" s="1244"/>
      <c r="AL19" s="419"/>
      <c r="AM19" s="419"/>
      <c r="AN19" s="419"/>
      <c r="AO19" s="419"/>
      <c r="AP19" s="419"/>
    </row>
    <row r="20" spans="1:42" s="4854" customFormat="1" ht="12" hidden="1" customHeight="1">
      <c r="L20" s="1322"/>
      <c r="M20" s="1240"/>
      <c r="N20" s="1240"/>
      <c r="O20" s="1242" t="s">
        <v>494</v>
      </c>
      <c r="P20" s="1240"/>
      <c r="Q20" s="1318"/>
      <c r="R20" s="1318"/>
      <c r="S20" s="630"/>
      <c r="T20" s="1042" t="s">
        <v>495</v>
      </c>
      <c r="Z20" s="108" t="s">
        <v>496</v>
      </c>
      <c r="AB20" s="108" t="s">
        <v>497</v>
      </c>
      <c r="AC20" s="1042" t="s">
        <v>495</v>
      </c>
      <c r="AG20" s="108" t="s">
        <v>498</v>
      </c>
      <c r="AI20" s="108" t="s">
        <v>497</v>
      </c>
    </row>
    <row r="21" spans="1:42" ht="14.25" hidden="1" customHeight="1">
      <c r="O21" s="1242"/>
    </row>
    <row r="22" spans="1:42" ht="14.25" hidden="1" customHeight="1">
      <c r="O22" s="1242"/>
    </row>
    <row r="23" spans="1:42" ht="14.25" customHeight="1">
      <c r="Q23" s="292"/>
      <c r="R23" s="292"/>
      <c r="S23" s="1158"/>
      <c r="T23" s="280"/>
      <c r="U23" s="280"/>
      <c r="V23" s="417"/>
      <c r="W23" s="417"/>
      <c r="X23" s="417"/>
      <c r="Y23" s="417"/>
      <c r="Z23" s="417"/>
      <c r="AA23" s="417"/>
      <c r="AB23" s="417"/>
      <c r="AC23" s="417"/>
      <c r="AD23" s="417"/>
      <c r="AE23" s="417"/>
      <c r="AF23" s="417"/>
      <c r="AG23" s="417"/>
      <c r="AH23" s="417"/>
      <c r="AI23" s="417"/>
    </row>
    <row r="24" spans="1:42" ht="14.25" customHeight="1">
      <c r="Q24" s="292"/>
      <c r="R24" s="292"/>
      <c r="S24" s="53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60"/>
      <c r="U24" s="5360"/>
      <c r="V24" s="5360"/>
      <c r="W24" s="5360"/>
      <c r="X24" s="5360"/>
      <c r="Y24" s="5360"/>
      <c r="Z24" s="5360"/>
      <c r="AA24" s="5360"/>
      <c r="AB24" s="5360"/>
      <c r="AC24" s="5360"/>
      <c r="AD24" s="5360"/>
      <c r="AE24" s="5360"/>
      <c r="AF24" s="5360"/>
      <c r="AG24" s="5360"/>
      <c r="AH24" s="5360"/>
      <c r="AI24" s="1126"/>
    </row>
    <row r="25" spans="1:42" ht="14.25" customHeight="1">
      <c r="Q25" s="292"/>
      <c r="R25" s="292"/>
      <c r="S25" s="5308" t="str">
        <f>IF(org=0,"Не определено",org)</f>
        <v>ООО «Газпром теплоэнерго МО»</v>
      </c>
      <c r="T25" s="5308"/>
      <c r="U25" s="5308"/>
      <c r="V25" s="5308"/>
      <c r="W25" s="5308"/>
      <c r="X25" s="5308"/>
      <c r="Y25" s="5308"/>
      <c r="Z25" s="5308"/>
      <c r="AA25" s="5308"/>
      <c r="AB25" s="5308"/>
      <c r="AC25" s="5308"/>
      <c r="AD25" s="5308"/>
      <c r="AE25" s="5308"/>
      <c r="AF25" s="5308"/>
      <c r="AG25" s="5308"/>
      <c r="AH25" s="5308"/>
      <c r="AI25" s="1126"/>
    </row>
    <row r="26" spans="1:42" ht="14.25" customHeight="1">
      <c r="Q26" s="292"/>
      <c r="R26" s="292"/>
      <c r="S26" s="1158"/>
      <c r="T26" s="280"/>
      <c r="U26" s="280"/>
      <c r="V26" s="240"/>
      <c r="W26" s="240"/>
      <c r="X26" s="240"/>
      <c r="Y26" s="240"/>
      <c r="Z26" s="240"/>
      <c r="AA26" s="240"/>
      <c r="AB26" s="240"/>
      <c r="AC26" s="240"/>
      <c r="AD26" s="240"/>
      <c r="AE26" s="240"/>
      <c r="AF26" s="240"/>
      <c r="AG26" s="240"/>
      <c r="AH26" s="240"/>
      <c r="AI26" s="240"/>
      <c r="AJ26" s="417"/>
    </row>
    <row r="27" spans="1:42" s="4855" customFormat="1" ht="25.5" customHeight="1">
      <c r="A27" s="1246"/>
      <c r="B27" s="1246"/>
      <c r="C27" s="1246"/>
      <c r="D27" s="1246"/>
      <c r="E27" s="1246"/>
      <c r="F27" s="1246"/>
      <c r="G27" s="1246"/>
      <c r="H27" s="1246"/>
      <c r="I27" s="1246"/>
      <c r="J27" s="1246"/>
      <c r="K27" s="1246"/>
      <c r="L27" s="1247"/>
      <c r="M27" s="1246"/>
      <c r="N27" s="1246"/>
      <c r="O27" s="1246"/>
      <c r="S27" s="5368" t="s">
        <v>38</v>
      </c>
      <c r="T27" s="5368"/>
      <c r="U27" s="1250"/>
      <c r="V27" s="5369" t="str">
        <f>IF(TITLE_NAME_OR_PR_CHANGE="",IF(TITLE_NAME_OR_PR="","",TITLE_NAME_OR_PR),TITLE_NAME_OR_PR_CHANGE)</f>
        <v>Комитет по ценам и тарифам Московской области</v>
      </c>
      <c r="W27" s="5369"/>
      <c r="X27" s="5369"/>
      <c r="Y27" s="5369"/>
      <c r="Z27" s="5369"/>
      <c r="AA27" s="5369"/>
      <c r="AB27" s="244"/>
      <c r="AC27" s="5369" t="str">
        <f>IF(TITLE_NAME_OR_PR_CHANGE="",IF(TITLE_NAME_OR_PR="","",TITLE_NAME_OR_PR),TITLE_NAME_OR_PR_CHANGE)</f>
        <v>Комитет по ценам и тарифам Московской области</v>
      </c>
      <c r="AD27" s="5369"/>
      <c r="AE27" s="5369"/>
      <c r="AF27" s="5369"/>
      <c r="AG27" s="5369"/>
      <c r="AH27" s="5369"/>
      <c r="AI27" s="244"/>
      <c r="AJ27" s="244"/>
      <c r="AK27" s="199"/>
      <c r="AL27" s="284"/>
      <c r="AM27" s="284"/>
      <c r="AN27" s="284"/>
      <c r="AO27" s="284"/>
      <c r="AP27" s="284"/>
    </row>
    <row r="28" spans="1:42" s="4855" customFormat="1" ht="18.75" customHeight="1">
      <c r="A28" s="1246"/>
      <c r="B28" s="1246"/>
      <c r="C28" s="1246"/>
      <c r="D28" s="1246"/>
      <c r="E28" s="1246"/>
      <c r="F28" s="1246"/>
      <c r="G28" s="1246"/>
      <c r="H28" s="1246"/>
      <c r="I28" s="1246"/>
      <c r="J28" s="1246"/>
      <c r="K28" s="1246"/>
      <c r="L28" s="1247"/>
      <c r="M28" s="1246"/>
      <c r="N28" s="1246"/>
      <c r="O28" s="1246"/>
      <c r="S28" s="5368" t="s">
        <v>499</v>
      </c>
      <c r="T28" s="5368"/>
      <c r="U28" s="1250"/>
      <c r="V28" s="5378">
        <f>IF(TITLE_DATE_PR_CHANGE="",IF(TITLE_DATE_PR="","",TITLE_DATE_PR),TITLE_DATE_PR_CHANGE)</f>
        <v>45280</v>
      </c>
      <c r="W28" s="5378"/>
      <c r="X28" s="5378"/>
      <c r="Y28" s="5378"/>
      <c r="Z28" s="5378"/>
      <c r="AA28" s="5378"/>
      <c r="AB28" s="244"/>
      <c r="AC28" s="5378">
        <f>IF(TITLE_DATE_PR_CHANGE="",IF(TITLE_DATE_PR="","",TITLE_DATE_PR),TITLE_DATE_PR_CHANGE)</f>
        <v>45280</v>
      </c>
      <c r="AD28" s="5378"/>
      <c r="AE28" s="5378"/>
      <c r="AF28" s="5378"/>
      <c r="AG28" s="5378"/>
      <c r="AH28" s="5378"/>
      <c r="AI28" s="244"/>
      <c r="AJ28" s="244"/>
      <c r="AK28" s="199"/>
      <c r="AL28" s="284"/>
      <c r="AM28" s="284"/>
      <c r="AN28" s="284"/>
      <c r="AO28" s="284"/>
      <c r="AP28" s="284"/>
    </row>
    <row r="29" spans="1:42" s="4855" customFormat="1" ht="18.75" customHeight="1">
      <c r="A29" s="1246"/>
      <c r="B29" s="1246"/>
      <c r="C29" s="1246"/>
      <c r="D29" s="1246"/>
      <c r="E29" s="1246"/>
      <c r="F29" s="1246"/>
      <c r="G29" s="1246"/>
      <c r="H29" s="1246"/>
      <c r="I29" s="1246"/>
      <c r="J29" s="1246"/>
      <c r="K29" s="1246"/>
      <c r="L29" s="1247"/>
      <c r="M29" s="1246"/>
      <c r="N29" s="1246"/>
      <c r="O29" s="1246"/>
      <c r="S29" s="5368" t="s">
        <v>500</v>
      </c>
      <c r="T29" s="5368"/>
      <c r="U29" s="1250"/>
      <c r="V29" s="5369" t="str">
        <f>IF(TITLE_NUMBER_PR_CHANGE="",IF(TITLE_NUMBER_PR="","",TITLE_NUMBER_PR),TITLE_NUMBER_PR_CHANGE)</f>
        <v>317-Р</v>
      </c>
      <c r="W29" s="5369"/>
      <c r="X29" s="5369"/>
      <c r="Y29" s="5369"/>
      <c r="Z29" s="5369"/>
      <c r="AA29" s="5369"/>
      <c r="AB29" s="244"/>
      <c r="AC29" s="5369" t="str">
        <f>IF(TITLE_NUMBER_PR_CHANGE="",IF(TITLE_NUMBER_PR="","",TITLE_NUMBER_PR),TITLE_NUMBER_PR_CHANGE)</f>
        <v>317-Р</v>
      </c>
      <c r="AD29" s="5369"/>
      <c r="AE29" s="5369"/>
      <c r="AF29" s="5369"/>
      <c r="AG29" s="5369"/>
      <c r="AH29" s="5369"/>
      <c r="AI29" s="244"/>
      <c r="AJ29" s="244"/>
      <c r="AK29" s="199"/>
      <c r="AL29" s="284"/>
      <c r="AM29" s="284"/>
      <c r="AN29" s="284"/>
      <c r="AO29" s="284"/>
      <c r="AP29" s="284"/>
    </row>
    <row r="30" spans="1:42" s="4855" customFormat="1" ht="18.75" customHeight="1">
      <c r="A30" s="1246"/>
      <c r="B30" s="1246"/>
      <c r="C30" s="1246"/>
      <c r="D30" s="1246"/>
      <c r="E30" s="1246"/>
      <c r="F30" s="1246"/>
      <c r="G30" s="1246"/>
      <c r="H30" s="1246"/>
      <c r="I30" s="1246"/>
      <c r="J30" s="1246"/>
      <c r="K30" s="1246"/>
      <c r="L30" s="1247"/>
      <c r="M30" s="1246"/>
      <c r="N30" s="1246"/>
      <c r="O30" s="1246"/>
      <c r="S30" s="5368" t="s">
        <v>40</v>
      </c>
      <c r="T30" s="5368"/>
      <c r="U30" s="1250"/>
      <c r="V30" s="5369" t="str">
        <f>IF(TITLE_IST_PUB_CHANGE="",IF(TITLE_IST_PUB="","",TITLE_IST_PUB),TITLE_IST_PUB_CHANGE)</f>
        <v>https://ktc.mosreg.ru/dokumenty/normotvorchestvo/rasporyazheniya/gosudarstvennoe-regulirovanie-tarifov-na-teplovuyu-energiyu-raspor/29-12-2023-16-47-50-rasporyazhenie-komiteta-po-tsenam-i-tarifam-moskov</v>
      </c>
      <c r="W30" s="5369"/>
      <c r="X30" s="5369"/>
      <c r="Y30" s="5369"/>
      <c r="Z30" s="5369"/>
      <c r="AA30" s="5369"/>
      <c r="AB30" s="244"/>
      <c r="AC30" s="5369" t="str">
        <f>IF(TITLE_IST_PUB_CHANGE="",IF(TITLE_IST_PUB="","",TITLE_IST_PUB),TITLE_IST_PUB_CHANGE)</f>
        <v>https://ktc.mosreg.ru/dokumenty/normotvorchestvo/rasporyazheniya/gosudarstvennoe-regulirovanie-tarifov-na-teplovuyu-energiyu-raspor/29-12-2023-16-47-50-rasporyazhenie-komiteta-po-tsenam-i-tarifam-moskov</v>
      </c>
      <c r="AD30" s="5369"/>
      <c r="AE30" s="5369"/>
      <c r="AF30" s="5369"/>
      <c r="AG30" s="5369"/>
      <c r="AH30" s="5369"/>
      <c r="AI30" s="244"/>
      <c r="AJ30" s="244"/>
      <c r="AK30" s="199"/>
      <c r="AL30" s="284"/>
      <c r="AM30" s="284"/>
      <c r="AN30" s="284"/>
      <c r="AO30" s="284"/>
      <c r="AP30" s="284"/>
    </row>
    <row r="31" spans="1:42" ht="14.25" hidden="1" customHeight="1">
      <c r="Q31" s="292"/>
      <c r="R31" s="292"/>
      <c r="S31" s="1158"/>
      <c r="T31" s="280"/>
      <c r="U31" s="280"/>
      <c r="V31" s="240"/>
      <c r="W31" s="240"/>
      <c r="X31" s="240"/>
      <c r="Y31" s="240"/>
      <c r="Z31" s="240"/>
      <c r="AA31" s="240"/>
      <c r="AB31" s="240"/>
      <c r="AC31" s="240"/>
      <c r="AD31" s="240"/>
      <c r="AE31" s="240"/>
      <c r="AF31" s="240"/>
      <c r="AG31" s="240"/>
      <c r="AH31" s="240"/>
      <c r="AI31" s="240"/>
      <c r="AJ31" s="417"/>
    </row>
    <row r="32" spans="1:42" s="4855" customFormat="1" ht="18.75" hidden="1" customHeight="1">
      <c r="A32" s="1246"/>
      <c r="B32" s="1246"/>
      <c r="C32" s="1246"/>
      <c r="D32" s="1246"/>
      <c r="E32" s="1246"/>
      <c r="F32" s="1246"/>
      <c r="G32" s="1246"/>
      <c r="H32" s="1246"/>
      <c r="I32" s="1246"/>
      <c r="J32" s="1246"/>
      <c r="K32" s="1246"/>
      <c r="L32" s="1247"/>
      <c r="M32" s="1246"/>
      <c r="N32" s="1246"/>
      <c r="O32" s="1246"/>
      <c r="S32" s="5368" t="s">
        <v>501</v>
      </c>
      <c r="T32" s="5368"/>
      <c r="U32" s="1250"/>
      <c r="V32" s="5378">
        <f>IF(TITLE_DATE_PR_CHANGE="",IF(TITLE_DATE_PR="","",TITLE_DATE_PR),TITLE_DATE_PR_CHANGE)</f>
        <v>45280</v>
      </c>
      <c r="W32" s="5378"/>
      <c r="X32" s="5378"/>
      <c r="Y32" s="5378"/>
      <c r="Z32" s="5378"/>
      <c r="AA32" s="5378"/>
      <c r="AB32" s="244"/>
      <c r="AC32" s="5378">
        <f>IF(TITLE_DATE_PR_CHANGE="",IF(TITLE_DATE_PR="","",TITLE_DATE_PR),TITLE_DATE_PR_CHANGE)</f>
        <v>45280</v>
      </c>
      <c r="AD32" s="5378"/>
      <c r="AE32" s="5378"/>
      <c r="AF32" s="5378"/>
      <c r="AG32" s="5378"/>
      <c r="AH32" s="5378"/>
      <c r="AI32" s="244"/>
      <c r="AJ32" s="244"/>
      <c r="AK32" s="199"/>
      <c r="AL32" s="284"/>
      <c r="AM32" s="284"/>
      <c r="AN32" s="284"/>
      <c r="AO32" s="284"/>
      <c r="AP32" s="284"/>
    </row>
    <row r="33" spans="1:42" s="4855" customFormat="1" ht="18.75" hidden="1" customHeight="1">
      <c r="A33" s="1246"/>
      <c r="B33" s="1246"/>
      <c r="C33" s="1246"/>
      <c r="D33" s="1246"/>
      <c r="E33" s="1246"/>
      <c r="F33" s="1246"/>
      <c r="G33" s="1246"/>
      <c r="H33" s="1246"/>
      <c r="I33" s="1246"/>
      <c r="J33" s="1246"/>
      <c r="K33" s="1246"/>
      <c r="L33" s="1247"/>
      <c r="M33" s="1246"/>
      <c r="N33" s="1246"/>
      <c r="O33" s="1246"/>
      <c r="S33" s="5368" t="s">
        <v>502</v>
      </c>
      <c r="T33" s="5368"/>
      <c r="U33" s="1250"/>
      <c r="V33" s="5369" t="str">
        <f>IF(TITLE_NUMBER_PR_CHANGE="",IF(TITLE_NUMBER_PR="","",TITLE_NUMBER_PR),TITLE_NUMBER_PR_CHANGE)</f>
        <v>317-Р</v>
      </c>
      <c r="W33" s="5369"/>
      <c r="X33" s="5369"/>
      <c r="Y33" s="5369"/>
      <c r="Z33" s="5369"/>
      <c r="AA33" s="5369"/>
      <c r="AB33" s="244"/>
      <c r="AC33" s="5369" t="str">
        <f>IF(TITLE_NUMBER_PR_CHANGE="",IF(TITLE_NUMBER_PR="","",TITLE_NUMBER_PR),TITLE_NUMBER_PR_CHANGE)</f>
        <v>317-Р</v>
      </c>
      <c r="AD33" s="5369"/>
      <c r="AE33" s="5369"/>
      <c r="AF33" s="5369"/>
      <c r="AG33" s="5369"/>
      <c r="AH33" s="5369"/>
      <c r="AI33" s="244"/>
      <c r="AJ33" s="244"/>
      <c r="AK33" s="199"/>
      <c r="AL33" s="284"/>
      <c r="AM33" s="284"/>
      <c r="AN33" s="284"/>
      <c r="AO33" s="284"/>
      <c r="AP33" s="284"/>
    </row>
    <row r="34" spans="1:42" s="4855" customFormat="1" ht="0.75" customHeight="1">
      <c r="A34" s="1246"/>
      <c r="B34" s="1246"/>
      <c r="C34" s="1246"/>
      <c r="D34" s="1246"/>
      <c r="E34" s="1246"/>
      <c r="F34" s="1246"/>
      <c r="G34" s="1246"/>
      <c r="H34" s="1246"/>
      <c r="I34" s="1246"/>
      <c r="J34" s="1246"/>
      <c r="K34" s="1246"/>
      <c r="L34" s="1247"/>
      <c r="M34" s="1246"/>
      <c r="N34" s="1246"/>
      <c r="O34" s="1246"/>
      <c r="S34" s="241"/>
      <c r="T34" s="241"/>
      <c r="U34" s="1329"/>
      <c r="V34" s="244"/>
      <c r="W34" s="244"/>
      <c r="X34" s="244"/>
      <c r="Y34" s="244"/>
      <c r="Z34" s="244"/>
      <c r="AA34" s="244"/>
      <c r="AB34" s="197" t="s">
        <v>503</v>
      </c>
      <c r="AC34" s="244"/>
      <c r="AD34" s="244"/>
      <c r="AE34" s="244"/>
      <c r="AF34" s="244"/>
      <c r="AG34" s="244"/>
      <c r="AH34" s="244"/>
      <c r="AI34" s="197" t="s">
        <v>503</v>
      </c>
      <c r="AL34" s="284"/>
      <c r="AM34" s="284"/>
      <c r="AN34" s="284"/>
      <c r="AO34" s="284"/>
      <c r="AP34" s="284"/>
    </row>
    <row r="35" spans="1:42" ht="14.25" customHeight="1">
      <c r="Q35" s="292"/>
      <c r="R35" s="292"/>
      <c r="S35" s="1158"/>
      <c r="T35" s="280"/>
      <c r="U35" s="1127"/>
      <c r="V35" s="5370"/>
      <c r="W35" s="5370"/>
      <c r="X35" s="5370"/>
      <c r="Y35" s="5370"/>
      <c r="Z35" s="5370"/>
      <c r="AA35" s="5370"/>
      <c r="AB35" s="5370"/>
      <c r="AC35" s="5370"/>
      <c r="AD35" s="5370"/>
      <c r="AE35" s="5370"/>
      <c r="AF35" s="5370"/>
      <c r="AG35" s="5370"/>
      <c r="AH35" s="5370"/>
      <c r="AI35" s="5370"/>
    </row>
    <row r="36" spans="1:42" ht="14.25" customHeight="1">
      <c r="Q36" s="292"/>
      <c r="R36" s="292"/>
      <c r="S36" s="5244" t="s">
        <v>378</v>
      </c>
      <c r="T36" s="5244"/>
      <c r="U36" s="5244"/>
      <c r="V36" s="5244"/>
      <c r="W36" s="5244"/>
      <c r="X36" s="5244"/>
      <c r="Y36" s="5244"/>
      <c r="Z36" s="5244"/>
      <c r="AA36" s="5244"/>
      <c r="AB36" s="5244"/>
      <c r="AC36" s="5244"/>
      <c r="AD36" s="5244"/>
      <c r="AE36" s="5244"/>
      <c r="AF36" s="5244"/>
      <c r="AG36" s="5244"/>
      <c r="AH36" s="5244"/>
      <c r="AI36" s="5244"/>
      <c r="AJ36" s="5244"/>
      <c r="AK36" s="5244" t="s">
        <v>379</v>
      </c>
    </row>
    <row r="37" spans="1:42" ht="14.25" customHeight="1">
      <c r="Q37" s="292"/>
      <c r="R37" s="292"/>
      <c r="S37" s="5384" t="s">
        <v>85</v>
      </c>
      <c r="T37" s="5336" t="s">
        <v>504</v>
      </c>
      <c r="U37" s="219"/>
      <c r="V37" s="5385" t="s">
        <v>505</v>
      </c>
      <c r="W37" s="5386"/>
      <c r="X37" s="5386"/>
      <c r="Y37" s="5386"/>
      <c r="Z37" s="5386"/>
      <c r="AA37" s="5387"/>
      <c r="AB37" s="5388" t="s">
        <v>506</v>
      </c>
      <c r="AC37" s="5385" t="s">
        <v>505</v>
      </c>
      <c r="AD37" s="5386"/>
      <c r="AE37" s="5386"/>
      <c r="AF37" s="5386"/>
      <c r="AG37" s="5386"/>
      <c r="AH37" s="5387"/>
      <c r="AI37" s="5388" t="s">
        <v>507</v>
      </c>
      <c r="AJ37" s="5391" t="s">
        <v>508</v>
      </c>
      <c r="AK37" s="5244"/>
    </row>
    <row r="38" spans="1:42" ht="33.75" customHeight="1">
      <c r="Q38" s="292"/>
      <c r="R38" s="292"/>
      <c r="S38" s="5384"/>
      <c r="T38" s="5336"/>
      <c r="U38" s="920"/>
      <c r="V38" s="1327" t="s">
        <v>565</v>
      </c>
      <c r="W38" s="5215" t="s">
        <v>511</v>
      </c>
      <c r="X38" s="5214"/>
      <c r="Y38" s="5215" t="s">
        <v>512</v>
      </c>
      <c r="Z38" s="5220"/>
      <c r="AA38" s="5214"/>
      <c r="AB38" s="5389"/>
      <c r="AC38" s="1327" t="s">
        <v>565</v>
      </c>
      <c r="AD38" s="5215" t="s">
        <v>511</v>
      </c>
      <c r="AE38" s="5214"/>
      <c r="AF38" s="5215" t="s">
        <v>512</v>
      </c>
      <c r="AG38" s="5220"/>
      <c r="AH38" s="5214"/>
      <c r="AI38" s="5389"/>
      <c r="AJ38" s="5392"/>
      <c r="AK38" s="5244"/>
    </row>
    <row r="39" spans="1:42" ht="33.75" customHeight="1">
      <c r="A39" s="1248"/>
      <c r="B39" s="1248" t="s">
        <v>153</v>
      </c>
      <c r="C39" s="1248" t="s">
        <v>154</v>
      </c>
      <c r="D39" s="1248" t="s">
        <v>155</v>
      </c>
      <c r="E39" s="1242" t="s">
        <v>513</v>
      </c>
      <c r="F39" s="1242" t="s">
        <v>514</v>
      </c>
      <c r="G39" s="1242" t="s">
        <v>515</v>
      </c>
      <c r="H39" s="1242"/>
      <c r="I39" s="1242" t="s">
        <v>566</v>
      </c>
      <c r="J39" s="1242" t="s">
        <v>518</v>
      </c>
      <c r="K39" s="1242" t="s">
        <v>567</v>
      </c>
      <c r="L39" s="1242" t="s">
        <v>494</v>
      </c>
      <c r="Q39" s="292"/>
      <c r="R39" s="292"/>
      <c r="S39" s="5384"/>
      <c r="T39" s="5336"/>
      <c r="U39" s="220"/>
      <c r="V39" s="1327" t="s">
        <v>568</v>
      </c>
      <c r="W39" s="1105" t="s">
        <v>569</v>
      </c>
      <c r="X39" s="1105" t="s">
        <v>570</v>
      </c>
      <c r="Y39" s="1330" t="s">
        <v>522</v>
      </c>
      <c r="Z39" s="5344" t="s">
        <v>523</v>
      </c>
      <c r="AA39" s="5346"/>
      <c r="AB39" s="5390"/>
      <c r="AC39" s="1327" t="s">
        <v>568</v>
      </c>
      <c r="AD39" s="1105" t="s">
        <v>569</v>
      </c>
      <c r="AE39" s="1105" t="s">
        <v>570</v>
      </c>
      <c r="AF39" s="1330" t="s">
        <v>522</v>
      </c>
      <c r="AG39" s="5344" t="s">
        <v>523</v>
      </c>
      <c r="AH39" s="5346"/>
      <c r="AI39" s="5390"/>
      <c r="AJ39" s="5393"/>
      <c r="AK39" s="5244"/>
    </row>
    <row r="40" spans="1:42" s="4840" customFormat="1" ht="0"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129</v>
      </c>
      <c r="T40" s="1138" t="s">
        <v>100</v>
      </c>
      <c r="U40" s="1128" t="str">
        <f ca="1">OFFSET(U40,0,-1)</f>
        <v>2</v>
      </c>
      <c r="V40" s="1326">
        <f ca="1">OFFSET(V40,0,-1)+1</f>
        <v>3</v>
      </c>
      <c r="W40" s="1326">
        <f ca="1">OFFSET(W40,0,-1)+1</f>
        <v>4</v>
      </c>
      <c r="X40" s="1326">
        <f ca="1">OFFSET(X40,0,-1)+1</f>
        <v>5</v>
      </c>
      <c r="Y40" s="1326">
        <f ca="1">OFFSET(Y40,0,-1)+1</f>
        <v>6</v>
      </c>
      <c r="Z40" s="5383">
        <f ca="1">OFFSET(Z40,0,-1)+1</f>
        <v>7</v>
      </c>
      <c r="AA40" s="5383"/>
      <c r="AB40" s="1326">
        <f ca="1">OFFSET(AB40,0,-2)+1</f>
        <v>8</v>
      </c>
      <c r="AC40" s="1326">
        <f ca="1">OFFSET(AC40,0,-1)+1</f>
        <v>9</v>
      </c>
      <c r="AD40" s="1326">
        <f ca="1">OFFSET(AD40,0,-1)+1</f>
        <v>10</v>
      </c>
      <c r="AE40" s="1326">
        <f ca="1">OFFSET(AE40,0,-1)+1</f>
        <v>11</v>
      </c>
      <c r="AF40" s="1326">
        <f ca="1">OFFSET(AF40,0,-1)+1</f>
        <v>12</v>
      </c>
      <c r="AG40" s="5383">
        <f ca="1">OFFSET(AG40,0,-1)+1</f>
        <v>13</v>
      </c>
      <c r="AH40" s="5383"/>
      <c r="AI40" s="1326">
        <f ca="1">OFFSET(AI40,0,-2)+1</f>
        <v>14</v>
      </c>
      <c r="AJ40" s="1128">
        <f ca="1">OFFSET(AJ40,0,-1)</f>
        <v>14</v>
      </c>
      <c r="AK40" s="1326">
        <f ca="1">OFFSET(AK40,0,-1)+1</f>
        <v>15</v>
      </c>
      <c r="AL40" s="419"/>
      <c r="AM40" s="419"/>
      <c r="AN40" s="419"/>
      <c r="AO40" s="419"/>
      <c r="AP40" s="419"/>
    </row>
    <row r="41" spans="1:42" ht="23.25" customHeight="1">
      <c r="A41" s="1241" t="s">
        <v>246</v>
      </c>
      <c r="B41" s="1241"/>
      <c r="C41" s="1241"/>
      <c r="D41" s="1241"/>
      <c r="E41" s="5376">
        <v>1</v>
      </c>
      <c r="F41" s="1241"/>
      <c r="G41" s="1241"/>
      <c r="H41" s="1241"/>
      <c r="I41" s="1241"/>
      <c r="J41" s="1241"/>
      <c r="K41" s="1241"/>
      <c r="L41" s="1242"/>
      <c r="M41" s="1243"/>
      <c r="N41" s="1243"/>
      <c r="O41" s="1243"/>
      <c r="P41" s="278"/>
      <c r="Q41" s="277"/>
      <c r="R41" s="272"/>
      <c r="S41" s="1332">
        <f>INDEX(PT_DIFFERENTIATION_NUM_NTAR,MATCH(A41,PT_DIFFERENTIATION_NTAR_ID,0))</f>
        <v>0</v>
      </c>
      <c r="T41" s="216" t="s">
        <v>141</v>
      </c>
      <c r="U41" s="218"/>
      <c r="V41" s="5362"/>
      <c r="W41" s="5363"/>
      <c r="X41" s="5363"/>
      <c r="Y41" s="5363"/>
      <c r="Z41" s="5363"/>
      <c r="AA41" s="5363"/>
      <c r="AB41" s="5364"/>
      <c r="AC41" s="5362" t="str">
        <f>INDEX(PT_DIFFERENTIATION_NTAR,MATCH(A41,PT_DIFFERENTIATION_NTAR_ID,0))</f>
        <v/>
      </c>
      <c r="AD41" s="5363"/>
      <c r="AE41" s="5363"/>
      <c r="AF41" s="5363"/>
      <c r="AG41" s="5363"/>
      <c r="AH41" s="5363"/>
      <c r="AI41" s="5363"/>
      <c r="AJ41" s="5364"/>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1" t="s">
        <v>246</v>
      </c>
      <c r="B42" s="1241" t="s">
        <v>247</v>
      </c>
      <c r="C42" s="1241"/>
      <c r="D42" s="1241"/>
      <c r="E42" s="5377"/>
      <c r="F42" s="5376">
        <v>1</v>
      </c>
      <c r="G42" s="1241"/>
      <c r="H42" s="1241"/>
      <c r="I42" s="1241"/>
      <c r="J42" s="1241"/>
      <c r="K42" s="1241"/>
      <c r="L42" s="1242"/>
      <c r="M42" s="1243"/>
      <c r="N42" s="1243"/>
      <c r="O42" s="1243"/>
      <c r="P42" s="1328"/>
      <c r="Q42" s="269"/>
      <c r="R42" s="270"/>
      <c r="S42" s="1332" t="str">
        <f>INDEX(PT_DIFFERENTIATION_NUM_TER,MATCH(B42,PT_DIFFERENTIATION_TER_ID,0))</f>
        <v>.</v>
      </c>
      <c r="T42" s="226" t="s">
        <v>475</v>
      </c>
      <c r="U42" s="218"/>
      <c r="V42" s="5362"/>
      <c r="W42" s="5363"/>
      <c r="X42" s="5363"/>
      <c r="Y42" s="5363"/>
      <c r="Z42" s="5363"/>
      <c r="AA42" s="5363"/>
      <c r="AB42" s="5364"/>
      <c r="AC42" s="5362" t="str">
        <f>INDEX(PT_DIFFERENTIATION_TER,MATCH(B42,PT_DIFFERENTIATION_TER_ID,0))</f>
        <v/>
      </c>
      <c r="AD42" s="5363"/>
      <c r="AE42" s="5363"/>
      <c r="AF42" s="5363"/>
      <c r="AG42" s="5363"/>
      <c r="AH42" s="5363"/>
      <c r="AI42" s="5363"/>
      <c r="AJ42" s="5364"/>
      <c r="AK42" s="1141" t="s">
        <v>476</v>
      </c>
      <c r="AM42" s="408"/>
      <c r="AN42" s="408" t="str">
        <f t="shared" si="1"/>
        <v>Территория действия тарифа</v>
      </c>
      <c r="AO42" s="408"/>
      <c r="AP42" s="408"/>
    </row>
    <row r="43" spans="1:42" ht="23.25" customHeight="1">
      <c r="A43" s="1241" t="s">
        <v>246</v>
      </c>
      <c r="B43" s="1241" t="s">
        <v>247</v>
      </c>
      <c r="C43" s="1241" t="s">
        <v>248</v>
      </c>
      <c r="D43" s="1241"/>
      <c r="E43" s="5377"/>
      <c r="F43" s="5377"/>
      <c r="G43" s="5376">
        <v>1</v>
      </c>
      <c r="H43" s="1241"/>
      <c r="I43" s="1241"/>
      <c r="J43" s="1241"/>
      <c r="K43" s="1241"/>
      <c r="L43" s="1242"/>
      <c r="M43" s="1243"/>
      <c r="N43" s="1243"/>
      <c r="O43" s="1243"/>
      <c r="P43" s="271"/>
      <c r="Q43" s="269"/>
      <c r="R43" s="270"/>
      <c r="S43" s="1332" t="str">
        <f>INDEX(PT_DIFFERENTIATION_NUM_CS,MATCH(C43,PT_DIFFERENTIATION_CS_ID,0))</f>
        <v>..</v>
      </c>
      <c r="T43" s="227" t="s">
        <v>557</v>
      </c>
      <c r="U43" s="218"/>
      <c r="V43" s="5362"/>
      <c r="W43" s="5363"/>
      <c r="X43" s="5363"/>
      <c r="Y43" s="5363"/>
      <c r="Z43" s="5363"/>
      <c r="AA43" s="5363"/>
      <c r="AB43" s="5364"/>
      <c r="AC43" s="5362" t="str">
        <f>INDEX(PT_DIFFERENTIATION_CS,MATCH(C43,PT_DIFFERENTIATION_CS_ID,0))</f>
        <v/>
      </c>
      <c r="AD43" s="5363"/>
      <c r="AE43" s="5363"/>
      <c r="AF43" s="5363"/>
      <c r="AG43" s="5363"/>
      <c r="AH43" s="5363"/>
      <c r="AI43" s="5363"/>
      <c r="AJ43" s="5364"/>
      <c r="AK43" s="1141" t="s">
        <v>558</v>
      </c>
      <c r="AM43" s="408"/>
      <c r="AN43" s="408" t="str">
        <f t="shared" si="1"/>
        <v>Наименование централизованной системы холодного водоснабжения</v>
      </c>
      <c r="AO43" s="408"/>
      <c r="AP43" s="408"/>
    </row>
    <row r="44" spans="1:42" ht="23.25" customHeight="1">
      <c r="A44" s="1241" t="s">
        <v>246</v>
      </c>
      <c r="B44" s="1241" t="s">
        <v>247</v>
      </c>
      <c r="C44" s="1241" t="s">
        <v>248</v>
      </c>
      <c r="D44" s="1241" t="s">
        <v>572</v>
      </c>
      <c r="E44" s="5377"/>
      <c r="F44" s="5377"/>
      <c r="G44" s="5377"/>
      <c r="H44" s="5377"/>
      <c r="I44" s="5374" t="str">
        <f>S43&amp;".1"</f>
        <v>...1</v>
      </c>
      <c r="J44" s="1241"/>
      <c r="K44" s="1241"/>
      <c r="L44" s="1242"/>
      <c r="P44" s="5375">
        <v>1</v>
      </c>
      <c r="Q44" s="1325"/>
      <c r="R44" s="273"/>
      <c r="S44" s="1332" t="str">
        <f>$I44</f>
        <v>...1</v>
      </c>
      <c r="T44" s="203" t="s">
        <v>559</v>
      </c>
      <c r="U44" s="218"/>
      <c r="V44" s="5435"/>
      <c r="W44" s="5436"/>
      <c r="X44" s="5436"/>
      <c r="Y44" s="5436"/>
      <c r="Z44" s="5436"/>
      <c r="AA44" s="5436"/>
      <c r="AB44" s="5437"/>
      <c r="AC44" s="5438"/>
      <c r="AD44" s="5439"/>
      <c r="AE44" s="5439"/>
      <c r="AF44" s="5439"/>
      <c r="AG44" s="5439"/>
      <c r="AH44" s="5439"/>
      <c r="AI44" s="5439"/>
      <c r="AJ44" s="5440"/>
      <c r="AK44" s="1141" t="s">
        <v>560</v>
      </c>
      <c r="AM44" s="408"/>
      <c r="AN44" s="408" t="str">
        <f t="shared" si="1"/>
        <v>Наименование признака дифференциации</v>
      </c>
      <c r="AO44" s="408"/>
      <c r="AP44" s="408"/>
    </row>
    <row r="45" spans="1:42" ht="23.25" customHeight="1">
      <c r="A45" s="1241" t="s">
        <v>246</v>
      </c>
      <c r="B45" s="1241" t="s">
        <v>247</v>
      </c>
      <c r="C45" s="1241" t="s">
        <v>248</v>
      </c>
      <c r="D45" s="1241" t="s">
        <v>572</v>
      </c>
      <c r="E45" s="5377"/>
      <c r="F45" s="5377"/>
      <c r="G45" s="5377"/>
      <c r="H45" s="5377"/>
      <c r="I45" s="5397"/>
      <c r="J45" s="5374" t="str">
        <f>I44&amp;".1"</f>
        <v>...1.1</v>
      </c>
      <c r="K45" s="1241"/>
      <c r="L45" s="1242" t="s">
        <v>484</v>
      </c>
      <c r="P45" s="5375"/>
      <c r="Q45" s="5375">
        <v>1</v>
      </c>
      <c r="R45" s="274"/>
      <c r="S45" s="1332" t="str">
        <f>$J45</f>
        <v>...1.1</v>
      </c>
      <c r="T45" s="204" t="s">
        <v>485</v>
      </c>
      <c r="U45" s="218"/>
      <c r="V45" s="5365"/>
      <c r="W45" s="5366"/>
      <c r="X45" s="5366"/>
      <c r="Y45" s="5366"/>
      <c r="Z45" s="5366"/>
      <c r="AA45" s="5366"/>
      <c r="AB45" s="5367"/>
      <c r="AC45" s="5365"/>
      <c r="AD45" s="5366"/>
      <c r="AE45" s="5366"/>
      <c r="AF45" s="5366"/>
      <c r="AG45" s="5366"/>
      <c r="AH45" s="5366"/>
      <c r="AI45" s="5366"/>
      <c r="AJ45" s="5367"/>
      <c r="AK45" s="1188" t="s">
        <v>561</v>
      </c>
      <c r="AM45" s="408"/>
      <c r="AN45" s="408" t="str">
        <f t="shared" si="1"/>
        <v>Группа потребителей</v>
      </c>
      <c r="AO45" s="408"/>
      <c r="AP45" s="408"/>
    </row>
    <row r="46" spans="1:42" ht="23.25" customHeight="1">
      <c r="A46" s="1241" t="s">
        <v>246</v>
      </c>
      <c r="B46" s="1241" t="s">
        <v>247</v>
      </c>
      <c r="C46" s="1241" t="s">
        <v>248</v>
      </c>
      <c r="D46" s="1241" t="s">
        <v>572</v>
      </c>
      <c r="E46" s="5377"/>
      <c r="F46" s="5377"/>
      <c r="G46" s="5377"/>
      <c r="H46" s="5377"/>
      <c r="I46" s="5397"/>
      <c r="J46" s="5397"/>
      <c r="K46" s="5374" t="str">
        <f>J45&amp;".1"</f>
        <v>...1.1.1</v>
      </c>
      <c r="L46" s="1242"/>
      <c r="P46" s="5375"/>
      <c r="Q46" s="5375"/>
      <c r="R46" s="274">
        <v>1</v>
      </c>
      <c r="S46" s="1332" t="str">
        <f>$K46</f>
        <v>...1.1.1</v>
      </c>
      <c r="T46" s="1314"/>
      <c r="U46" s="218"/>
      <c r="V46" s="650"/>
      <c r="W46" s="650"/>
      <c r="X46" s="1140"/>
      <c r="Y46" s="5379"/>
      <c r="Z46" s="5225" t="s">
        <v>64</v>
      </c>
      <c r="AA46" s="5379"/>
      <c r="AB46" s="5225" t="s">
        <v>64</v>
      </c>
      <c r="AC46" s="650"/>
      <c r="AD46" s="650"/>
      <c r="AE46" s="1140"/>
      <c r="AF46" s="5379"/>
      <c r="AG46" s="5225" t="s">
        <v>64</v>
      </c>
      <c r="AH46" s="5398"/>
      <c r="AI46" s="5225" t="s">
        <v>64</v>
      </c>
      <c r="AJ46" s="1315"/>
      <c r="AK46"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1" t="s">
        <v>246</v>
      </c>
      <c r="B47" s="1241" t="s">
        <v>247</v>
      </c>
      <c r="C47" s="1241" t="s">
        <v>248</v>
      </c>
      <c r="D47" s="1241" t="s">
        <v>572</v>
      </c>
      <c r="E47" s="5377"/>
      <c r="F47" s="5377"/>
      <c r="G47" s="5377"/>
      <c r="H47" s="5377"/>
      <c r="I47" s="5397"/>
      <c r="J47" s="5397"/>
      <c r="K47" s="5374"/>
      <c r="L47" s="1242"/>
      <c r="P47" s="5375"/>
      <c r="Q47" s="5375"/>
      <c r="R47" s="274"/>
      <c r="S47" s="1331"/>
      <c r="T47" s="218"/>
      <c r="U47" s="218"/>
      <c r="V47" s="243"/>
      <c r="W47" s="243"/>
      <c r="X47" s="246" t="str">
        <f>Y46&amp;"-"&amp;AA46</f>
        <v>-</v>
      </c>
      <c r="Y47" s="5380"/>
      <c r="Z47" s="5225"/>
      <c r="AA47" s="5380"/>
      <c r="AB47" s="5225"/>
      <c r="AC47" s="243"/>
      <c r="AD47" s="243"/>
      <c r="AE47" s="246" t="str">
        <f>AF46&amp;"-"&amp;AH46</f>
        <v>-</v>
      </c>
      <c r="AF47" s="5380"/>
      <c r="AG47" s="5225"/>
      <c r="AH47" s="5399"/>
      <c r="AI47" s="5225"/>
      <c r="AJ47" s="1316"/>
      <c r="AK47" s="5434"/>
      <c r="AM47" s="408"/>
      <c r="AN47" s="408" t="str">
        <f t="shared" si="1"/>
        <v/>
      </c>
      <c r="AO47" s="408"/>
      <c r="AP47" s="408"/>
    </row>
    <row r="48" spans="1:42" ht="21" customHeight="1">
      <c r="A48" s="1241" t="s">
        <v>246</v>
      </c>
      <c r="B48" s="1241" t="s">
        <v>247</v>
      </c>
      <c r="C48" s="1241" t="s">
        <v>248</v>
      </c>
      <c r="D48" s="1241" t="s">
        <v>572</v>
      </c>
      <c r="E48" s="5377"/>
      <c r="F48" s="5377"/>
      <c r="G48" s="5377"/>
      <c r="H48" s="5377"/>
      <c r="I48" s="5397"/>
      <c r="J48" s="5374"/>
      <c r="K48" s="1241"/>
      <c r="L48" s="1242"/>
      <c r="P48" s="5375"/>
      <c r="Q48" s="5375"/>
      <c r="R48" s="273"/>
      <c r="S48" s="1161"/>
      <c r="T48" s="205" t="s">
        <v>562</v>
      </c>
      <c r="U48" s="283"/>
      <c r="V48" s="283"/>
      <c r="W48" s="283"/>
      <c r="X48" s="283"/>
      <c r="Y48" s="283"/>
      <c r="Z48" s="283"/>
      <c r="AA48" s="283"/>
      <c r="AB48" s="283"/>
      <c r="AC48" s="283"/>
      <c r="AD48" s="283"/>
      <c r="AE48" s="283"/>
      <c r="AF48" s="283"/>
      <c r="AG48" s="283"/>
      <c r="AH48" s="283"/>
      <c r="AI48" s="283"/>
      <c r="AJ48" s="283"/>
      <c r="AK48" s="1141" t="s">
        <v>563</v>
      </c>
      <c r="AM48" s="408"/>
      <c r="AN48" s="408" t="str">
        <f t="shared" si="1"/>
        <v>Добавить значение признака дифференциации</v>
      </c>
      <c r="AO48" s="408"/>
      <c r="AP48" s="408"/>
    </row>
    <row r="49" spans="1:42" ht="21" customHeight="1">
      <c r="A49" s="1241" t="s">
        <v>246</v>
      </c>
      <c r="B49" s="1241" t="s">
        <v>247</v>
      </c>
      <c r="C49" s="1241" t="s">
        <v>248</v>
      </c>
      <c r="D49" s="1241" t="s">
        <v>572</v>
      </c>
      <c r="E49" s="5377"/>
      <c r="F49" s="5377"/>
      <c r="G49" s="5377"/>
      <c r="H49" s="5377"/>
      <c r="I49" s="5374"/>
      <c r="J49" s="1241"/>
      <c r="K49" s="1241"/>
      <c r="L49" s="1242"/>
      <c r="P49" s="5375"/>
      <c r="Q49" s="1325"/>
      <c r="R49" s="273"/>
      <c r="S49" s="1161"/>
      <c r="T49" s="281" t="s">
        <v>490</v>
      </c>
      <c r="U49" s="283"/>
      <c r="V49" s="283"/>
      <c r="W49" s="283"/>
      <c r="X49" s="283"/>
      <c r="Y49" s="283"/>
      <c r="Z49" s="283"/>
      <c r="AA49" s="283"/>
      <c r="AB49" s="282"/>
      <c r="AC49" s="283"/>
      <c r="AD49" s="283"/>
      <c r="AE49" s="283"/>
      <c r="AF49" s="283"/>
      <c r="AG49" s="283"/>
      <c r="AH49" s="283"/>
      <c r="AI49" s="282"/>
      <c r="AJ49" s="283"/>
      <c r="AK49" s="1317"/>
      <c r="AM49" s="408"/>
      <c r="AN49" s="408" t="str">
        <f t="shared" si="1"/>
        <v>Добавить группу потребителей</v>
      </c>
      <c r="AO49" s="408"/>
      <c r="AP49" s="408"/>
    </row>
    <row r="50" spans="1:42" ht="21" customHeight="1">
      <c r="A50" s="1241" t="s">
        <v>246</v>
      </c>
      <c r="B50" s="1241" t="s">
        <v>247</v>
      </c>
      <c r="C50" s="1241" t="s">
        <v>248</v>
      </c>
      <c r="D50" s="1241" t="s">
        <v>572</v>
      </c>
      <c r="E50" s="5377"/>
      <c r="F50" s="5377"/>
      <c r="G50" s="5377"/>
      <c r="H50" s="5376"/>
      <c r="I50" s="1241"/>
      <c r="J50" s="1241"/>
      <c r="K50" s="1241"/>
      <c r="L50" s="1242"/>
      <c r="M50" s="1243"/>
      <c r="N50" s="1243"/>
      <c r="O50" s="444"/>
      <c r="P50" s="277"/>
      <c r="Q50" s="291"/>
      <c r="R50" s="272"/>
      <c r="S50" s="1161"/>
      <c r="T50" s="288" t="s">
        <v>564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4853" customFormat="1" ht="0" hidden="1" customHeight="1">
      <c r="A51" s="1222" t="s">
        <v>246</v>
      </c>
      <c r="B51" s="1222" t="s">
        <v>247</v>
      </c>
      <c r="C51" s="1194"/>
      <c r="D51" s="1194"/>
      <c r="E51" s="5377"/>
      <c r="F51" s="5376"/>
      <c r="G51" s="1194"/>
      <c r="H51" s="1194"/>
      <c r="I51" s="1194"/>
      <c r="J51" s="1194"/>
      <c r="K51" s="1194"/>
      <c r="L51" s="1333"/>
      <c r="M51" s="1201"/>
      <c r="N51" s="1201"/>
      <c r="P51" s="1196"/>
      <c r="Q51" s="1197"/>
      <c r="R51" s="1196"/>
      <c r="S51" s="1202"/>
      <c r="T51" s="1205" t="s">
        <v>271</v>
      </c>
      <c r="U51" s="1204"/>
      <c r="V51" s="1204"/>
      <c r="W51" s="1204"/>
      <c r="X51" s="1204"/>
      <c r="Y51" s="1204"/>
      <c r="Z51" s="1204"/>
      <c r="AA51" s="1204"/>
      <c r="AB51" s="1204"/>
      <c r="AC51" s="1204"/>
      <c r="AD51" s="1204"/>
      <c r="AE51" s="1204"/>
      <c r="AF51" s="1204"/>
      <c r="AG51" s="1204"/>
      <c r="AH51" s="1204"/>
      <c r="AI51" s="1204"/>
      <c r="AJ51" s="1204"/>
      <c r="AK51" s="1204"/>
      <c r="AM51" s="688"/>
      <c r="AN51" s="688" t="str">
        <f t="shared" si="1"/>
        <v>Добавить централизованную систему для дифференциации</v>
      </c>
      <c r="AO51" s="688"/>
      <c r="AP51" s="688"/>
    </row>
    <row r="52" spans="1:42" s="4856" customFormat="1" ht="0" hidden="1" customHeight="1">
      <c r="A52" s="1222" t="s">
        <v>246</v>
      </c>
      <c r="B52" s="1222"/>
      <c r="C52" s="1222"/>
      <c r="D52" s="1222"/>
      <c r="E52" s="5376"/>
      <c r="F52" s="1222"/>
      <c r="G52" s="1222"/>
      <c r="H52" s="1222"/>
      <c r="I52" s="1222"/>
      <c r="J52" s="1222"/>
      <c r="K52" s="1222"/>
      <c r="L52" s="1225"/>
      <c r="M52" s="1201"/>
      <c r="N52" s="1201"/>
      <c r="O52" s="426"/>
      <c r="P52" s="296"/>
      <c r="Q52" s="1223"/>
      <c r="R52" s="296"/>
      <c r="S52" s="1202"/>
      <c r="T52" s="1205" t="s">
        <v>330</v>
      </c>
      <c r="U52" s="1204"/>
      <c r="V52" s="1204"/>
      <c r="W52" s="1204"/>
      <c r="X52" s="1204"/>
      <c r="Y52" s="1204"/>
      <c r="Z52" s="1204"/>
      <c r="AA52" s="1204"/>
      <c r="AB52" s="1204"/>
      <c r="AC52" s="1204"/>
      <c r="AD52" s="1204"/>
      <c r="AE52" s="1204"/>
      <c r="AF52" s="1204"/>
      <c r="AG52" s="1204"/>
      <c r="AH52" s="1204"/>
      <c r="AI52" s="1204"/>
      <c r="AJ52" s="1204"/>
      <c r="AK52" s="1204"/>
      <c r="AM52" s="408"/>
      <c r="AN52" s="408" t="str">
        <f t="shared" si="1"/>
        <v>Добавить территорию для дифференциации</v>
      </c>
      <c r="AO52" s="408"/>
      <c r="AP52" s="408"/>
    </row>
    <row r="53" spans="1:42" s="4853" customFormat="1" ht="0" hidden="1" customHeight="1">
      <c r="A53" s="1194"/>
      <c r="B53" s="1194"/>
      <c r="C53" s="1194"/>
      <c r="D53" s="1194"/>
      <c r="E53" s="1222"/>
      <c r="F53" s="1194"/>
      <c r="G53" s="1194"/>
      <c r="H53" s="1194"/>
      <c r="I53" s="1194"/>
      <c r="J53" s="1194"/>
      <c r="K53" s="1194"/>
      <c r="L53" s="1333"/>
      <c r="M53" s="1201"/>
      <c r="N53" s="1201"/>
      <c r="P53" s="1196"/>
      <c r="Q53" s="1197"/>
      <c r="R53" s="1196"/>
      <c r="S53" s="1202"/>
      <c r="T53" s="1205" t="s">
        <v>331</v>
      </c>
      <c r="U53" s="1204"/>
      <c r="V53" s="1204"/>
      <c r="W53" s="1204"/>
      <c r="X53" s="1204"/>
      <c r="Y53" s="1204"/>
      <c r="Z53" s="1204"/>
      <c r="AA53" s="1204"/>
      <c r="AB53" s="1204"/>
      <c r="AC53" s="1204"/>
      <c r="AD53" s="1204"/>
      <c r="AE53" s="1204"/>
      <c r="AF53" s="1204"/>
      <c r="AG53" s="1204"/>
      <c r="AH53" s="1204"/>
      <c r="AI53" s="1204"/>
      <c r="AJ53" s="1204"/>
      <c r="AK53" s="1204"/>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6"/>
      <c r="T55" s="5396"/>
      <c r="U55" s="5396"/>
      <c r="V55" s="5396"/>
      <c r="W55" s="5396"/>
      <c r="X55" s="5396"/>
      <c r="Y55" s="5396"/>
      <c r="Z55" s="5396"/>
      <c r="AA55" s="5396"/>
      <c r="AB55" s="5396"/>
      <c r="AC55" s="5396"/>
      <c r="AD55" s="5396"/>
      <c r="AE55" s="5396"/>
      <c r="AF55" s="5396"/>
      <c r="AG55" s="5396"/>
      <c r="AH55" s="5396"/>
      <c r="AI55" s="5396"/>
      <c r="AJ55" s="5396"/>
      <c r="AK55" s="5396"/>
    </row>
    <row r="56" spans="1:42" ht="14.25" customHeight="1">
      <c r="O56" s="444"/>
    </row>
    <row r="57" spans="1:42" ht="14.25" customHeight="1">
      <c r="O57" s="444"/>
      <c r="S57" s="1136"/>
      <c r="T57" s="5396"/>
      <c r="U57" s="5396"/>
      <c r="V57" s="5396"/>
      <c r="W57" s="5396"/>
      <c r="X57" s="5396"/>
      <c r="Y57" s="5396"/>
      <c r="Z57" s="5396"/>
      <c r="AA57" s="5396"/>
      <c r="AB57" s="5396"/>
      <c r="AC57" s="5396"/>
      <c r="AD57" s="5396"/>
      <c r="AE57" s="5396"/>
      <c r="AF57" s="5396"/>
      <c r="AG57" s="5396"/>
      <c r="AH57" s="5396"/>
      <c r="AI57" s="5396"/>
      <c r="AJ57" s="5396"/>
      <c r="AK57" s="5396"/>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4.140625" style="4854" hidden="1" customWidth="1"/>
    <col min="10" max="10" width="9.85546875" style="4854" hidden="1" customWidth="1"/>
    <col min="11" max="11" width="14.7109375" style="4854" hidden="1" customWidth="1"/>
    <col min="12" max="12" width="19.140625" style="4877" hidden="1" customWidth="1"/>
    <col min="13" max="14" width="12.28515625" style="4858" hidden="1" customWidth="1"/>
    <col min="15" max="15" width="23.42578125" style="4858" hidden="1" customWidth="1"/>
    <col min="16" max="16" width="3.7109375" style="4878" customWidth="1"/>
    <col min="17" max="18" width="3.7109375" style="4860" customWidth="1"/>
    <col min="19" max="19" width="12.7109375" style="4861" customWidth="1"/>
    <col min="20" max="20" width="35.7109375" style="4862" customWidth="1"/>
    <col min="21" max="21" width="0.140625" style="4862" customWidth="1"/>
    <col min="22" max="24" width="24.7109375" style="4862" hidden="1" customWidth="1"/>
    <col min="25" max="25" width="11.7109375" style="4862" hidden="1" customWidth="1"/>
    <col min="26" max="26" width="3.7109375" style="4862" hidden="1" customWidth="1"/>
    <col min="27" max="27" width="11.7109375" style="4862" hidden="1" customWidth="1"/>
    <col min="28" max="28" width="8.5703125" style="4862" hidden="1" customWidth="1"/>
    <col min="29" max="31" width="24.7109375" style="4862" customWidth="1"/>
    <col min="32" max="32" width="11.7109375" style="4862" customWidth="1"/>
    <col min="33" max="33" width="3.7109375" style="4862" customWidth="1"/>
    <col min="34" max="34" width="11.7109375" style="4862" customWidth="1"/>
    <col min="35" max="35" width="8.5703125" style="4862" hidden="1" customWidth="1"/>
    <col min="36" max="36" width="4.7109375" style="4862" customWidth="1"/>
    <col min="37" max="37" width="115.7109375" style="4862" customWidth="1"/>
    <col min="38" max="39" width="10.5703125" style="4856"/>
    <col min="40" max="40" width="11.140625" style="4856" customWidth="1"/>
    <col min="41" max="42" width="10.5703125" style="4856"/>
  </cols>
  <sheetData>
    <row r="1" spans="1:42" ht="14.25" hidden="1" customHeight="1">
      <c r="X1" s="245"/>
      <c r="Y1" s="245"/>
      <c r="AE1" s="245"/>
      <c r="AF1" s="245"/>
    </row>
    <row r="2" spans="1:42" ht="23.25" hidden="1" customHeight="1">
      <c r="A2" s="1241"/>
      <c r="B2" s="1241"/>
      <c r="C2" s="1241"/>
      <c r="D2" s="1241"/>
      <c r="E2" s="5376">
        <v>1</v>
      </c>
      <c r="F2" s="1241"/>
      <c r="G2" s="1241"/>
      <c r="H2" s="1241"/>
      <c r="I2" s="1241"/>
      <c r="J2" s="1241"/>
      <c r="K2" s="1241"/>
      <c r="L2" s="1242"/>
      <c r="M2" s="1243"/>
      <c r="N2" s="1243"/>
      <c r="O2" s="1243"/>
      <c r="P2" s="278"/>
      <c r="Q2" s="277"/>
      <c r="R2" s="272"/>
      <c r="S2" s="1332" t="e">
        <f>INDEX(PT_DIFFERENTIATION_NUM_NTAR,MATCH(A2,PT_DIFFERENTIATION_NTAR_ID,0))</f>
        <v>#N/A</v>
      </c>
      <c r="T2" s="216" t="s">
        <v>141</v>
      </c>
      <c r="U2" s="218"/>
      <c r="V2" s="5362"/>
      <c r="W2" s="5363"/>
      <c r="X2" s="5363"/>
      <c r="Y2" s="5363"/>
      <c r="Z2" s="5363"/>
      <c r="AA2" s="5363"/>
      <c r="AB2" s="5364"/>
      <c r="AC2" s="5362" t="e">
        <f>INDEX(PT_DIFFERENTIATION_NTAR,MATCH(A2,PT_DIFFERENTIATION_NTAR_ID,0))</f>
        <v>#N/A</v>
      </c>
      <c r="AD2" s="5363"/>
      <c r="AE2" s="5363"/>
      <c r="AF2" s="5363"/>
      <c r="AG2" s="5363"/>
      <c r="AH2" s="5363"/>
      <c r="AI2" s="5363"/>
      <c r="AJ2" s="5364"/>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1"/>
      <c r="B3" s="1241"/>
      <c r="C3" s="1241"/>
      <c r="D3" s="1241"/>
      <c r="E3" s="5377"/>
      <c r="F3" s="5376">
        <v>1</v>
      </c>
      <c r="G3" s="1241"/>
      <c r="H3" s="1241"/>
      <c r="I3" s="1241"/>
      <c r="J3" s="1241"/>
      <c r="K3" s="1241"/>
      <c r="L3" s="1242"/>
      <c r="M3" s="1243"/>
      <c r="N3" s="1243"/>
      <c r="O3" s="1243"/>
      <c r="P3" s="1328"/>
      <c r="Q3" s="269"/>
      <c r="R3" s="270"/>
      <c r="S3" s="1332" t="e">
        <f>INDEX(PT_DIFFERENTIATION_NUM_TER,MATCH(B3,PT_DIFFERENTIATION_TER_ID,0))</f>
        <v>#N/A</v>
      </c>
      <c r="T3" s="226" t="s">
        <v>475</v>
      </c>
      <c r="U3" s="218"/>
      <c r="V3" s="5362"/>
      <c r="W3" s="5363"/>
      <c r="X3" s="5363"/>
      <c r="Y3" s="5363"/>
      <c r="Z3" s="5363"/>
      <c r="AA3" s="5363"/>
      <c r="AB3" s="5364"/>
      <c r="AC3" s="5362" t="e">
        <f>INDEX(PT_DIFFERENTIATION_TER,MATCH(B3,PT_DIFFERENTIATION_TER_ID,0))</f>
        <v>#N/A</v>
      </c>
      <c r="AD3" s="5363"/>
      <c r="AE3" s="5363"/>
      <c r="AF3" s="5363"/>
      <c r="AG3" s="5363"/>
      <c r="AH3" s="5363"/>
      <c r="AI3" s="5363"/>
      <c r="AJ3" s="5364"/>
      <c r="AK3" s="1141" t="s">
        <v>476</v>
      </c>
      <c r="AM3" s="408"/>
      <c r="AN3" s="408" t="str">
        <f t="shared" si="0"/>
        <v>Территория действия тарифа</v>
      </c>
      <c r="AO3" s="408"/>
      <c r="AP3" s="408"/>
    </row>
    <row r="4" spans="1:42" ht="23.25" hidden="1" customHeight="1">
      <c r="A4" s="1241"/>
      <c r="B4" s="1241"/>
      <c r="C4" s="1241"/>
      <c r="D4" s="1241"/>
      <c r="E4" s="5377"/>
      <c r="F4" s="5377"/>
      <c r="G4" s="5376">
        <v>1</v>
      </c>
      <c r="H4" s="1241"/>
      <c r="I4" s="1241"/>
      <c r="J4" s="1241"/>
      <c r="K4" s="1241"/>
      <c r="L4" s="1242"/>
      <c r="M4" s="1243"/>
      <c r="N4" s="1243"/>
      <c r="O4" s="1243"/>
      <c r="P4" s="271"/>
      <c r="Q4" s="269"/>
      <c r="R4" s="270"/>
      <c r="S4" s="1332" t="e">
        <f>INDEX(PT_DIFFERENTIATION_NUM_CS,MATCH(C4,PT_DIFFERENTIATION_CS_ID,0))</f>
        <v>#N/A</v>
      </c>
      <c r="T4" s="227" t="s">
        <v>557</v>
      </c>
      <c r="U4" s="218"/>
      <c r="V4" s="5362"/>
      <c r="W4" s="5363"/>
      <c r="X4" s="5363"/>
      <c r="Y4" s="5363"/>
      <c r="Z4" s="5363"/>
      <c r="AA4" s="5363"/>
      <c r="AB4" s="5364"/>
      <c r="AC4" s="5362" t="e">
        <f>INDEX(PT_DIFFERENTIATION_CS,MATCH(C4,PT_DIFFERENTIATION_CS_ID,0))</f>
        <v>#N/A</v>
      </c>
      <c r="AD4" s="5363"/>
      <c r="AE4" s="5363"/>
      <c r="AF4" s="5363"/>
      <c r="AG4" s="5363"/>
      <c r="AH4" s="5363"/>
      <c r="AI4" s="5363"/>
      <c r="AJ4" s="5364"/>
      <c r="AK4" s="1141" t="s">
        <v>558</v>
      </c>
      <c r="AM4" s="408"/>
      <c r="AN4" s="408" t="str">
        <f t="shared" si="0"/>
        <v>Наименование централизованной системы холодного водоснабжения</v>
      </c>
      <c r="AO4" s="408"/>
      <c r="AP4" s="408"/>
    </row>
    <row r="5" spans="1:42" ht="23.25" hidden="1" customHeight="1">
      <c r="A5" s="1241"/>
      <c r="B5" s="1241"/>
      <c r="C5" s="1241"/>
      <c r="D5" s="1241"/>
      <c r="E5" s="5377"/>
      <c r="F5" s="5377"/>
      <c r="G5" s="5377"/>
      <c r="H5" s="5377"/>
      <c r="I5" s="5374" t="e">
        <f>S4&amp;".1"</f>
        <v>#N/A</v>
      </c>
      <c r="J5" s="1241"/>
      <c r="K5" s="1241"/>
      <c r="L5" s="1242"/>
      <c r="P5" s="5375">
        <v>1</v>
      </c>
      <c r="Q5" s="1325"/>
      <c r="R5" s="273"/>
      <c r="S5" s="1332" t="e">
        <f>$I5</f>
        <v>#N/A</v>
      </c>
      <c r="T5" s="203" t="s">
        <v>559</v>
      </c>
      <c r="U5" s="218"/>
      <c r="V5" s="5435"/>
      <c r="W5" s="5436"/>
      <c r="X5" s="5436"/>
      <c r="Y5" s="5436"/>
      <c r="Z5" s="5436"/>
      <c r="AA5" s="5436"/>
      <c r="AB5" s="5437"/>
      <c r="AC5" s="5438"/>
      <c r="AD5" s="5439"/>
      <c r="AE5" s="5439"/>
      <c r="AF5" s="5439"/>
      <c r="AG5" s="5439"/>
      <c r="AH5" s="5439"/>
      <c r="AI5" s="5439"/>
      <c r="AJ5" s="5440"/>
      <c r="AK5" s="1141" t="s">
        <v>560</v>
      </c>
      <c r="AM5" s="408"/>
      <c r="AN5" s="408" t="str">
        <f t="shared" si="0"/>
        <v>Наименование признака дифференциации</v>
      </c>
      <c r="AO5" s="408"/>
      <c r="AP5" s="408"/>
    </row>
    <row r="6" spans="1:42" ht="23.25" hidden="1" customHeight="1">
      <c r="A6" s="1241"/>
      <c r="B6" s="1241"/>
      <c r="C6" s="1241"/>
      <c r="D6" s="1241"/>
      <c r="E6" s="5377"/>
      <c r="F6" s="5377"/>
      <c r="G6" s="5377"/>
      <c r="H6" s="5377"/>
      <c r="I6" s="5397"/>
      <c r="J6" s="5374" t="e">
        <f>I5&amp;".1"</f>
        <v>#N/A</v>
      </c>
      <c r="K6" s="1241"/>
      <c r="L6" s="1242" t="s">
        <v>484</v>
      </c>
      <c r="P6" s="5375"/>
      <c r="Q6" s="5375">
        <v>1</v>
      </c>
      <c r="R6" s="274"/>
      <c r="S6" s="1332" t="e">
        <f>$J6</f>
        <v>#N/A</v>
      </c>
      <c r="T6" s="204" t="s">
        <v>485</v>
      </c>
      <c r="U6" s="218"/>
      <c r="V6" s="5365"/>
      <c r="W6" s="5366"/>
      <c r="X6" s="5366"/>
      <c r="Y6" s="5366"/>
      <c r="Z6" s="5366"/>
      <c r="AA6" s="5366"/>
      <c r="AB6" s="5367"/>
      <c r="AC6" s="5365"/>
      <c r="AD6" s="5366"/>
      <c r="AE6" s="5366"/>
      <c r="AF6" s="5366"/>
      <c r="AG6" s="5366"/>
      <c r="AH6" s="5366"/>
      <c r="AI6" s="5366"/>
      <c r="AJ6" s="5367"/>
      <c r="AK6" s="1188" t="s">
        <v>561</v>
      </c>
      <c r="AM6" s="408"/>
      <c r="AN6" s="408" t="str">
        <f t="shared" si="0"/>
        <v>Группа потребителей</v>
      </c>
      <c r="AO6" s="408"/>
      <c r="AP6" s="408"/>
    </row>
    <row r="7" spans="1:42" ht="23.25" hidden="1" customHeight="1">
      <c r="A7" s="1241"/>
      <c r="B7" s="1241"/>
      <c r="C7" s="1241"/>
      <c r="D7" s="1241"/>
      <c r="E7" s="5377"/>
      <c r="F7" s="5377"/>
      <c r="G7" s="5377"/>
      <c r="H7" s="5377"/>
      <c r="I7" s="5397"/>
      <c r="J7" s="5397"/>
      <c r="K7" s="5374" t="e">
        <f>J6&amp;".1"</f>
        <v>#N/A</v>
      </c>
      <c r="L7" s="1242"/>
      <c r="P7" s="5375"/>
      <c r="Q7" s="5375"/>
      <c r="R7" s="274">
        <v>1</v>
      </c>
      <c r="S7" s="1332" t="e">
        <f>$K7</f>
        <v>#N/A</v>
      </c>
      <c r="T7" s="1314"/>
      <c r="U7" s="218"/>
      <c r="V7" s="650"/>
      <c r="W7" s="650"/>
      <c r="X7" s="1140"/>
      <c r="Y7" s="5379"/>
      <c r="Z7" s="5225" t="s">
        <v>64</v>
      </c>
      <c r="AA7" s="5379"/>
      <c r="AB7" s="5225" t="s">
        <v>64</v>
      </c>
      <c r="AC7" s="650"/>
      <c r="AD7" s="650"/>
      <c r="AE7" s="1140"/>
      <c r="AF7" s="5379"/>
      <c r="AG7" s="5225" t="s">
        <v>64</v>
      </c>
      <c r="AH7" s="5398"/>
      <c r="AI7" s="5225" t="s">
        <v>64</v>
      </c>
      <c r="AJ7" s="1315"/>
      <c r="AK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1"/>
      <c r="B8" s="1241"/>
      <c r="C8" s="1241"/>
      <c r="D8" s="1241"/>
      <c r="E8" s="5377"/>
      <c r="F8" s="5377"/>
      <c r="G8" s="5377"/>
      <c r="H8" s="5377"/>
      <c r="I8" s="5397"/>
      <c r="J8" s="5397"/>
      <c r="K8" s="5374"/>
      <c r="L8" s="1242"/>
      <c r="P8" s="5375"/>
      <c r="Q8" s="5375"/>
      <c r="R8" s="274"/>
      <c r="S8" s="1331"/>
      <c r="T8" s="218"/>
      <c r="U8" s="218"/>
      <c r="V8" s="243"/>
      <c r="W8" s="243"/>
      <c r="X8" s="246" t="str">
        <f>Y7&amp;"-"&amp;AA7</f>
        <v>-</v>
      </c>
      <c r="Y8" s="5380"/>
      <c r="Z8" s="5225"/>
      <c r="AA8" s="5380"/>
      <c r="AB8" s="5225"/>
      <c r="AC8" s="243"/>
      <c r="AD8" s="243"/>
      <c r="AE8" s="246" t="str">
        <f>AF7&amp;"-"&amp;AH7</f>
        <v>-</v>
      </c>
      <c r="AF8" s="5380"/>
      <c r="AG8" s="5225"/>
      <c r="AH8" s="5399"/>
      <c r="AI8" s="5225"/>
      <c r="AJ8" s="1316"/>
      <c r="AK8" s="5434"/>
      <c r="AM8" s="408"/>
      <c r="AN8" s="408" t="str">
        <f t="shared" si="0"/>
        <v/>
      </c>
      <c r="AO8" s="408"/>
      <c r="AP8" s="408"/>
    </row>
    <row r="9" spans="1:42" ht="21" hidden="1" customHeight="1">
      <c r="A9" s="1241"/>
      <c r="B9" s="1241"/>
      <c r="C9" s="1241"/>
      <c r="D9" s="1241"/>
      <c r="E9" s="5377"/>
      <c r="F9" s="5377"/>
      <c r="G9" s="5377"/>
      <c r="H9" s="5377"/>
      <c r="I9" s="5397"/>
      <c r="J9" s="5374"/>
      <c r="K9" s="1241"/>
      <c r="L9" s="1242"/>
      <c r="P9" s="5375"/>
      <c r="Q9" s="5375"/>
      <c r="R9" s="273"/>
      <c r="S9" s="1161"/>
      <c r="T9" s="205" t="s">
        <v>562</v>
      </c>
      <c r="U9" s="283"/>
      <c r="V9" s="283"/>
      <c r="W9" s="283"/>
      <c r="X9" s="283"/>
      <c r="Y9" s="283"/>
      <c r="Z9" s="283"/>
      <c r="AA9" s="283"/>
      <c r="AB9" s="283"/>
      <c r="AC9" s="283"/>
      <c r="AD9" s="283"/>
      <c r="AE9" s="283"/>
      <c r="AF9" s="283"/>
      <c r="AG9" s="283"/>
      <c r="AH9" s="283"/>
      <c r="AI9" s="283"/>
      <c r="AJ9" s="283"/>
      <c r="AK9" s="1141" t="s">
        <v>563</v>
      </c>
      <c r="AM9" s="408"/>
      <c r="AN9" s="408" t="str">
        <f t="shared" si="0"/>
        <v>Добавить значение признака дифференциации</v>
      </c>
      <c r="AO9" s="408"/>
      <c r="AP9" s="408"/>
    </row>
    <row r="10" spans="1:42" ht="21" hidden="1" customHeight="1">
      <c r="A10" s="1241"/>
      <c r="B10" s="1241"/>
      <c r="C10" s="1241"/>
      <c r="D10" s="1241"/>
      <c r="E10" s="5377"/>
      <c r="F10" s="5377"/>
      <c r="G10" s="5377"/>
      <c r="H10" s="5377"/>
      <c r="I10" s="5374"/>
      <c r="J10" s="1241"/>
      <c r="K10" s="1241"/>
      <c r="L10" s="1242"/>
      <c r="P10" s="5375"/>
      <c r="Q10" s="1325"/>
      <c r="R10" s="273"/>
      <c r="S10" s="1161"/>
      <c r="T10" s="281" t="s">
        <v>490</v>
      </c>
      <c r="U10" s="283"/>
      <c r="V10" s="283"/>
      <c r="W10" s="283"/>
      <c r="X10" s="283"/>
      <c r="Y10" s="283"/>
      <c r="Z10" s="283"/>
      <c r="AA10" s="283"/>
      <c r="AB10" s="282"/>
      <c r="AC10" s="283"/>
      <c r="AD10" s="283"/>
      <c r="AE10" s="283"/>
      <c r="AF10" s="283"/>
      <c r="AG10" s="283"/>
      <c r="AH10" s="283"/>
      <c r="AI10" s="282"/>
      <c r="AJ10" s="283"/>
      <c r="AK10" s="1317"/>
      <c r="AM10" s="408"/>
      <c r="AN10" s="408" t="str">
        <f t="shared" si="0"/>
        <v>Добавить группу потребителей</v>
      </c>
      <c r="AO10" s="408"/>
      <c r="AP10" s="408"/>
    </row>
    <row r="11" spans="1:42" ht="21" hidden="1" customHeight="1">
      <c r="A11" s="1241"/>
      <c r="B11" s="1241"/>
      <c r="C11" s="1241"/>
      <c r="D11" s="1241"/>
      <c r="E11" s="5377"/>
      <c r="F11" s="5377"/>
      <c r="G11" s="5377"/>
      <c r="H11" s="5376"/>
      <c r="I11" s="1241"/>
      <c r="J11" s="1241"/>
      <c r="K11" s="1241"/>
      <c r="L11" s="1242"/>
      <c r="M11" s="1243"/>
      <c r="N11" s="1243"/>
      <c r="O11" s="444"/>
      <c r="P11" s="277"/>
      <c r="Q11" s="291"/>
      <c r="R11" s="272"/>
      <c r="S11" s="1161"/>
      <c r="T11" s="288" t="s">
        <v>564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4853" customFormat="1" ht="14.25" hidden="1" customHeight="1">
      <c r="A12" s="1222"/>
      <c r="B12" s="1222"/>
      <c r="C12" s="1194"/>
      <c r="D12" s="1194"/>
      <c r="E12" s="5377"/>
      <c r="F12" s="5376"/>
      <c r="G12" s="1194"/>
      <c r="H12" s="1194"/>
      <c r="I12" s="1194"/>
      <c r="J12" s="1194"/>
      <c r="K12" s="1194"/>
      <c r="L12" s="1333"/>
      <c r="M12" s="1201"/>
      <c r="N12" s="1201"/>
      <c r="P12" s="1196"/>
      <c r="Q12" s="1197"/>
      <c r="R12" s="1196"/>
      <c r="S12" s="1202"/>
      <c r="T12" s="1205" t="s">
        <v>271</v>
      </c>
      <c r="U12" s="1204"/>
      <c r="V12" s="1204"/>
      <c r="W12" s="1204"/>
      <c r="X12" s="1204"/>
      <c r="Y12" s="1204"/>
      <c r="Z12" s="1204"/>
      <c r="AA12" s="1204"/>
      <c r="AB12" s="1204"/>
      <c r="AC12" s="1204"/>
      <c r="AD12" s="1204"/>
      <c r="AE12" s="1204"/>
      <c r="AF12" s="1204"/>
      <c r="AG12" s="1204"/>
      <c r="AH12" s="1204"/>
      <c r="AI12" s="1204"/>
      <c r="AJ12" s="1204"/>
      <c r="AK12" s="1204"/>
      <c r="AM12" s="688"/>
      <c r="AN12" s="688" t="str">
        <f t="shared" si="0"/>
        <v>Добавить централизованную систему для дифференциации</v>
      </c>
      <c r="AO12" s="688"/>
      <c r="AP12" s="688"/>
    </row>
    <row r="13" spans="1:42" s="4856" customFormat="1" ht="14.25" hidden="1" customHeight="1">
      <c r="A13" s="1222"/>
      <c r="B13" s="1222"/>
      <c r="C13" s="1222"/>
      <c r="D13" s="1222"/>
      <c r="E13" s="5376"/>
      <c r="F13" s="1222"/>
      <c r="G13" s="1222"/>
      <c r="H13" s="1222"/>
      <c r="I13" s="1222"/>
      <c r="J13" s="1222"/>
      <c r="K13" s="1222"/>
      <c r="L13" s="1225"/>
      <c r="M13" s="1201"/>
      <c r="N13" s="1201"/>
      <c r="O13" s="426"/>
      <c r="P13" s="296"/>
      <c r="Q13" s="1223"/>
      <c r="R13" s="296"/>
      <c r="S13" s="1202"/>
      <c r="T13" s="1205" t="s">
        <v>330</v>
      </c>
      <c r="U13" s="1204"/>
      <c r="V13" s="1204"/>
      <c r="W13" s="1204"/>
      <c r="X13" s="1204"/>
      <c r="Y13" s="1204"/>
      <c r="Z13" s="1204"/>
      <c r="AA13" s="1204"/>
      <c r="AB13" s="1204"/>
      <c r="AC13" s="1204"/>
      <c r="AD13" s="1204"/>
      <c r="AE13" s="1204"/>
      <c r="AF13" s="1204"/>
      <c r="AG13" s="1204"/>
      <c r="AH13" s="1204"/>
      <c r="AI13" s="1204"/>
      <c r="AJ13" s="1204"/>
      <c r="AK13" s="1204"/>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8"/>
      <c r="AD15" s="1238"/>
      <c r="AE15" s="1239"/>
      <c r="AF15" s="5381"/>
      <c r="AG15" s="5382" t="s">
        <v>64</v>
      </c>
      <c r="AH15" s="5381"/>
      <c r="AI15" s="5382" t="s">
        <v>64</v>
      </c>
    </row>
    <row r="16" spans="1:42" ht="14.25" hidden="1" customHeight="1">
      <c r="AC16" s="1238"/>
      <c r="AD16" s="1238"/>
      <c r="AE16" s="246" t="str">
        <f>AF15&amp;"-"&amp;AH15</f>
        <v>-</v>
      </c>
      <c r="AF16" s="5382"/>
      <c r="AG16" s="5382"/>
      <c r="AH16" s="5382"/>
      <c r="AI16" s="5382"/>
    </row>
    <row r="17" spans="1:42" ht="14.25" hidden="1" customHeight="1">
      <c r="AI17" s="245"/>
    </row>
    <row r="18" spans="1:42" s="4854" customFormat="1" ht="22.5" hidden="1" customHeight="1">
      <c r="L18" s="1322"/>
      <c r="M18" s="1240"/>
      <c r="N18" s="1240"/>
      <c r="O18" s="1245" t="s">
        <v>493</v>
      </c>
      <c r="P18" s="1240"/>
      <c r="Q18" s="1249"/>
      <c r="R18" s="1249"/>
      <c r="S18" s="630"/>
      <c r="Y18" s="1245"/>
      <c r="AA18" s="1245"/>
      <c r="AB18" s="1244"/>
      <c r="AF18" s="1245"/>
      <c r="AH18" s="1245"/>
      <c r="AI18" s="1244"/>
      <c r="AL18" s="419"/>
      <c r="AM18" s="419"/>
      <c r="AN18" s="419"/>
      <c r="AO18" s="419"/>
      <c r="AP18" s="419"/>
    </row>
    <row r="19" spans="1:42" s="4854" customFormat="1" ht="14.25" hidden="1" customHeight="1">
      <c r="L19" s="1322"/>
      <c r="M19" s="1240"/>
      <c r="N19" s="1240"/>
      <c r="O19" s="1240"/>
      <c r="P19" s="1240"/>
      <c r="Q19" s="1249"/>
      <c r="R19" s="1249"/>
      <c r="S19" s="630"/>
      <c r="AB19" s="1244"/>
      <c r="AI19" s="1244"/>
      <c r="AL19" s="419"/>
      <c r="AM19" s="419"/>
      <c r="AN19" s="419"/>
      <c r="AO19" s="419"/>
      <c r="AP19" s="419"/>
    </row>
    <row r="20" spans="1:42" s="4854" customFormat="1" ht="12" hidden="1" customHeight="1">
      <c r="L20" s="1322"/>
      <c r="M20" s="1240"/>
      <c r="N20" s="1240"/>
      <c r="O20" s="1242" t="s">
        <v>494</v>
      </c>
      <c r="P20" s="1240"/>
      <c r="Q20" s="1318"/>
      <c r="R20" s="1318"/>
      <c r="S20" s="630"/>
      <c r="T20" s="1042" t="s">
        <v>495</v>
      </c>
      <c r="Z20" s="108" t="s">
        <v>496</v>
      </c>
      <c r="AB20" s="108" t="s">
        <v>497</v>
      </c>
      <c r="AC20" s="1042" t="s">
        <v>495</v>
      </c>
      <c r="AG20" s="108" t="s">
        <v>498</v>
      </c>
      <c r="AI20" s="108" t="s">
        <v>497</v>
      </c>
    </row>
    <row r="21" spans="1:42" ht="14.25" hidden="1" customHeight="1">
      <c r="O21" s="1242"/>
    </row>
    <row r="22" spans="1:42" ht="14.25" hidden="1" customHeight="1">
      <c r="O22" s="1242"/>
    </row>
    <row r="23" spans="1:42" ht="14.25" customHeight="1">
      <c r="Q23" s="292"/>
      <c r="R23" s="292"/>
      <c r="S23" s="1158"/>
      <c r="T23" s="280"/>
      <c r="U23" s="280"/>
      <c r="V23" s="417"/>
      <c r="W23" s="417"/>
      <c r="X23" s="417"/>
      <c r="Y23" s="417"/>
      <c r="Z23" s="417"/>
      <c r="AA23" s="417"/>
      <c r="AB23" s="417"/>
      <c r="AC23" s="417"/>
      <c r="AD23" s="417"/>
      <c r="AE23" s="417"/>
      <c r="AF23" s="417"/>
      <c r="AG23" s="417"/>
      <c r="AH23" s="417"/>
      <c r="AI23" s="417"/>
    </row>
    <row r="24" spans="1:42" ht="14.25" customHeight="1">
      <c r="Q24" s="292"/>
      <c r="R24" s="292"/>
      <c r="S24" s="53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60"/>
      <c r="U24" s="5360"/>
      <c r="V24" s="5360"/>
      <c r="W24" s="5360"/>
      <c r="X24" s="5360"/>
      <c r="Y24" s="5360"/>
      <c r="Z24" s="5360"/>
      <c r="AA24" s="5360"/>
      <c r="AB24" s="5360"/>
      <c r="AC24" s="5360"/>
      <c r="AD24" s="5360"/>
      <c r="AE24" s="5360"/>
      <c r="AF24" s="5360"/>
      <c r="AG24" s="5360"/>
      <c r="AH24" s="5360"/>
      <c r="AI24" s="1126"/>
    </row>
    <row r="25" spans="1:42" ht="14.25" customHeight="1">
      <c r="Q25" s="292"/>
      <c r="R25" s="292"/>
      <c r="S25" s="5308" t="str">
        <f>IF(org=0,"Не определено",org)</f>
        <v>ООО «Газпром теплоэнерго МО»</v>
      </c>
      <c r="T25" s="5308"/>
      <c r="U25" s="5308"/>
      <c r="V25" s="5308"/>
      <c r="W25" s="5308"/>
      <c r="X25" s="5308"/>
      <c r="Y25" s="5308"/>
      <c r="Z25" s="5308"/>
      <c r="AA25" s="5308"/>
      <c r="AB25" s="5308"/>
      <c r="AC25" s="5308"/>
      <c r="AD25" s="5308"/>
      <c r="AE25" s="5308"/>
      <c r="AF25" s="5308"/>
      <c r="AG25" s="5308"/>
      <c r="AH25" s="5308"/>
      <c r="AI25" s="1126"/>
    </row>
    <row r="26" spans="1:42" ht="14.25" customHeight="1">
      <c r="Q26" s="292"/>
      <c r="R26" s="292"/>
      <c r="S26" s="1158"/>
      <c r="T26" s="280"/>
      <c r="U26" s="280"/>
      <c r="V26" s="240"/>
      <c r="W26" s="240"/>
      <c r="X26" s="240"/>
      <c r="Y26" s="240"/>
      <c r="Z26" s="240"/>
      <c r="AA26" s="240"/>
      <c r="AB26" s="240"/>
      <c r="AC26" s="240"/>
      <c r="AD26" s="240"/>
      <c r="AE26" s="240"/>
      <c r="AF26" s="240"/>
      <c r="AG26" s="240"/>
      <c r="AH26" s="240"/>
      <c r="AI26" s="240"/>
      <c r="AJ26" s="417"/>
    </row>
    <row r="27" spans="1:42" s="4855" customFormat="1" ht="25.5" customHeight="1">
      <c r="A27" s="1246"/>
      <c r="B27" s="1246"/>
      <c r="C27" s="1246"/>
      <c r="D27" s="1246"/>
      <c r="E27" s="1246"/>
      <c r="F27" s="1246"/>
      <c r="G27" s="1246"/>
      <c r="H27" s="1246"/>
      <c r="I27" s="1246"/>
      <c r="J27" s="1246"/>
      <c r="K27" s="1246"/>
      <c r="L27" s="1247"/>
      <c r="M27" s="1246"/>
      <c r="N27" s="1246"/>
      <c r="O27" s="1246"/>
      <c r="S27" s="5368" t="s">
        <v>38</v>
      </c>
      <c r="T27" s="5368"/>
      <c r="U27" s="1250"/>
      <c r="V27" s="5369" t="str">
        <f>IF(TITLE_NAME_OR_PR_CHANGE="",IF(TITLE_NAME_OR_PR="","",TITLE_NAME_OR_PR),TITLE_NAME_OR_PR_CHANGE)</f>
        <v>Комитет по ценам и тарифам Московской области</v>
      </c>
      <c r="W27" s="5369"/>
      <c r="X27" s="5369"/>
      <c r="Y27" s="5369"/>
      <c r="Z27" s="5369"/>
      <c r="AA27" s="5369"/>
      <c r="AB27" s="244"/>
      <c r="AC27" s="5369" t="str">
        <f>IF(TITLE_NAME_OR_PR_CHANGE="",IF(TITLE_NAME_OR_PR="","",TITLE_NAME_OR_PR),TITLE_NAME_OR_PR_CHANGE)</f>
        <v>Комитет по ценам и тарифам Московской области</v>
      </c>
      <c r="AD27" s="5369"/>
      <c r="AE27" s="5369"/>
      <c r="AF27" s="5369"/>
      <c r="AG27" s="5369"/>
      <c r="AH27" s="5369"/>
      <c r="AI27" s="244"/>
      <c r="AJ27" s="244"/>
      <c r="AK27" s="199"/>
      <c r="AL27" s="284"/>
      <c r="AM27" s="284"/>
      <c r="AN27" s="284"/>
      <c r="AO27" s="284"/>
      <c r="AP27" s="284"/>
    </row>
    <row r="28" spans="1:42" s="4855" customFormat="1" ht="18.75" customHeight="1">
      <c r="A28" s="1246"/>
      <c r="B28" s="1246"/>
      <c r="C28" s="1246"/>
      <c r="D28" s="1246"/>
      <c r="E28" s="1246"/>
      <c r="F28" s="1246"/>
      <c r="G28" s="1246"/>
      <c r="H28" s="1246"/>
      <c r="I28" s="1246"/>
      <c r="J28" s="1246"/>
      <c r="K28" s="1246"/>
      <c r="L28" s="1247"/>
      <c r="M28" s="1246"/>
      <c r="N28" s="1246"/>
      <c r="O28" s="1246"/>
      <c r="S28" s="5368" t="s">
        <v>499</v>
      </c>
      <c r="T28" s="5368"/>
      <c r="U28" s="1250"/>
      <c r="V28" s="5378">
        <f>IF(TITLE_DATE_PR_CHANGE="",IF(TITLE_DATE_PR="","",TITLE_DATE_PR),TITLE_DATE_PR_CHANGE)</f>
        <v>45280</v>
      </c>
      <c r="W28" s="5378"/>
      <c r="X28" s="5378"/>
      <c r="Y28" s="5378"/>
      <c r="Z28" s="5378"/>
      <c r="AA28" s="5378"/>
      <c r="AB28" s="244"/>
      <c r="AC28" s="5378">
        <f>IF(TITLE_DATE_PR_CHANGE="",IF(TITLE_DATE_PR="","",TITLE_DATE_PR),TITLE_DATE_PR_CHANGE)</f>
        <v>45280</v>
      </c>
      <c r="AD28" s="5378"/>
      <c r="AE28" s="5378"/>
      <c r="AF28" s="5378"/>
      <c r="AG28" s="5378"/>
      <c r="AH28" s="5378"/>
      <c r="AI28" s="244"/>
      <c r="AJ28" s="244"/>
      <c r="AK28" s="199"/>
      <c r="AL28" s="284"/>
      <c r="AM28" s="284"/>
      <c r="AN28" s="284"/>
      <c r="AO28" s="284"/>
      <c r="AP28" s="284"/>
    </row>
    <row r="29" spans="1:42" s="4855" customFormat="1" ht="18.75" customHeight="1">
      <c r="A29" s="1246"/>
      <c r="B29" s="1246"/>
      <c r="C29" s="1246"/>
      <c r="D29" s="1246"/>
      <c r="E29" s="1246"/>
      <c r="F29" s="1246"/>
      <c r="G29" s="1246"/>
      <c r="H29" s="1246"/>
      <c r="I29" s="1246"/>
      <c r="J29" s="1246"/>
      <c r="K29" s="1246"/>
      <c r="L29" s="1247"/>
      <c r="M29" s="1246"/>
      <c r="N29" s="1246"/>
      <c r="O29" s="1246"/>
      <c r="S29" s="5368" t="s">
        <v>500</v>
      </c>
      <c r="T29" s="5368"/>
      <c r="U29" s="1250"/>
      <c r="V29" s="5369" t="str">
        <f>IF(TITLE_NUMBER_PR_CHANGE="",IF(TITLE_NUMBER_PR="","",TITLE_NUMBER_PR),TITLE_NUMBER_PR_CHANGE)</f>
        <v>317-Р</v>
      </c>
      <c r="W29" s="5369"/>
      <c r="X29" s="5369"/>
      <c r="Y29" s="5369"/>
      <c r="Z29" s="5369"/>
      <c r="AA29" s="5369"/>
      <c r="AB29" s="244"/>
      <c r="AC29" s="5369" t="str">
        <f>IF(TITLE_NUMBER_PR_CHANGE="",IF(TITLE_NUMBER_PR="","",TITLE_NUMBER_PR),TITLE_NUMBER_PR_CHANGE)</f>
        <v>317-Р</v>
      </c>
      <c r="AD29" s="5369"/>
      <c r="AE29" s="5369"/>
      <c r="AF29" s="5369"/>
      <c r="AG29" s="5369"/>
      <c r="AH29" s="5369"/>
      <c r="AI29" s="244"/>
      <c r="AJ29" s="244"/>
      <c r="AK29" s="199"/>
      <c r="AL29" s="284"/>
      <c r="AM29" s="284"/>
      <c r="AN29" s="284"/>
      <c r="AO29" s="284"/>
      <c r="AP29" s="284"/>
    </row>
    <row r="30" spans="1:42" s="4855" customFormat="1" ht="18.75" customHeight="1">
      <c r="A30" s="1246"/>
      <c r="B30" s="1246"/>
      <c r="C30" s="1246"/>
      <c r="D30" s="1246"/>
      <c r="E30" s="1246"/>
      <c r="F30" s="1246"/>
      <c r="G30" s="1246"/>
      <c r="H30" s="1246"/>
      <c r="I30" s="1246"/>
      <c r="J30" s="1246"/>
      <c r="K30" s="1246"/>
      <c r="L30" s="1247"/>
      <c r="M30" s="1246"/>
      <c r="N30" s="1246"/>
      <c r="O30" s="1246"/>
      <c r="S30" s="5368" t="s">
        <v>40</v>
      </c>
      <c r="T30" s="5368"/>
      <c r="U30" s="1250"/>
      <c r="V30" s="5369" t="str">
        <f>IF(TITLE_IST_PUB_CHANGE="",IF(TITLE_IST_PUB="","",TITLE_IST_PUB),TITLE_IST_PUB_CHANGE)</f>
        <v>https://ktc.mosreg.ru/dokumenty/normotvorchestvo/rasporyazheniya/gosudarstvennoe-regulirovanie-tarifov-na-teplovuyu-energiyu-raspor/29-12-2023-16-47-50-rasporyazhenie-komiteta-po-tsenam-i-tarifam-moskov</v>
      </c>
      <c r="W30" s="5369"/>
      <c r="X30" s="5369"/>
      <c r="Y30" s="5369"/>
      <c r="Z30" s="5369"/>
      <c r="AA30" s="5369"/>
      <c r="AB30" s="244"/>
      <c r="AC30" s="5369" t="str">
        <f>IF(TITLE_IST_PUB_CHANGE="",IF(TITLE_IST_PUB="","",TITLE_IST_PUB),TITLE_IST_PUB_CHANGE)</f>
        <v>https://ktc.mosreg.ru/dokumenty/normotvorchestvo/rasporyazheniya/gosudarstvennoe-regulirovanie-tarifov-na-teplovuyu-energiyu-raspor/29-12-2023-16-47-50-rasporyazhenie-komiteta-po-tsenam-i-tarifam-moskov</v>
      </c>
      <c r="AD30" s="5369"/>
      <c r="AE30" s="5369"/>
      <c r="AF30" s="5369"/>
      <c r="AG30" s="5369"/>
      <c r="AH30" s="5369"/>
      <c r="AI30" s="244"/>
      <c r="AJ30" s="244"/>
      <c r="AK30" s="199"/>
      <c r="AL30" s="284"/>
      <c r="AM30" s="284"/>
      <c r="AN30" s="284"/>
      <c r="AO30" s="284"/>
      <c r="AP30" s="284"/>
    </row>
    <row r="31" spans="1:42" ht="14.25" hidden="1" customHeight="1">
      <c r="Q31" s="292"/>
      <c r="R31" s="292"/>
      <c r="S31" s="1158"/>
      <c r="T31" s="280"/>
      <c r="U31" s="280"/>
      <c r="V31" s="240"/>
      <c r="W31" s="240"/>
      <c r="X31" s="240"/>
      <c r="Y31" s="240"/>
      <c r="Z31" s="240"/>
      <c r="AA31" s="240"/>
      <c r="AB31" s="240"/>
      <c r="AC31" s="240"/>
      <c r="AD31" s="240"/>
      <c r="AE31" s="240"/>
      <c r="AF31" s="240"/>
      <c r="AG31" s="240"/>
      <c r="AH31" s="240"/>
      <c r="AI31" s="240"/>
      <c r="AJ31" s="417"/>
    </row>
    <row r="32" spans="1:42" s="4855" customFormat="1" ht="18.75" hidden="1" customHeight="1">
      <c r="A32" s="1246"/>
      <c r="B32" s="1246"/>
      <c r="C32" s="1246"/>
      <c r="D32" s="1246"/>
      <c r="E32" s="1246"/>
      <c r="F32" s="1246"/>
      <c r="G32" s="1246"/>
      <c r="H32" s="1246"/>
      <c r="I32" s="1246"/>
      <c r="J32" s="1246"/>
      <c r="K32" s="1246"/>
      <c r="L32" s="1247"/>
      <c r="M32" s="1246"/>
      <c r="N32" s="1246"/>
      <c r="O32" s="1246"/>
      <c r="S32" s="5368" t="s">
        <v>501</v>
      </c>
      <c r="T32" s="5368"/>
      <c r="U32" s="1250"/>
      <c r="V32" s="5378">
        <f>IF(TITLE_DATE_PR_CHANGE="",IF(TITLE_DATE_PR="","",TITLE_DATE_PR),TITLE_DATE_PR_CHANGE)</f>
        <v>45280</v>
      </c>
      <c r="W32" s="5378"/>
      <c r="X32" s="5378"/>
      <c r="Y32" s="5378"/>
      <c r="Z32" s="5378"/>
      <c r="AA32" s="5378"/>
      <c r="AB32" s="244"/>
      <c r="AC32" s="5378">
        <f>IF(TITLE_DATE_PR_CHANGE="",IF(TITLE_DATE_PR="","",TITLE_DATE_PR),TITLE_DATE_PR_CHANGE)</f>
        <v>45280</v>
      </c>
      <c r="AD32" s="5378"/>
      <c r="AE32" s="5378"/>
      <c r="AF32" s="5378"/>
      <c r="AG32" s="5378"/>
      <c r="AH32" s="5378"/>
      <c r="AI32" s="244"/>
      <c r="AJ32" s="244"/>
      <c r="AK32" s="199"/>
      <c r="AL32" s="284"/>
      <c r="AM32" s="284"/>
      <c r="AN32" s="284"/>
      <c r="AO32" s="284"/>
      <c r="AP32" s="284"/>
    </row>
    <row r="33" spans="1:42" s="4855" customFormat="1" ht="18.75" hidden="1" customHeight="1">
      <c r="A33" s="1246"/>
      <c r="B33" s="1246"/>
      <c r="C33" s="1246"/>
      <c r="D33" s="1246"/>
      <c r="E33" s="1246"/>
      <c r="F33" s="1246"/>
      <c r="G33" s="1246"/>
      <c r="H33" s="1246"/>
      <c r="I33" s="1246"/>
      <c r="J33" s="1246"/>
      <c r="K33" s="1246"/>
      <c r="L33" s="1247"/>
      <c r="M33" s="1246"/>
      <c r="N33" s="1246"/>
      <c r="O33" s="1246"/>
      <c r="S33" s="5368" t="s">
        <v>502</v>
      </c>
      <c r="T33" s="5368"/>
      <c r="U33" s="1250"/>
      <c r="V33" s="5369" t="str">
        <f>IF(TITLE_NUMBER_PR_CHANGE="",IF(TITLE_NUMBER_PR="","",TITLE_NUMBER_PR),TITLE_NUMBER_PR_CHANGE)</f>
        <v>317-Р</v>
      </c>
      <c r="W33" s="5369"/>
      <c r="X33" s="5369"/>
      <c r="Y33" s="5369"/>
      <c r="Z33" s="5369"/>
      <c r="AA33" s="5369"/>
      <c r="AB33" s="244"/>
      <c r="AC33" s="5369" t="str">
        <f>IF(TITLE_NUMBER_PR_CHANGE="",IF(TITLE_NUMBER_PR="","",TITLE_NUMBER_PR),TITLE_NUMBER_PR_CHANGE)</f>
        <v>317-Р</v>
      </c>
      <c r="AD33" s="5369"/>
      <c r="AE33" s="5369"/>
      <c r="AF33" s="5369"/>
      <c r="AG33" s="5369"/>
      <c r="AH33" s="5369"/>
      <c r="AI33" s="244"/>
      <c r="AJ33" s="244"/>
      <c r="AK33" s="199"/>
      <c r="AL33" s="284"/>
      <c r="AM33" s="284"/>
      <c r="AN33" s="284"/>
      <c r="AO33" s="284"/>
      <c r="AP33" s="284"/>
    </row>
    <row r="34" spans="1:42" s="4855" customFormat="1" ht="0.75" customHeight="1">
      <c r="A34" s="1246"/>
      <c r="B34" s="1246"/>
      <c r="C34" s="1246"/>
      <c r="D34" s="1246"/>
      <c r="E34" s="1246"/>
      <c r="F34" s="1246"/>
      <c r="G34" s="1246"/>
      <c r="H34" s="1246"/>
      <c r="I34" s="1246"/>
      <c r="J34" s="1246"/>
      <c r="K34" s="1246"/>
      <c r="L34" s="1247"/>
      <c r="M34" s="1246"/>
      <c r="N34" s="1246"/>
      <c r="O34" s="1246"/>
      <c r="S34" s="241"/>
      <c r="T34" s="241"/>
      <c r="U34" s="1329"/>
      <c r="V34" s="244"/>
      <c r="W34" s="244"/>
      <c r="X34" s="244"/>
      <c r="Y34" s="244"/>
      <c r="Z34" s="244"/>
      <c r="AA34" s="244"/>
      <c r="AB34" s="197" t="s">
        <v>503</v>
      </c>
      <c r="AC34" s="244"/>
      <c r="AD34" s="244"/>
      <c r="AE34" s="244"/>
      <c r="AF34" s="244"/>
      <c r="AG34" s="244"/>
      <c r="AH34" s="244"/>
      <c r="AI34" s="197" t="s">
        <v>503</v>
      </c>
      <c r="AL34" s="284"/>
      <c r="AM34" s="284"/>
      <c r="AN34" s="284"/>
      <c r="AO34" s="284"/>
      <c r="AP34" s="284"/>
    </row>
    <row r="35" spans="1:42" ht="14.25" customHeight="1">
      <c r="Q35" s="292"/>
      <c r="R35" s="292"/>
      <c r="S35" s="1158"/>
      <c r="T35" s="280"/>
      <c r="U35" s="1127"/>
      <c r="V35" s="5370"/>
      <c r="W35" s="5370"/>
      <c r="X35" s="5370"/>
      <c r="Y35" s="5370"/>
      <c r="Z35" s="5370"/>
      <c r="AA35" s="5370"/>
      <c r="AB35" s="5370"/>
      <c r="AC35" s="5370"/>
      <c r="AD35" s="5370"/>
      <c r="AE35" s="5370"/>
      <c r="AF35" s="5370"/>
      <c r="AG35" s="5370"/>
      <c r="AH35" s="5370"/>
      <c r="AI35" s="5370"/>
    </row>
    <row r="36" spans="1:42" ht="14.25" customHeight="1">
      <c r="Q36" s="292"/>
      <c r="R36" s="292"/>
      <c r="S36" s="5244" t="s">
        <v>378</v>
      </c>
      <c r="T36" s="5244"/>
      <c r="U36" s="5244"/>
      <c r="V36" s="5244"/>
      <c r="W36" s="5244"/>
      <c r="X36" s="5244"/>
      <c r="Y36" s="5244"/>
      <c r="Z36" s="5244"/>
      <c r="AA36" s="5244"/>
      <c r="AB36" s="5244"/>
      <c r="AC36" s="5244"/>
      <c r="AD36" s="5244"/>
      <c r="AE36" s="5244"/>
      <c r="AF36" s="5244"/>
      <c r="AG36" s="5244"/>
      <c r="AH36" s="5244"/>
      <c r="AI36" s="5244"/>
      <c r="AJ36" s="5244"/>
      <c r="AK36" s="5244" t="s">
        <v>379</v>
      </c>
    </row>
    <row r="37" spans="1:42" ht="14.25" customHeight="1">
      <c r="Q37" s="292"/>
      <c r="R37" s="292"/>
      <c r="S37" s="5384" t="s">
        <v>85</v>
      </c>
      <c r="T37" s="5336" t="s">
        <v>504</v>
      </c>
      <c r="U37" s="219"/>
      <c r="V37" s="5385" t="s">
        <v>505</v>
      </c>
      <c r="W37" s="5386"/>
      <c r="X37" s="5386"/>
      <c r="Y37" s="5386"/>
      <c r="Z37" s="5386"/>
      <c r="AA37" s="5387"/>
      <c r="AB37" s="5388" t="s">
        <v>506</v>
      </c>
      <c r="AC37" s="5385" t="s">
        <v>505</v>
      </c>
      <c r="AD37" s="5386"/>
      <c r="AE37" s="5386"/>
      <c r="AF37" s="5386"/>
      <c r="AG37" s="5386"/>
      <c r="AH37" s="5387"/>
      <c r="AI37" s="5388" t="s">
        <v>507</v>
      </c>
      <c r="AJ37" s="5391" t="s">
        <v>508</v>
      </c>
      <c r="AK37" s="5244"/>
    </row>
    <row r="38" spans="1:42" ht="33.75" customHeight="1">
      <c r="Q38" s="292"/>
      <c r="R38" s="292"/>
      <c r="S38" s="5384"/>
      <c r="T38" s="5336"/>
      <c r="U38" s="920"/>
      <c r="V38" s="1327" t="s">
        <v>565</v>
      </c>
      <c r="W38" s="5215" t="s">
        <v>511</v>
      </c>
      <c r="X38" s="5214"/>
      <c r="Y38" s="5215" t="s">
        <v>512</v>
      </c>
      <c r="Z38" s="5220"/>
      <c r="AA38" s="5214"/>
      <c r="AB38" s="5389"/>
      <c r="AC38" s="1327" t="s">
        <v>565</v>
      </c>
      <c r="AD38" s="5215" t="s">
        <v>511</v>
      </c>
      <c r="AE38" s="5214"/>
      <c r="AF38" s="5215" t="s">
        <v>512</v>
      </c>
      <c r="AG38" s="5220"/>
      <c r="AH38" s="5214"/>
      <c r="AI38" s="5389"/>
      <c r="AJ38" s="5392"/>
      <c r="AK38" s="5244"/>
    </row>
    <row r="39" spans="1:42" ht="33.75" customHeight="1">
      <c r="A39" s="1248"/>
      <c r="B39" s="1248" t="s">
        <v>153</v>
      </c>
      <c r="C39" s="1248" t="s">
        <v>154</v>
      </c>
      <c r="D39" s="1248" t="s">
        <v>155</v>
      </c>
      <c r="E39" s="1242" t="s">
        <v>513</v>
      </c>
      <c r="F39" s="1242" t="s">
        <v>514</v>
      </c>
      <c r="G39" s="1242" t="s">
        <v>515</v>
      </c>
      <c r="H39" s="1242"/>
      <c r="I39" s="1242" t="s">
        <v>566</v>
      </c>
      <c r="J39" s="1242" t="s">
        <v>518</v>
      </c>
      <c r="K39" s="1242" t="s">
        <v>567</v>
      </c>
      <c r="L39" s="1242" t="s">
        <v>494</v>
      </c>
      <c r="Q39" s="292"/>
      <c r="R39" s="292"/>
      <c r="S39" s="5384"/>
      <c r="T39" s="5336"/>
      <c r="U39" s="220"/>
      <c r="V39" s="1327" t="s">
        <v>568</v>
      </c>
      <c r="W39" s="1105" t="s">
        <v>569</v>
      </c>
      <c r="X39" s="1105" t="s">
        <v>570</v>
      </c>
      <c r="Y39" s="1330" t="s">
        <v>522</v>
      </c>
      <c r="Z39" s="5344" t="s">
        <v>523</v>
      </c>
      <c r="AA39" s="5346"/>
      <c r="AB39" s="5390"/>
      <c r="AC39" s="1327" t="s">
        <v>568</v>
      </c>
      <c r="AD39" s="1105" t="s">
        <v>569</v>
      </c>
      <c r="AE39" s="1105" t="s">
        <v>570</v>
      </c>
      <c r="AF39" s="1330" t="s">
        <v>522</v>
      </c>
      <c r="AG39" s="5344" t="s">
        <v>523</v>
      </c>
      <c r="AH39" s="5346"/>
      <c r="AI39" s="5390"/>
      <c r="AJ39" s="5393"/>
      <c r="AK39" s="5244"/>
    </row>
    <row r="40" spans="1:42" s="4840" customFormat="1" ht="0"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129</v>
      </c>
      <c r="T40" s="1138" t="s">
        <v>100</v>
      </c>
      <c r="U40" s="1128" t="str">
        <f ca="1">OFFSET(U40,0,-1)</f>
        <v>2</v>
      </c>
      <c r="V40" s="1326">
        <f ca="1">OFFSET(V40,0,-1)+1</f>
        <v>3</v>
      </c>
      <c r="W40" s="1326">
        <f ca="1">OFFSET(W40,0,-1)+1</f>
        <v>4</v>
      </c>
      <c r="X40" s="1326">
        <f ca="1">OFFSET(X40,0,-1)+1</f>
        <v>5</v>
      </c>
      <c r="Y40" s="1326">
        <f ca="1">OFFSET(Y40,0,-1)+1</f>
        <v>6</v>
      </c>
      <c r="Z40" s="5383">
        <f ca="1">OFFSET(Z40,0,-1)+1</f>
        <v>7</v>
      </c>
      <c r="AA40" s="5383"/>
      <c r="AB40" s="1326">
        <f ca="1">OFFSET(AB40,0,-2)+1</f>
        <v>8</v>
      </c>
      <c r="AC40" s="1326">
        <f ca="1">OFFSET(AC40,0,-1)+1</f>
        <v>9</v>
      </c>
      <c r="AD40" s="1326">
        <f ca="1">OFFSET(AD40,0,-1)+1</f>
        <v>10</v>
      </c>
      <c r="AE40" s="1326">
        <f ca="1">OFFSET(AE40,0,-1)+1</f>
        <v>11</v>
      </c>
      <c r="AF40" s="1326">
        <f ca="1">OFFSET(AF40,0,-1)+1</f>
        <v>12</v>
      </c>
      <c r="AG40" s="5383">
        <f ca="1">OFFSET(AG40,0,-1)+1</f>
        <v>13</v>
      </c>
      <c r="AH40" s="5383"/>
      <c r="AI40" s="1326">
        <f ca="1">OFFSET(AI40,0,-2)+1</f>
        <v>14</v>
      </c>
      <c r="AJ40" s="1128">
        <f ca="1">OFFSET(AJ40,0,-1)</f>
        <v>14</v>
      </c>
      <c r="AK40" s="1326">
        <f ca="1">OFFSET(AK40,0,-1)+1</f>
        <v>15</v>
      </c>
      <c r="AL40" s="419"/>
      <c r="AM40" s="419"/>
      <c r="AN40" s="419"/>
      <c r="AO40" s="419"/>
      <c r="AP40" s="419"/>
    </row>
    <row r="41" spans="1:42" ht="23.25" customHeight="1">
      <c r="A41" s="1241" t="s">
        <v>251</v>
      </c>
      <c r="B41" s="1241"/>
      <c r="C41" s="1241"/>
      <c r="D41" s="1241"/>
      <c r="E41" s="5376">
        <v>1</v>
      </c>
      <c r="F41" s="1241"/>
      <c r="G41" s="1241"/>
      <c r="H41" s="1241"/>
      <c r="I41" s="1241"/>
      <c r="J41" s="1241"/>
      <c r="K41" s="1241"/>
      <c r="L41" s="1242"/>
      <c r="M41" s="1243"/>
      <c r="N41" s="1243"/>
      <c r="O41" s="1243"/>
      <c r="P41" s="278"/>
      <c r="Q41" s="277"/>
      <c r="R41" s="272"/>
      <c r="S41" s="1332">
        <f>INDEX(PT_DIFFERENTIATION_NUM_NTAR,MATCH(A41,PT_DIFFERENTIATION_NTAR_ID,0))</f>
        <v>0</v>
      </c>
      <c r="T41" s="216" t="s">
        <v>141</v>
      </c>
      <c r="U41" s="218"/>
      <c r="V41" s="5362"/>
      <c r="W41" s="5363"/>
      <c r="X41" s="5363"/>
      <c r="Y41" s="5363"/>
      <c r="Z41" s="5363"/>
      <c r="AA41" s="5363"/>
      <c r="AB41" s="5364"/>
      <c r="AC41" s="5362" t="str">
        <f>INDEX(PT_DIFFERENTIATION_NTAR,MATCH(A41,PT_DIFFERENTIATION_NTAR_ID,0))</f>
        <v/>
      </c>
      <c r="AD41" s="5363"/>
      <c r="AE41" s="5363"/>
      <c r="AF41" s="5363"/>
      <c r="AG41" s="5363"/>
      <c r="AH41" s="5363"/>
      <c r="AI41" s="5363"/>
      <c r="AJ41" s="5364"/>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1" t="s">
        <v>251</v>
      </c>
      <c r="B42" s="1241" t="s">
        <v>252</v>
      </c>
      <c r="C42" s="1241"/>
      <c r="D42" s="1241"/>
      <c r="E42" s="5377"/>
      <c r="F42" s="5376">
        <v>1</v>
      </c>
      <c r="G42" s="1241"/>
      <c r="H42" s="1241"/>
      <c r="I42" s="1241"/>
      <c r="J42" s="1241"/>
      <c r="K42" s="1241"/>
      <c r="L42" s="1242"/>
      <c r="M42" s="1243"/>
      <c r="N42" s="1243"/>
      <c r="O42" s="1243"/>
      <c r="P42" s="1328"/>
      <c r="Q42" s="269"/>
      <c r="R42" s="270"/>
      <c r="S42" s="1332" t="str">
        <f>INDEX(PT_DIFFERENTIATION_NUM_TER,MATCH(B42,PT_DIFFERENTIATION_TER_ID,0))</f>
        <v>.</v>
      </c>
      <c r="T42" s="226" t="s">
        <v>475</v>
      </c>
      <c r="U42" s="218"/>
      <c r="V42" s="5362"/>
      <c r="W42" s="5363"/>
      <c r="X42" s="5363"/>
      <c r="Y42" s="5363"/>
      <c r="Z42" s="5363"/>
      <c r="AA42" s="5363"/>
      <c r="AB42" s="5364"/>
      <c r="AC42" s="5362" t="str">
        <f>INDEX(PT_DIFFERENTIATION_TER,MATCH(B42,PT_DIFFERENTIATION_TER_ID,0))</f>
        <v/>
      </c>
      <c r="AD42" s="5363"/>
      <c r="AE42" s="5363"/>
      <c r="AF42" s="5363"/>
      <c r="AG42" s="5363"/>
      <c r="AH42" s="5363"/>
      <c r="AI42" s="5363"/>
      <c r="AJ42" s="5364"/>
      <c r="AK42" s="1141" t="s">
        <v>476</v>
      </c>
      <c r="AM42" s="408"/>
      <c r="AN42" s="408" t="str">
        <f t="shared" si="1"/>
        <v>Территория действия тарифа</v>
      </c>
      <c r="AO42" s="408"/>
      <c r="AP42" s="408"/>
    </row>
    <row r="43" spans="1:42" ht="23.25" customHeight="1">
      <c r="A43" s="1241" t="s">
        <v>251</v>
      </c>
      <c r="B43" s="1241" t="s">
        <v>252</v>
      </c>
      <c r="C43" s="1241" t="s">
        <v>253</v>
      </c>
      <c r="D43" s="1241"/>
      <c r="E43" s="5377"/>
      <c r="F43" s="5377"/>
      <c r="G43" s="5376">
        <v>1</v>
      </c>
      <c r="H43" s="1241"/>
      <c r="I43" s="1241"/>
      <c r="J43" s="1241"/>
      <c r="K43" s="1241"/>
      <c r="L43" s="1242"/>
      <c r="M43" s="1243"/>
      <c r="N43" s="1243"/>
      <c r="O43" s="1243"/>
      <c r="P43" s="271"/>
      <c r="Q43" s="269"/>
      <c r="R43" s="270"/>
      <c r="S43" s="1332" t="str">
        <f>INDEX(PT_DIFFERENTIATION_NUM_CS,MATCH(C43,PT_DIFFERENTIATION_CS_ID,0))</f>
        <v>..</v>
      </c>
      <c r="T43" s="227" t="s">
        <v>557</v>
      </c>
      <c r="U43" s="218"/>
      <c r="V43" s="5362"/>
      <c r="W43" s="5363"/>
      <c r="X43" s="5363"/>
      <c r="Y43" s="5363"/>
      <c r="Z43" s="5363"/>
      <c r="AA43" s="5363"/>
      <c r="AB43" s="5364"/>
      <c r="AC43" s="5362" t="str">
        <f>INDEX(PT_DIFFERENTIATION_CS,MATCH(C43,PT_DIFFERENTIATION_CS_ID,0))</f>
        <v/>
      </c>
      <c r="AD43" s="5363"/>
      <c r="AE43" s="5363"/>
      <c r="AF43" s="5363"/>
      <c r="AG43" s="5363"/>
      <c r="AH43" s="5363"/>
      <c r="AI43" s="5363"/>
      <c r="AJ43" s="5364"/>
      <c r="AK43" s="1141" t="s">
        <v>558</v>
      </c>
      <c r="AM43" s="408"/>
      <c r="AN43" s="408" t="str">
        <f t="shared" si="1"/>
        <v>Наименование централизованной системы холодного водоснабжения</v>
      </c>
      <c r="AO43" s="408"/>
      <c r="AP43" s="408"/>
    </row>
    <row r="44" spans="1:42" ht="23.25" customHeight="1">
      <c r="A44" s="1241" t="s">
        <v>251</v>
      </c>
      <c r="B44" s="1241" t="s">
        <v>252</v>
      </c>
      <c r="C44" s="1241" t="s">
        <v>253</v>
      </c>
      <c r="D44" s="1241" t="s">
        <v>573</v>
      </c>
      <c r="E44" s="5377"/>
      <c r="F44" s="5377"/>
      <c r="G44" s="5377"/>
      <c r="H44" s="5377"/>
      <c r="I44" s="5374" t="str">
        <f>S43&amp;".1"</f>
        <v>...1</v>
      </c>
      <c r="J44" s="1241"/>
      <c r="K44" s="1241"/>
      <c r="L44" s="1242"/>
      <c r="P44" s="5375">
        <v>1</v>
      </c>
      <c r="Q44" s="1325"/>
      <c r="R44" s="273"/>
      <c r="S44" s="1332" t="str">
        <f>$I44</f>
        <v>...1</v>
      </c>
      <c r="T44" s="203" t="s">
        <v>559</v>
      </c>
      <c r="U44" s="218"/>
      <c r="V44" s="5435"/>
      <c r="W44" s="5436"/>
      <c r="X44" s="5436"/>
      <c r="Y44" s="5436"/>
      <c r="Z44" s="5436"/>
      <c r="AA44" s="5436"/>
      <c r="AB44" s="5437"/>
      <c r="AC44" s="5438"/>
      <c r="AD44" s="5439"/>
      <c r="AE44" s="5439"/>
      <c r="AF44" s="5439"/>
      <c r="AG44" s="5439"/>
      <c r="AH44" s="5439"/>
      <c r="AI44" s="5439"/>
      <c r="AJ44" s="5440"/>
      <c r="AK44" s="1141" t="s">
        <v>560</v>
      </c>
      <c r="AM44" s="408"/>
      <c r="AN44" s="408" t="str">
        <f t="shared" si="1"/>
        <v>Наименование признака дифференциации</v>
      </c>
      <c r="AO44" s="408"/>
      <c r="AP44" s="408"/>
    </row>
    <row r="45" spans="1:42" ht="23.25" customHeight="1">
      <c r="A45" s="1241" t="s">
        <v>251</v>
      </c>
      <c r="B45" s="1241" t="s">
        <v>252</v>
      </c>
      <c r="C45" s="1241" t="s">
        <v>253</v>
      </c>
      <c r="D45" s="1241" t="s">
        <v>573</v>
      </c>
      <c r="E45" s="5377"/>
      <c r="F45" s="5377"/>
      <c r="G45" s="5377"/>
      <c r="H45" s="5377"/>
      <c r="I45" s="5397"/>
      <c r="J45" s="5374" t="str">
        <f>I44&amp;".1"</f>
        <v>...1.1</v>
      </c>
      <c r="K45" s="1241"/>
      <c r="L45" s="1242" t="s">
        <v>484</v>
      </c>
      <c r="P45" s="5375"/>
      <c r="Q45" s="5375">
        <v>1</v>
      </c>
      <c r="R45" s="274"/>
      <c r="S45" s="1332" t="str">
        <f>$J45</f>
        <v>...1.1</v>
      </c>
      <c r="T45" s="204" t="s">
        <v>485</v>
      </c>
      <c r="U45" s="218"/>
      <c r="V45" s="5365"/>
      <c r="W45" s="5366"/>
      <c r="X45" s="5366"/>
      <c r="Y45" s="5366"/>
      <c r="Z45" s="5366"/>
      <c r="AA45" s="5366"/>
      <c r="AB45" s="5367"/>
      <c r="AC45" s="5365"/>
      <c r="AD45" s="5366"/>
      <c r="AE45" s="5366"/>
      <c r="AF45" s="5366"/>
      <c r="AG45" s="5366"/>
      <c r="AH45" s="5366"/>
      <c r="AI45" s="5366"/>
      <c r="AJ45" s="5367"/>
      <c r="AK45" s="1188" t="s">
        <v>561</v>
      </c>
      <c r="AM45" s="408"/>
      <c r="AN45" s="408" t="str">
        <f t="shared" si="1"/>
        <v>Группа потребителей</v>
      </c>
      <c r="AO45" s="408"/>
      <c r="AP45" s="408"/>
    </row>
    <row r="46" spans="1:42" ht="23.25" customHeight="1">
      <c r="A46" s="1241" t="s">
        <v>251</v>
      </c>
      <c r="B46" s="1241" t="s">
        <v>252</v>
      </c>
      <c r="C46" s="1241" t="s">
        <v>253</v>
      </c>
      <c r="D46" s="1241" t="s">
        <v>573</v>
      </c>
      <c r="E46" s="5377"/>
      <c r="F46" s="5377"/>
      <c r="G46" s="5377"/>
      <c r="H46" s="5377"/>
      <c r="I46" s="5397"/>
      <c r="J46" s="5397"/>
      <c r="K46" s="5374" t="str">
        <f>J45&amp;".1"</f>
        <v>...1.1.1</v>
      </c>
      <c r="L46" s="1242"/>
      <c r="P46" s="5375"/>
      <c r="Q46" s="5375"/>
      <c r="R46" s="274">
        <v>1</v>
      </c>
      <c r="S46" s="1332" t="str">
        <f>$K46</f>
        <v>...1.1.1</v>
      </c>
      <c r="T46" s="1314"/>
      <c r="U46" s="218"/>
      <c r="V46" s="650"/>
      <c r="W46" s="650"/>
      <c r="X46" s="1140"/>
      <c r="Y46" s="5379"/>
      <c r="Z46" s="5225" t="s">
        <v>64</v>
      </c>
      <c r="AA46" s="5379"/>
      <c r="AB46" s="5225" t="s">
        <v>64</v>
      </c>
      <c r="AC46" s="650"/>
      <c r="AD46" s="650"/>
      <c r="AE46" s="1140"/>
      <c r="AF46" s="5379"/>
      <c r="AG46" s="5225" t="s">
        <v>64</v>
      </c>
      <c r="AH46" s="5398"/>
      <c r="AI46" s="5225" t="s">
        <v>64</v>
      </c>
      <c r="AJ46" s="1315"/>
      <c r="AK46"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1" t="s">
        <v>251</v>
      </c>
      <c r="B47" s="1241" t="s">
        <v>252</v>
      </c>
      <c r="C47" s="1241" t="s">
        <v>253</v>
      </c>
      <c r="D47" s="1241" t="s">
        <v>573</v>
      </c>
      <c r="E47" s="5377"/>
      <c r="F47" s="5377"/>
      <c r="G47" s="5377"/>
      <c r="H47" s="5377"/>
      <c r="I47" s="5397"/>
      <c r="J47" s="5397"/>
      <c r="K47" s="5374"/>
      <c r="L47" s="1242"/>
      <c r="P47" s="5375"/>
      <c r="Q47" s="5375"/>
      <c r="R47" s="274"/>
      <c r="S47" s="1331"/>
      <c r="T47" s="218"/>
      <c r="U47" s="218"/>
      <c r="V47" s="243"/>
      <c r="W47" s="243"/>
      <c r="X47" s="246" t="str">
        <f>Y46&amp;"-"&amp;AA46</f>
        <v>-</v>
      </c>
      <c r="Y47" s="5380"/>
      <c r="Z47" s="5225"/>
      <c r="AA47" s="5380"/>
      <c r="AB47" s="5225"/>
      <c r="AC47" s="243"/>
      <c r="AD47" s="243"/>
      <c r="AE47" s="246" t="str">
        <f>AF46&amp;"-"&amp;AH46</f>
        <v>-</v>
      </c>
      <c r="AF47" s="5380"/>
      <c r="AG47" s="5225"/>
      <c r="AH47" s="5399"/>
      <c r="AI47" s="5225"/>
      <c r="AJ47" s="1316"/>
      <c r="AK47" s="5434"/>
      <c r="AM47" s="408"/>
      <c r="AN47" s="408" t="str">
        <f t="shared" si="1"/>
        <v/>
      </c>
      <c r="AO47" s="408"/>
      <c r="AP47" s="408"/>
    </row>
    <row r="48" spans="1:42" ht="21" customHeight="1">
      <c r="A48" s="1241" t="s">
        <v>251</v>
      </c>
      <c r="B48" s="1241" t="s">
        <v>252</v>
      </c>
      <c r="C48" s="1241" t="s">
        <v>253</v>
      </c>
      <c r="D48" s="1241" t="s">
        <v>573</v>
      </c>
      <c r="E48" s="5377"/>
      <c r="F48" s="5377"/>
      <c r="G48" s="5377"/>
      <c r="H48" s="5377"/>
      <c r="I48" s="5397"/>
      <c r="J48" s="5374"/>
      <c r="K48" s="1241"/>
      <c r="L48" s="1242"/>
      <c r="P48" s="5375"/>
      <c r="Q48" s="5375"/>
      <c r="R48" s="273"/>
      <c r="S48" s="1161"/>
      <c r="T48" s="205" t="s">
        <v>562</v>
      </c>
      <c r="U48" s="283"/>
      <c r="V48" s="283"/>
      <c r="W48" s="283"/>
      <c r="X48" s="283"/>
      <c r="Y48" s="283"/>
      <c r="Z48" s="283"/>
      <c r="AA48" s="283"/>
      <c r="AB48" s="283"/>
      <c r="AC48" s="283"/>
      <c r="AD48" s="283"/>
      <c r="AE48" s="283"/>
      <c r="AF48" s="283"/>
      <c r="AG48" s="283"/>
      <c r="AH48" s="283"/>
      <c r="AI48" s="283"/>
      <c r="AJ48" s="283"/>
      <c r="AK48" s="1141" t="s">
        <v>563</v>
      </c>
      <c r="AM48" s="408"/>
      <c r="AN48" s="408" t="str">
        <f t="shared" si="1"/>
        <v>Добавить значение признака дифференциации</v>
      </c>
      <c r="AO48" s="408"/>
      <c r="AP48" s="408"/>
    </row>
    <row r="49" spans="1:42" ht="21" customHeight="1">
      <c r="A49" s="1241" t="s">
        <v>251</v>
      </c>
      <c r="B49" s="1241" t="s">
        <v>252</v>
      </c>
      <c r="C49" s="1241" t="s">
        <v>253</v>
      </c>
      <c r="D49" s="1241" t="s">
        <v>573</v>
      </c>
      <c r="E49" s="5377"/>
      <c r="F49" s="5377"/>
      <c r="G49" s="5377"/>
      <c r="H49" s="5377"/>
      <c r="I49" s="5374"/>
      <c r="J49" s="1241"/>
      <c r="K49" s="1241"/>
      <c r="L49" s="1242"/>
      <c r="P49" s="5375"/>
      <c r="Q49" s="1325"/>
      <c r="R49" s="273"/>
      <c r="S49" s="1161"/>
      <c r="T49" s="281" t="s">
        <v>490</v>
      </c>
      <c r="U49" s="283"/>
      <c r="V49" s="283"/>
      <c r="W49" s="283"/>
      <c r="X49" s="283"/>
      <c r="Y49" s="283"/>
      <c r="Z49" s="283"/>
      <c r="AA49" s="283"/>
      <c r="AB49" s="282"/>
      <c r="AC49" s="283"/>
      <c r="AD49" s="283"/>
      <c r="AE49" s="283"/>
      <c r="AF49" s="283"/>
      <c r="AG49" s="283"/>
      <c r="AH49" s="283"/>
      <c r="AI49" s="282"/>
      <c r="AJ49" s="283"/>
      <c r="AK49" s="1317"/>
      <c r="AM49" s="408"/>
      <c r="AN49" s="408" t="str">
        <f t="shared" si="1"/>
        <v>Добавить группу потребителей</v>
      </c>
      <c r="AO49" s="408"/>
      <c r="AP49" s="408"/>
    </row>
    <row r="50" spans="1:42" ht="21" customHeight="1">
      <c r="A50" s="1241" t="s">
        <v>251</v>
      </c>
      <c r="B50" s="1241" t="s">
        <v>252</v>
      </c>
      <c r="C50" s="1241" t="s">
        <v>253</v>
      </c>
      <c r="D50" s="1241" t="s">
        <v>573</v>
      </c>
      <c r="E50" s="5377"/>
      <c r="F50" s="5377"/>
      <c r="G50" s="5377"/>
      <c r="H50" s="5376"/>
      <c r="I50" s="1241"/>
      <c r="J50" s="1241"/>
      <c r="K50" s="1241"/>
      <c r="L50" s="1242"/>
      <c r="M50" s="1243"/>
      <c r="N50" s="1243"/>
      <c r="O50" s="444"/>
      <c r="P50" s="277"/>
      <c r="Q50" s="291"/>
      <c r="R50" s="272"/>
      <c r="S50" s="1161"/>
      <c r="T50" s="288" t="s">
        <v>564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4853" customFormat="1" ht="0" hidden="1" customHeight="1">
      <c r="A51" s="1222" t="s">
        <v>251</v>
      </c>
      <c r="B51" s="1222" t="s">
        <v>252</v>
      </c>
      <c r="C51" s="1194"/>
      <c r="D51" s="1194"/>
      <c r="E51" s="5377"/>
      <c r="F51" s="5376"/>
      <c r="G51" s="1194"/>
      <c r="H51" s="1194"/>
      <c r="I51" s="1194"/>
      <c r="J51" s="1194"/>
      <c r="K51" s="1194"/>
      <c r="L51" s="1333"/>
      <c r="M51" s="1201"/>
      <c r="N51" s="1201"/>
      <c r="P51" s="1196"/>
      <c r="Q51" s="1197"/>
      <c r="R51" s="1196"/>
      <c r="S51" s="1202"/>
      <c r="T51" s="1205" t="s">
        <v>271</v>
      </c>
      <c r="U51" s="1204"/>
      <c r="V51" s="1204"/>
      <c r="W51" s="1204"/>
      <c r="X51" s="1204"/>
      <c r="Y51" s="1204"/>
      <c r="Z51" s="1204"/>
      <c r="AA51" s="1204"/>
      <c r="AB51" s="1204"/>
      <c r="AC51" s="1204"/>
      <c r="AD51" s="1204"/>
      <c r="AE51" s="1204"/>
      <c r="AF51" s="1204"/>
      <c r="AG51" s="1204"/>
      <c r="AH51" s="1204"/>
      <c r="AI51" s="1204"/>
      <c r="AJ51" s="1204"/>
      <c r="AK51" s="1204"/>
      <c r="AM51" s="688"/>
      <c r="AN51" s="688" t="str">
        <f t="shared" si="1"/>
        <v>Добавить централизованную систему для дифференциации</v>
      </c>
      <c r="AO51" s="688"/>
      <c r="AP51" s="688"/>
    </row>
    <row r="52" spans="1:42" s="4856" customFormat="1" ht="0" hidden="1" customHeight="1">
      <c r="A52" s="1222" t="s">
        <v>251</v>
      </c>
      <c r="B52" s="1222"/>
      <c r="C52" s="1222"/>
      <c r="D52" s="1222"/>
      <c r="E52" s="5376"/>
      <c r="F52" s="1222"/>
      <c r="G52" s="1222"/>
      <c r="H52" s="1222"/>
      <c r="I52" s="1222"/>
      <c r="J52" s="1222"/>
      <c r="K52" s="1222"/>
      <c r="L52" s="1225"/>
      <c r="M52" s="1201"/>
      <c r="N52" s="1201"/>
      <c r="O52" s="426"/>
      <c r="P52" s="296"/>
      <c r="Q52" s="1223"/>
      <c r="R52" s="296"/>
      <c r="S52" s="1202"/>
      <c r="T52" s="1205" t="s">
        <v>330</v>
      </c>
      <c r="U52" s="1204"/>
      <c r="V52" s="1204"/>
      <c r="W52" s="1204"/>
      <c r="X52" s="1204"/>
      <c r="Y52" s="1204"/>
      <c r="Z52" s="1204"/>
      <c r="AA52" s="1204"/>
      <c r="AB52" s="1204"/>
      <c r="AC52" s="1204"/>
      <c r="AD52" s="1204"/>
      <c r="AE52" s="1204"/>
      <c r="AF52" s="1204"/>
      <c r="AG52" s="1204"/>
      <c r="AH52" s="1204"/>
      <c r="AI52" s="1204"/>
      <c r="AJ52" s="1204"/>
      <c r="AK52" s="1204"/>
      <c r="AM52" s="408"/>
      <c r="AN52" s="408" t="str">
        <f t="shared" si="1"/>
        <v>Добавить территорию для дифференциации</v>
      </c>
      <c r="AO52" s="408"/>
      <c r="AP52" s="408"/>
    </row>
    <row r="53" spans="1:42" s="4853" customFormat="1" ht="0" hidden="1" customHeight="1">
      <c r="A53" s="1194"/>
      <c r="B53" s="1194"/>
      <c r="C53" s="1194"/>
      <c r="D53" s="1194"/>
      <c r="E53" s="1222"/>
      <c r="F53" s="1194"/>
      <c r="G53" s="1194"/>
      <c r="H53" s="1194"/>
      <c r="I53" s="1194"/>
      <c r="J53" s="1194"/>
      <c r="K53" s="1194"/>
      <c r="L53" s="1333"/>
      <c r="M53" s="1201"/>
      <c r="N53" s="1201"/>
      <c r="P53" s="1196"/>
      <c r="Q53" s="1197"/>
      <c r="R53" s="1196"/>
      <c r="S53" s="1202"/>
      <c r="T53" s="1205" t="s">
        <v>331</v>
      </c>
      <c r="U53" s="1204"/>
      <c r="V53" s="1204"/>
      <c r="W53" s="1204"/>
      <c r="X53" s="1204"/>
      <c r="Y53" s="1204"/>
      <c r="Z53" s="1204"/>
      <c r="AA53" s="1204"/>
      <c r="AB53" s="1204"/>
      <c r="AC53" s="1204"/>
      <c r="AD53" s="1204"/>
      <c r="AE53" s="1204"/>
      <c r="AF53" s="1204"/>
      <c r="AG53" s="1204"/>
      <c r="AH53" s="1204"/>
      <c r="AI53" s="1204"/>
      <c r="AJ53" s="1204"/>
      <c r="AK53" s="1204"/>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6"/>
      <c r="T55" s="5396"/>
      <c r="U55" s="5396"/>
      <c r="V55" s="5396"/>
      <c r="W55" s="5396"/>
      <c r="X55" s="5396"/>
      <c r="Y55" s="5396"/>
      <c r="Z55" s="5396"/>
      <c r="AA55" s="5396"/>
      <c r="AB55" s="5396"/>
      <c r="AC55" s="5396"/>
      <c r="AD55" s="5396"/>
      <c r="AE55" s="5396"/>
      <c r="AF55" s="5396"/>
      <c r="AG55" s="5396"/>
      <c r="AH55" s="5396"/>
      <c r="AI55" s="5396"/>
      <c r="AJ55" s="5396"/>
      <c r="AK55" s="5396"/>
    </row>
    <row r="56" spans="1:42" ht="14.25" customHeight="1">
      <c r="O56" s="444"/>
    </row>
    <row r="57" spans="1:42" ht="14.25" customHeight="1">
      <c r="O57" s="444"/>
      <c r="S57" s="1136"/>
      <c r="T57" s="5396"/>
      <c r="U57" s="5396"/>
      <c r="V57" s="5396"/>
      <c r="W57" s="5396"/>
      <c r="X57" s="5396"/>
      <c r="Y57" s="5396"/>
      <c r="Z57" s="5396"/>
      <c r="AA57" s="5396"/>
      <c r="AB57" s="5396"/>
      <c r="AC57" s="5396"/>
      <c r="AD57" s="5396"/>
      <c r="AE57" s="5396"/>
      <c r="AF57" s="5396"/>
      <c r="AG57" s="5396"/>
      <c r="AH57" s="5396"/>
      <c r="AI57" s="5396"/>
      <c r="AJ57" s="5396"/>
      <c r="AK57" s="539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4.140625" style="4854" hidden="1" customWidth="1"/>
    <col min="10" max="10" width="9.85546875" style="4854" hidden="1" customWidth="1"/>
    <col min="11" max="11" width="14.7109375" style="4854" hidden="1" customWidth="1"/>
    <col min="12" max="12" width="19.140625" style="4877" hidden="1" customWidth="1"/>
    <col min="13" max="14" width="12.28515625" style="4858" hidden="1" customWidth="1"/>
    <col min="15" max="15" width="23.42578125" style="4858" hidden="1" customWidth="1"/>
    <col min="16" max="16" width="3.7109375" style="4878" customWidth="1"/>
    <col min="17" max="18" width="3.7109375" style="4860" customWidth="1"/>
    <col min="19" max="19" width="12.7109375" style="4861" customWidth="1"/>
    <col min="20" max="20" width="35.7109375" style="4862" customWidth="1"/>
    <col min="21" max="21" width="0.140625" style="4862" customWidth="1"/>
    <col min="22" max="24" width="24.7109375" style="4862" hidden="1" customWidth="1"/>
    <col min="25" max="25" width="11.7109375" style="4862" hidden="1" customWidth="1"/>
    <col min="26" max="26" width="3.7109375" style="4862" hidden="1" customWidth="1"/>
    <col min="27" max="27" width="11.7109375" style="4862" hidden="1" customWidth="1"/>
    <col min="28" max="28" width="8.5703125" style="4862" hidden="1" customWidth="1"/>
    <col min="29" max="31" width="24.7109375" style="4862" customWidth="1"/>
    <col min="32" max="32" width="11.7109375" style="4862" customWidth="1"/>
    <col min="33" max="33" width="3.7109375" style="4862" customWidth="1"/>
    <col min="34" max="34" width="11.7109375" style="4862" customWidth="1"/>
    <col min="35" max="35" width="8.5703125" style="4862" hidden="1" customWidth="1"/>
    <col min="36" max="36" width="4.7109375" style="4862" customWidth="1"/>
    <col min="37" max="37" width="115.7109375" style="4862" customWidth="1"/>
    <col min="38" max="39" width="10.5703125" style="4856"/>
    <col min="40" max="40" width="11.140625" style="4856" customWidth="1"/>
    <col min="41" max="42" width="10.5703125" style="4856"/>
  </cols>
  <sheetData>
    <row r="1" spans="1:42" ht="14.25" hidden="1" customHeight="1">
      <c r="X1" s="245"/>
      <c r="Y1" s="245"/>
      <c r="AE1" s="245"/>
      <c r="AF1" s="245"/>
    </row>
    <row r="2" spans="1:42" ht="23.25" hidden="1" customHeight="1">
      <c r="A2" s="1241"/>
      <c r="B2" s="1241"/>
      <c r="C2" s="1241"/>
      <c r="D2" s="1241"/>
      <c r="E2" s="5376">
        <v>1</v>
      </c>
      <c r="F2" s="1241"/>
      <c r="G2" s="1241"/>
      <c r="H2" s="1241"/>
      <c r="I2" s="1241"/>
      <c r="J2" s="1241"/>
      <c r="K2" s="1241"/>
      <c r="L2" s="1242"/>
      <c r="M2" s="1243"/>
      <c r="N2" s="1243"/>
      <c r="O2" s="1243"/>
      <c r="P2" s="278"/>
      <c r="Q2" s="277"/>
      <c r="R2" s="272"/>
      <c r="S2" s="1332" t="e">
        <f>INDEX(PT_DIFFERENTIATION_NUM_NTAR,MATCH(A2,PT_DIFFERENTIATION_NTAR_ID,0))</f>
        <v>#N/A</v>
      </c>
      <c r="T2" s="216" t="s">
        <v>141</v>
      </c>
      <c r="U2" s="218"/>
      <c r="V2" s="5362"/>
      <c r="W2" s="5363"/>
      <c r="X2" s="5363"/>
      <c r="Y2" s="5363"/>
      <c r="Z2" s="5363"/>
      <c r="AA2" s="5363"/>
      <c r="AB2" s="5364"/>
      <c r="AC2" s="5362" t="e">
        <f>INDEX(PT_DIFFERENTIATION_NTAR,MATCH(A2,PT_DIFFERENTIATION_NTAR_ID,0))</f>
        <v>#N/A</v>
      </c>
      <c r="AD2" s="5363"/>
      <c r="AE2" s="5363"/>
      <c r="AF2" s="5363"/>
      <c r="AG2" s="5363"/>
      <c r="AH2" s="5363"/>
      <c r="AI2" s="5363"/>
      <c r="AJ2" s="5364"/>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1"/>
      <c r="B3" s="1241"/>
      <c r="C3" s="1241"/>
      <c r="D3" s="1241"/>
      <c r="E3" s="5377"/>
      <c r="F3" s="5376">
        <v>1</v>
      </c>
      <c r="G3" s="1241"/>
      <c r="H3" s="1241"/>
      <c r="I3" s="1241"/>
      <c r="J3" s="1241"/>
      <c r="K3" s="1241"/>
      <c r="L3" s="1242"/>
      <c r="M3" s="1243"/>
      <c r="N3" s="1243"/>
      <c r="O3" s="1243"/>
      <c r="P3" s="1328"/>
      <c r="Q3" s="269"/>
      <c r="R3" s="270"/>
      <c r="S3" s="1332" t="e">
        <f>INDEX(PT_DIFFERENTIATION_NUM_TER,MATCH(B3,PT_DIFFERENTIATION_TER_ID,0))</f>
        <v>#N/A</v>
      </c>
      <c r="T3" s="226" t="s">
        <v>475</v>
      </c>
      <c r="U3" s="218"/>
      <c r="V3" s="5362"/>
      <c r="W3" s="5363"/>
      <c r="X3" s="5363"/>
      <c r="Y3" s="5363"/>
      <c r="Z3" s="5363"/>
      <c r="AA3" s="5363"/>
      <c r="AB3" s="5364"/>
      <c r="AC3" s="5362" t="e">
        <f>INDEX(PT_DIFFERENTIATION_TER,MATCH(B3,PT_DIFFERENTIATION_TER_ID,0))</f>
        <v>#N/A</v>
      </c>
      <c r="AD3" s="5363"/>
      <c r="AE3" s="5363"/>
      <c r="AF3" s="5363"/>
      <c r="AG3" s="5363"/>
      <c r="AH3" s="5363"/>
      <c r="AI3" s="5363"/>
      <c r="AJ3" s="5364"/>
      <c r="AK3" s="1141" t="s">
        <v>476</v>
      </c>
      <c r="AM3" s="408"/>
      <c r="AN3" s="408" t="str">
        <f t="shared" si="0"/>
        <v>Территория действия тарифа</v>
      </c>
      <c r="AO3" s="408"/>
      <c r="AP3" s="408"/>
    </row>
    <row r="4" spans="1:42" ht="23.25" hidden="1" customHeight="1">
      <c r="A4" s="1241"/>
      <c r="B4" s="1241"/>
      <c r="C4" s="1241"/>
      <c r="D4" s="1241"/>
      <c r="E4" s="5377"/>
      <c r="F4" s="5377"/>
      <c r="G4" s="5376">
        <v>1</v>
      </c>
      <c r="H4" s="1241"/>
      <c r="I4" s="1241"/>
      <c r="J4" s="1241"/>
      <c r="K4" s="1241"/>
      <c r="L4" s="1242"/>
      <c r="M4" s="1243"/>
      <c r="N4" s="1243"/>
      <c r="O4" s="1243"/>
      <c r="P4" s="271"/>
      <c r="Q4" s="269"/>
      <c r="R4" s="270"/>
      <c r="S4" s="1332" t="e">
        <f>INDEX(PT_DIFFERENTIATION_NUM_CS,MATCH(C4,PT_DIFFERENTIATION_CS_ID,0))</f>
        <v>#N/A</v>
      </c>
      <c r="T4" s="227" t="s">
        <v>557</v>
      </c>
      <c r="U4" s="218"/>
      <c r="V4" s="5362"/>
      <c r="W4" s="5363"/>
      <c r="X4" s="5363"/>
      <c r="Y4" s="5363"/>
      <c r="Z4" s="5363"/>
      <c r="AA4" s="5363"/>
      <c r="AB4" s="5364"/>
      <c r="AC4" s="5362" t="e">
        <f>INDEX(PT_DIFFERENTIATION_CS,MATCH(C4,PT_DIFFERENTIATION_CS_ID,0))</f>
        <v>#N/A</v>
      </c>
      <c r="AD4" s="5363"/>
      <c r="AE4" s="5363"/>
      <c r="AF4" s="5363"/>
      <c r="AG4" s="5363"/>
      <c r="AH4" s="5363"/>
      <c r="AI4" s="5363"/>
      <c r="AJ4" s="5364"/>
      <c r="AK4" s="1141" t="s">
        <v>558</v>
      </c>
      <c r="AM4" s="408"/>
      <c r="AN4" s="408" t="str">
        <f t="shared" si="0"/>
        <v>Наименование централизованной системы холодного водоснабжения</v>
      </c>
      <c r="AO4" s="408"/>
      <c r="AP4" s="408"/>
    </row>
    <row r="5" spans="1:42" ht="23.25" hidden="1" customHeight="1">
      <c r="A5" s="1241"/>
      <c r="B5" s="1241"/>
      <c r="C5" s="1241"/>
      <c r="D5" s="1241"/>
      <c r="E5" s="5377"/>
      <c r="F5" s="5377"/>
      <c r="G5" s="5377"/>
      <c r="H5" s="5377"/>
      <c r="I5" s="5374" t="e">
        <f>S4&amp;".1"</f>
        <v>#N/A</v>
      </c>
      <c r="J5" s="1241"/>
      <c r="K5" s="1241"/>
      <c r="L5" s="1242"/>
      <c r="P5" s="5375">
        <v>1</v>
      </c>
      <c r="Q5" s="1325"/>
      <c r="R5" s="273"/>
      <c r="S5" s="1332" t="e">
        <f>$I5</f>
        <v>#N/A</v>
      </c>
      <c r="T5" s="203" t="s">
        <v>559</v>
      </c>
      <c r="U5" s="218"/>
      <c r="V5" s="5435"/>
      <c r="W5" s="5436"/>
      <c r="X5" s="5436"/>
      <c r="Y5" s="5436"/>
      <c r="Z5" s="5436"/>
      <c r="AA5" s="5436"/>
      <c r="AB5" s="5437"/>
      <c r="AC5" s="5438"/>
      <c r="AD5" s="5439"/>
      <c r="AE5" s="5439"/>
      <c r="AF5" s="5439"/>
      <c r="AG5" s="5439"/>
      <c r="AH5" s="5439"/>
      <c r="AI5" s="5439"/>
      <c r="AJ5" s="5440"/>
      <c r="AK5" s="1141" t="s">
        <v>560</v>
      </c>
      <c r="AM5" s="408"/>
      <c r="AN5" s="408" t="str">
        <f t="shared" si="0"/>
        <v>Наименование признака дифференциации</v>
      </c>
      <c r="AO5" s="408"/>
      <c r="AP5" s="408"/>
    </row>
    <row r="6" spans="1:42" ht="23.25" hidden="1" customHeight="1">
      <c r="A6" s="1241"/>
      <c r="B6" s="1241"/>
      <c r="C6" s="1241"/>
      <c r="D6" s="1241"/>
      <c r="E6" s="5377"/>
      <c r="F6" s="5377"/>
      <c r="G6" s="5377"/>
      <c r="H6" s="5377"/>
      <c r="I6" s="5397"/>
      <c r="J6" s="5374" t="e">
        <f>I5&amp;".1"</f>
        <v>#N/A</v>
      </c>
      <c r="K6" s="1241"/>
      <c r="L6" s="1242" t="s">
        <v>484</v>
      </c>
      <c r="P6" s="5375"/>
      <c r="Q6" s="5375">
        <v>1</v>
      </c>
      <c r="R6" s="274"/>
      <c r="S6" s="1332" t="e">
        <f>$J6</f>
        <v>#N/A</v>
      </c>
      <c r="T6" s="204" t="s">
        <v>485</v>
      </c>
      <c r="U6" s="218"/>
      <c r="V6" s="5365"/>
      <c r="W6" s="5366"/>
      <c r="X6" s="5366"/>
      <c r="Y6" s="5366"/>
      <c r="Z6" s="5366"/>
      <c r="AA6" s="5366"/>
      <c r="AB6" s="5367"/>
      <c r="AC6" s="5365"/>
      <c r="AD6" s="5366"/>
      <c r="AE6" s="5366"/>
      <c r="AF6" s="5366"/>
      <c r="AG6" s="5366"/>
      <c r="AH6" s="5366"/>
      <c r="AI6" s="5366"/>
      <c r="AJ6" s="5367"/>
      <c r="AK6" s="1188" t="s">
        <v>561</v>
      </c>
      <c r="AM6" s="408"/>
      <c r="AN6" s="408" t="str">
        <f t="shared" si="0"/>
        <v>Группа потребителей</v>
      </c>
      <c r="AO6" s="408"/>
      <c r="AP6" s="408"/>
    </row>
    <row r="7" spans="1:42" ht="23.25" hidden="1" customHeight="1">
      <c r="A7" s="1241"/>
      <c r="B7" s="1241"/>
      <c r="C7" s="1241"/>
      <c r="D7" s="1241"/>
      <c r="E7" s="5377"/>
      <c r="F7" s="5377"/>
      <c r="G7" s="5377"/>
      <c r="H7" s="5377"/>
      <c r="I7" s="5397"/>
      <c r="J7" s="5397"/>
      <c r="K7" s="5374" t="e">
        <f>J6&amp;".1"</f>
        <v>#N/A</v>
      </c>
      <c r="L7" s="1242"/>
      <c r="P7" s="5375"/>
      <c r="Q7" s="5375"/>
      <c r="R7" s="274">
        <v>1</v>
      </c>
      <c r="S7" s="1332" t="e">
        <f>$K7</f>
        <v>#N/A</v>
      </c>
      <c r="T7" s="1314"/>
      <c r="U7" s="218"/>
      <c r="V7" s="650"/>
      <c r="W7" s="650"/>
      <c r="X7" s="1140"/>
      <c r="Y7" s="5379"/>
      <c r="Z7" s="5225" t="s">
        <v>64</v>
      </c>
      <c r="AA7" s="5379"/>
      <c r="AB7" s="5225" t="s">
        <v>64</v>
      </c>
      <c r="AC7" s="650"/>
      <c r="AD7" s="650"/>
      <c r="AE7" s="1140"/>
      <c r="AF7" s="5379"/>
      <c r="AG7" s="5225" t="s">
        <v>64</v>
      </c>
      <c r="AH7" s="5398"/>
      <c r="AI7" s="5225" t="s">
        <v>64</v>
      </c>
      <c r="AJ7" s="1315"/>
      <c r="AK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1"/>
      <c r="B8" s="1241"/>
      <c r="C8" s="1241"/>
      <c r="D8" s="1241"/>
      <c r="E8" s="5377"/>
      <c r="F8" s="5377"/>
      <c r="G8" s="5377"/>
      <c r="H8" s="5377"/>
      <c r="I8" s="5397"/>
      <c r="J8" s="5397"/>
      <c r="K8" s="5374"/>
      <c r="L8" s="1242"/>
      <c r="P8" s="5375"/>
      <c r="Q8" s="5375"/>
      <c r="R8" s="274"/>
      <c r="S8" s="1331"/>
      <c r="T8" s="218"/>
      <c r="U8" s="218"/>
      <c r="V8" s="243"/>
      <c r="W8" s="243"/>
      <c r="X8" s="246" t="str">
        <f>Y7&amp;"-"&amp;AA7</f>
        <v>-</v>
      </c>
      <c r="Y8" s="5380"/>
      <c r="Z8" s="5225"/>
      <c r="AA8" s="5380"/>
      <c r="AB8" s="5225"/>
      <c r="AC8" s="243"/>
      <c r="AD8" s="243"/>
      <c r="AE8" s="246" t="str">
        <f>AF7&amp;"-"&amp;AH7</f>
        <v>-</v>
      </c>
      <c r="AF8" s="5380"/>
      <c r="AG8" s="5225"/>
      <c r="AH8" s="5399"/>
      <c r="AI8" s="5225"/>
      <c r="AJ8" s="1316"/>
      <c r="AK8" s="5434"/>
      <c r="AM8" s="408"/>
      <c r="AN8" s="408" t="str">
        <f t="shared" si="0"/>
        <v/>
      </c>
      <c r="AO8" s="408"/>
      <c r="AP8" s="408"/>
    </row>
    <row r="9" spans="1:42" ht="21" hidden="1" customHeight="1">
      <c r="A9" s="1241"/>
      <c r="B9" s="1241"/>
      <c r="C9" s="1241"/>
      <c r="D9" s="1241"/>
      <c r="E9" s="5377"/>
      <c r="F9" s="5377"/>
      <c r="G9" s="5377"/>
      <c r="H9" s="5377"/>
      <c r="I9" s="5397"/>
      <c r="J9" s="5374"/>
      <c r="K9" s="1241"/>
      <c r="L9" s="1242"/>
      <c r="P9" s="5375"/>
      <c r="Q9" s="5375"/>
      <c r="R9" s="273"/>
      <c r="S9" s="1161"/>
      <c r="T9" s="205" t="s">
        <v>562</v>
      </c>
      <c r="U9" s="283"/>
      <c r="V9" s="283"/>
      <c r="W9" s="283"/>
      <c r="X9" s="283"/>
      <c r="Y9" s="283"/>
      <c r="Z9" s="283"/>
      <c r="AA9" s="283"/>
      <c r="AB9" s="283"/>
      <c r="AC9" s="283"/>
      <c r="AD9" s="283"/>
      <c r="AE9" s="283"/>
      <c r="AF9" s="283"/>
      <c r="AG9" s="283"/>
      <c r="AH9" s="283"/>
      <c r="AI9" s="283"/>
      <c r="AJ9" s="283"/>
      <c r="AK9" s="1141" t="s">
        <v>563</v>
      </c>
      <c r="AM9" s="408"/>
      <c r="AN9" s="408" t="str">
        <f t="shared" si="0"/>
        <v>Добавить значение признака дифференциации</v>
      </c>
      <c r="AO9" s="408"/>
      <c r="AP9" s="408"/>
    </row>
    <row r="10" spans="1:42" ht="21" hidden="1" customHeight="1">
      <c r="A10" s="1241"/>
      <c r="B10" s="1241"/>
      <c r="C10" s="1241"/>
      <c r="D10" s="1241"/>
      <c r="E10" s="5377"/>
      <c r="F10" s="5377"/>
      <c r="G10" s="5377"/>
      <c r="H10" s="5377"/>
      <c r="I10" s="5374"/>
      <c r="J10" s="1241"/>
      <c r="K10" s="1241"/>
      <c r="L10" s="1242"/>
      <c r="P10" s="5375"/>
      <c r="Q10" s="1325"/>
      <c r="R10" s="273"/>
      <c r="S10" s="1161"/>
      <c r="T10" s="281" t="s">
        <v>490</v>
      </c>
      <c r="U10" s="283"/>
      <c r="V10" s="283"/>
      <c r="W10" s="283"/>
      <c r="X10" s="283"/>
      <c r="Y10" s="283"/>
      <c r="Z10" s="283"/>
      <c r="AA10" s="283"/>
      <c r="AB10" s="282"/>
      <c r="AC10" s="283"/>
      <c r="AD10" s="283"/>
      <c r="AE10" s="283"/>
      <c r="AF10" s="283"/>
      <c r="AG10" s="283"/>
      <c r="AH10" s="283"/>
      <c r="AI10" s="282"/>
      <c r="AJ10" s="283"/>
      <c r="AK10" s="1317"/>
      <c r="AM10" s="408"/>
      <c r="AN10" s="408" t="str">
        <f t="shared" si="0"/>
        <v>Добавить группу потребителей</v>
      </c>
      <c r="AO10" s="408"/>
      <c r="AP10" s="408"/>
    </row>
    <row r="11" spans="1:42" ht="21" hidden="1" customHeight="1">
      <c r="A11" s="1241"/>
      <c r="B11" s="1241"/>
      <c r="C11" s="1241"/>
      <c r="D11" s="1241"/>
      <c r="E11" s="5377"/>
      <c r="F11" s="5377"/>
      <c r="G11" s="5377"/>
      <c r="H11" s="5376"/>
      <c r="I11" s="1241"/>
      <c r="J11" s="1241"/>
      <c r="K11" s="1241"/>
      <c r="L11" s="1242"/>
      <c r="M11" s="1243"/>
      <c r="N11" s="1243"/>
      <c r="O11" s="444"/>
      <c r="P11" s="277"/>
      <c r="Q11" s="291"/>
      <c r="R11" s="272"/>
      <c r="S11" s="1161"/>
      <c r="T11" s="288" t="s">
        <v>564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4853" customFormat="1" ht="14.25" hidden="1" customHeight="1">
      <c r="A12" s="1222"/>
      <c r="B12" s="1222"/>
      <c r="C12" s="1194"/>
      <c r="D12" s="1194"/>
      <c r="E12" s="5377"/>
      <c r="F12" s="5376"/>
      <c r="G12" s="1194"/>
      <c r="H12" s="1194"/>
      <c r="I12" s="1194"/>
      <c r="J12" s="1194"/>
      <c r="K12" s="1194"/>
      <c r="L12" s="1333"/>
      <c r="M12" s="1201"/>
      <c r="N12" s="1201"/>
      <c r="P12" s="1196"/>
      <c r="Q12" s="1197"/>
      <c r="R12" s="1196"/>
      <c r="S12" s="1202"/>
      <c r="T12" s="1205" t="s">
        <v>271</v>
      </c>
      <c r="U12" s="1204"/>
      <c r="V12" s="1204"/>
      <c r="W12" s="1204"/>
      <c r="X12" s="1204"/>
      <c r="Y12" s="1204"/>
      <c r="Z12" s="1204"/>
      <c r="AA12" s="1204"/>
      <c r="AB12" s="1204"/>
      <c r="AC12" s="1204"/>
      <c r="AD12" s="1204"/>
      <c r="AE12" s="1204"/>
      <c r="AF12" s="1204"/>
      <c r="AG12" s="1204"/>
      <c r="AH12" s="1204"/>
      <c r="AI12" s="1204"/>
      <c r="AJ12" s="1204"/>
      <c r="AK12" s="1204"/>
      <c r="AM12" s="688"/>
      <c r="AN12" s="688" t="str">
        <f t="shared" si="0"/>
        <v>Добавить централизованную систему для дифференциации</v>
      </c>
      <c r="AO12" s="688"/>
      <c r="AP12" s="688"/>
    </row>
    <row r="13" spans="1:42" s="4856" customFormat="1" ht="14.25" hidden="1" customHeight="1">
      <c r="A13" s="1222"/>
      <c r="B13" s="1222"/>
      <c r="C13" s="1222"/>
      <c r="D13" s="1222"/>
      <c r="E13" s="5376"/>
      <c r="F13" s="1222"/>
      <c r="G13" s="1222"/>
      <c r="H13" s="1222"/>
      <c r="I13" s="1222"/>
      <c r="J13" s="1222"/>
      <c r="K13" s="1222"/>
      <c r="L13" s="1225"/>
      <c r="M13" s="1201"/>
      <c r="N13" s="1201"/>
      <c r="O13" s="426"/>
      <c r="P13" s="296"/>
      <c r="Q13" s="1223"/>
      <c r="R13" s="296"/>
      <c r="S13" s="1202"/>
      <c r="T13" s="1205" t="s">
        <v>330</v>
      </c>
      <c r="U13" s="1204"/>
      <c r="V13" s="1204"/>
      <c r="W13" s="1204"/>
      <c r="X13" s="1204"/>
      <c r="Y13" s="1204"/>
      <c r="Z13" s="1204"/>
      <c r="AA13" s="1204"/>
      <c r="AB13" s="1204"/>
      <c r="AC13" s="1204"/>
      <c r="AD13" s="1204"/>
      <c r="AE13" s="1204"/>
      <c r="AF13" s="1204"/>
      <c r="AG13" s="1204"/>
      <c r="AH13" s="1204"/>
      <c r="AI13" s="1204"/>
      <c r="AJ13" s="1204"/>
      <c r="AK13" s="1204"/>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8"/>
      <c r="AD15" s="1238"/>
      <c r="AE15" s="1239"/>
      <c r="AF15" s="5381"/>
      <c r="AG15" s="5382" t="s">
        <v>64</v>
      </c>
      <c r="AH15" s="5381"/>
      <c r="AI15" s="5382" t="s">
        <v>64</v>
      </c>
    </row>
    <row r="16" spans="1:42" ht="14.25" hidden="1" customHeight="1">
      <c r="AC16" s="1238"/>
      <c r="AD16" s="1238"/>
      <c r="AE16" s="246" t="str">
        <f>AF15&amp;"-"&amp;AH15</f>
        <v>-</v>
      </c>
      <c r="AF16" s="5382"/>
      <c r="AG16" s="5382"/>
      <c r="AH16" s="5382"/>
      <c r="AI16" s="5382"/>
    </row>
    <row r="17" spans="1:42" ht="14.25" hidden="1" customHeight="1">
      <c r="AI17" s="245"/>
    </row>
    <row r="18" spans="1:42" s="4854" customFormat="1" ht="22.5" hidden="1" customHeight="1">
      <c r="L18" s="1322"/>
      <c r="M18" s="1240"/>
      <c r="N18" s="1240"/>
      <c r="O18" s="1245" t="s">
        <v>493</v>
      </c>
      <c r="P18" s="1240"/>
      <c r="Q18" s="1249"/>
      <c r="R18" s="1249"/>
      <c r="S18" s="630"/>
      <c r="Y18" s="1245"/>
      <c r="AA18" s="1245"/>
      <c r="AB18" s="1244"/>
      <c r="AF18" s="1245"/>
      <c r="AH18" s="1245"/>
      <c r="AI18" s="1244"/>
      <c r="AL18" s="419"/>
      <c r="AM18" s="419"/>
      <c r="AN18" s="419"/>
      <c r="AO18" s="419"/>
      <c r="AP18" s="419"/>
    </row>
    <row r="19" spans="1:42" s="4854" customFormat="1" ht="14.25" hidden="1" customHeight="1">
      <c r="L19" s="1322"/>
      <c r="M19" s="1240"/>
      <c r="N19" s="1240"/>
      <c r="O19" s="1240"/>
      <c r="P19" s="1240"/>
      <c r="Q19" s="1249"/>
      <c r="R19" s="1249"/>
      <c r="S19" s="630"/>
      <c r="AB19" s="1244"/>
      <c r="AI19" s="1244"/>
      <c r="AL19" s="419"/>
      <c r="AM19" s="419"/>
      <c r="AN19" s="419"/>
      <c r="AO19" s="419"/>
      <c r="AP19" s="419"/>
    </row>
    <row r="20" spans="1:42" s="4854" customFormat="1" ht="12" hidden="1" customHeight="1">
      <c r="L20" s="1322"/>
      <c r="M20" s="1240"/>
      <c r="N20" s="1240"/>
      <c r="O20" s="1242" t="s">
        <v>494</v>
      </c>
      <c r="P20" s="1240"/>
      <c r="Q20" s="1318"/>
      <c r="R20" s="1318"/>
      <c r="S20" s="630"/>
      <c r="T20" s="1042" t="s">
        <v>495</v>
      </c>
      <c r="Z20" s="108" t="s">
        <v>496</v>
      </c>
      <c r="AB20" s="108" t="s">
        <v>497</v>
      </c>
      <c r="AC20" s="1042" t="s">
        <v>495</v>
      </c>
      <c r="AG20" s="108" t="s">
        <v>498</v>
      </c>
      <c r="AI20" s="108" t="s">
        <v>497</v>
      </c>
    </row>
    <row r="21" spans="1:42" ht="14.25" hidden="1" customHeight="1">
      <c r="O21" s="1242"/>
    </row>
    <row r="22" spans="1:42" ht="14.25" hidden="1" customHeight="1">
      <c r="O22" s="1242"/>
    </row>
    <row r="23" spans="1:42" ht="14.25" customHeight="1">
      <c r="Q23" s="292"/>
      <c r="R23" s="292"/>
      <c r="S23" s="1158"/>
      <c r="T23" s="280"/>
      <c r="U23" s="280"/>
      <c r="V23" s="417"/>
      <c r="W23" s="417"/>
      <c r="X23" s="417"/>
      <c r="Y23" s="417"/>
      <c r="Z23" s="417"/>
      <c r="AA23" s="417"/>
      <c r="AB23" s="417"/>
      <c r="AC23" s="417"/>
      <c r="AD23" s="417"/>
      <c r="AE23" s="417"/>
      <c r="AF23" s="417"/>
      <c r="AG23" s="417"/>
      <c r="AH23" s="417"/>
      <c r="AI23" s="417"/>
    </row>
    <row r="24" spans="1:42" ht="14.25" customHeight="1">
      <c r="Q24" s="292"/>
      <c r="R24" s="292"/>
      <c r="S24" s="5360"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360"/>
      <c r="U24" s="5360"/>
      <c r="V24" s="5360"/>
      <c r="W24" s="5360"/>
      <c r="X24" s="5360"/>
      <c r="Y24" s="5360"/>
      <c r="Z24" s="5360"/>
      <c r="AA24" s="5360"/>
      <c r="AB24" s="5360"/>
      <c r="AC24" s="5360"/>
      <c r="AD24" s="5360"/>
      <c r="AE24" s="5360"/>
      <c r="AF24" s="5360"/>
      <c r="AG24" s="5360"/>
      <c r="AH24" s="5360"/>
      <c r="AI24" s="1126"/>
    </row>
    <row r="25" spans="1:42" ht="14.25" customHeight="1">
      <c r="Q25" s="292"/>
      <c r="R25" s="292"/>
      <c r="S25" s="5308" t="str">
        <f>IF(org=0,"Не определено",org)</f>
        <v>ООО «Газпром теплоэнерго МО»</v>
      </c>
      <c r="T25" s="5308"/>
      <c r="U25" s="5308"/>
      <c r="V25" s="5308"/>
      <c r="W25" s="5308"/>
      <c r="X25" s="5308"/>
      <c r="Y25" s="5308"/>
      <c r="Z25" s="5308"/>
      <c r="AA25" s="5308"/>
      <c r="AB25" s="5308"/>
      <c r="AC25" s="5308"/>
      <c r="AD25" s="5308"/>
      <c r="AE25" s="5308"/>
      <c r="AF25" s="5308"/>
      <c r="AG25" s="5308"/>
      <c r="AH25" s="5308"/>
      <c r="AI25" s="1126"/>
    </row>
    <row r="26" spans="1:42" ht="14.25" customHeight="1">
      <c r="Q26" s="292"/>
      <c r="R26" s="292"/>
      <c r="S26" s="1158"/>
      <c r="T26" s="280"/>
      <c r="U26" s="280"/>
      <c r="V26" s="240"/>
      <c r="W26" s="240"/>
      <c r="X26" s="240"/>
      <c r="Y26" s="240"/>
      <c r="Z26" s="240"/>
      <c r="AA26" s="240"/>
      <c r="AB26" s="240"/>
      <c r="AC26" s="240"/>
      <c r="AD26" s="240"/>
      <c r="AE26" s="240"/>
      <c r="AF26" s="240"/>
      <c r="AG26" s="240"/>
      <c r="AH26" s="240"/>
      <c r="AI26" s="240"/>
      <c r="AJ26" s="417"/>
    </row>
    <row r="27" spans="1:42" s="4855" customFormat="1" ht="25.5" customHeight="1">
      <c r="A27" s="1246"/>
      <c r="B27" s="1246"/>
      <c r="C27" s="1246"/>
      <c r="D27" s="1246"/>
      <c r="E27" s="1246"/>
      <c r="F27" s="1246"/>
      <c r="G27" s="1246"/>
      <c r="H27" s="1246"/>
      <c r="I27" s="1246"/>
      <c r="J27" s="1246"/>
      <c r="K27" s="1246"/>
      <c r="L27" s="1247"/>
      <c r="M27" s="1246"/>
      <c r="N27" s="1246"/>
      <c r="O27" s="1246"/>
      <c r="S27" s="5368" t="s">
        <v>38</v>
      </c>
      <c r="T27" s="5368"/>
      <c r="U27" s="1250"/>
      <c r="V27" s="5369" t="str">
        <f>IF(TITLE_NAME_OR_PR_CHANGE="",IF(TITLE_NAME_OR_PR="","",TITLE_NAME_OR_PR),TITLE_NAME_OR_PR_CHANGE)</f>
        <v>Комитет по ценам и тарифам Московской области</v>
      </c>
      <c r="W27" s="5369"/>
      <c r="X27" s="5369"/>
      <c r="Y27" s="5369"/>
      <c r="Z27" s="5369"/>
      <c r="AA27" s="5369"/>
      <c r="AB27" s="244"/>
      <c r="AC27" s="5369" t="str">
        <f>IF(TITLE_NAME_OR_PR_CHANGE="",IF(TITLE_NAME_OR_PR="","",TITLE_NAME_OR_PR),TITLE_NAME_OR_PR_CHANGE)</f>
        <v>Комитет по ценам и тарифам Московской области</v>
      </c>
      <c r="AD27" s="5369"/>
      <c r="AE27" s="5369"/>
      <c r="AF27" s="5369"/>
      <c r="AG27" s="5369"/>
      <c r="AH27" s="5369"/>
      <c r="AI27" s="244"/>
      <c r="AJ27" s="244"/>
      <c r="AK27" s="199"/>
      <c r="AL27" s="284"/>
      <c r="AM27" s="284"/>
      <c r="AN27" s="284"/>
      <c r="AO27" s="284"/>
      <c r="AP27" s="284"/>
    </row>
    <row r="28" spans="1:42" s="4855" customFormat="1" ht="18.75" customHeight="1">
      <c r="A28" s="1246"/>
      <c r="B28" s="1246"/>
      <c r="C28" s="1246"/>
      <c r="D28" s="1246"/>
      <c r="E28" s="1246"/>
      <c r="F28" s="1246"/>
      <c r="G28" s="1246"/>
      <c r="H28" s="1246"/>
      <c r="I28" s="1246"/>
      <c r="J28" s="1246"/>
      <c r="K28" s="1246"/>
      <c r="L28" s="1247"/>
      <c r="M28" s="1246"/>
      <c r="N28" s="1246"/>
      <c r="O28" s="1246"/>
      <c r="S28" s="5368" t="s">
        <v>499</v>
      </c>
      <c r="T28" s="5368"/>
      <c r="U28" s="1250"/>
      <c r="V28" s="5378">
        <f>IF(TITLE_DATE_PR_CHANGE="",IF(TITLE_DATE_PR="","",TITLE_DATE_PR),TITLE_DATE_PR_CHANGE)</f>
        <v>45280</v>
      </c>
      <c r="W28" s="5378"/>
      <c r="X28" s="5378"/>
      <c r="Y28" s="5378"/>
      <c r="Z28" s="5378"/>
      <c r="AA28" s="5378"/>
      <c r="AB28" s="244"/>
      <c r="AC28" s="5378">
        <f>IF(TITLE_DATE_PR_CHANGE="",IF(TITLE_DATE_PR="","",TITLE_DATE_PR),TITLE_DATE_PR_CHANGE)</f>
        <v>45280</v>
      </c>
      <c r="AD28" s="5378"/>
      <c r="AE28" s="5378"/>
      <c r="AF28" s="5378"/>
      <c r="AG28" s="5378"/>
      <c r="AH28" s="5378"/>
      <c r="AI28" s="244"/>
      <c r="AJ28" s="244"/>
      <c r="AK28" s="199"/>
      <c r="AL28" s="284"/>
      <c r="AM28" s="284"/>
      <c r="AN28" s="284"/>
      <c r="AO28" s="284"/>
      <c r="AP28" s="284"/>
    </row>
    <row r="29" spans="1:42" s="4855" customFormat="1" ht="18.75" customHeight="1">
      <c r="A29" s="1246"/>
      <c r="B29" s="1246"/>
      <c r="C29" s="1246"/>
      <c r="D29" s="1246"/>
      <c r="E29" s="1246"/>
      <c r="F29" s="1246"/>
      <c r="G29" s="1246"/>
      <c r="H29" s="1246"/>
      <c r="I29" s="1246"/>
      <c r="J29" s="1246"/>
      <c r="K29" s="1246"/>
      <c r="L29" s="1247"/>
      <c r="M29" s="1246"/>
      <c r="N29" s="1246"/>
      <c r="O29" s="1246"/>
      <c r="S29" s="5368" t="s">
        <v>500</v>
      </c>
      <c r="T29" s="5368"/>
      <c r="U29" s="1250"/>
      <c r="V29" s="5369" t="str">
        <f>IF(TITLE_NUMBER_PR_CHANGE="",IF(TITLE_NUMBER_PR="","",TITLE_NUMBER_PR),TITLE_NUMBER_PR_CHANGE)</f>
        <v>317-Р</v>
      </c>
      <c r="W29" s="5369"/>
      <c r="X29" s="5369"/>
      <c r="Y29" s="5369"/>
      <c r="Z29" s="5369"/>
      <c r="AA29" s="5369"/>
      <c r="AB29" s="244"/>
      <c r="AC29" s="5369" t="str">
        <f>IF(TITLE_NUMBER_PR_CHANGE="",IF(TITLE_NUMBER_PR="","",TITLE_NUMBER_PR),TITLE_NUMBER_PR_CHANGE)</f>
        <v>317-Р</v>
      </c>
      <c r="AD29" s="5369"/>
      <c r="AE29" s="5369"/>
      <c r="AF29" s="5369"/>
      <c r="AG29" s="5369"/>
      <c r="AH29" s="5369"/>
      <c r="AI29" s="244"/>
      <c r="AJ29" s="244"/>
      <c r="AK29" s="199"/>
      <c r="AL29" s="284"/>
      <c r="AM29" s="284"/>
      <c r="AN29" s="284"/>
      <c r="AO29" s="284"/>
      <c r="AP29" s="284"/>
    </row>
    <row r="30" spans="1:42" s="4855" customFormat="1" ht="18.75" customHeight="1">
      <c r="A30" s="1246"/>
      <c r="B30" s="1246"/>
      <c r="C30" s="1246"/>
      <c r="D30" s="1246"/>
      <c r="E30" s="1246"/>
      <c r="F30" s="1246"/>
      <c r="G30" s="1246"/>
      <c r="H30" s="1246"/>
      <c r="I30" s="1246"/>
      <c r="J30" s="1246"/>
      <c r="K30" s="1246"/>
      <c r="L30" s="1247"/>
      <c r="M30" s="1246"/>
      <c r="N30" s="1246"/>
      <c r="O30" s="1246"/>
      <c r="S30" s="5368" t="s">
        <v>40</v>
      </c>
      <c r="T30" s="5368"/>
      <c r="U30" s="1250"/>
      <c r="V30" s="5369" t="str">
        <f>IF(TITLE_IST_PUB_CHANGE="",IF(TITLE_IST_PUB="","",TITLE_IST_PUB),TITLE_IST_PUB_CHANGE)</f>
        <v>https://ktc.mosreg.ru/dokumenty/normotvorchestvo/rasporyazheniya/gosudarstvennoe-regulirovanie-tarifov-na-teplovuyu-energiyu-raspor/29-12-2023-16-47-50-rasporyazhenie-komiteta-po-tsenam-i-tarifam-moskov</v>
      </c>
      <c r="W30" s="5369"/>
      <c r="X30" s="5369"/>
      <c r="Y30" s="5369"/>
      <c r="Z30" s="5369"/>
      <c r="AA30" s="5369"/>
      <c r="AB30" s="244"/>
      <c r="AC30" s="5369" t="str">
        <f>IF(TITLE_IST_PUB_CHANGE="",IF(TITLE_IST_PUB="","",TITLE_IST_PUB),TITLE_IST_PUB_CHANGE)</f>
        <v>https://ktc.mosreg.ru/dokumenty/normotvorchestvo/rasporyazheniya/gosudarstvennoe-regulirovanie-tarifov-na-teplovuyu-energiyu-raspor/29-12-2023-16-47-50-rasporyazhenie-komiteta-po-tsenam-i-tarifam-moskov</v>
      </c>
      <c r="AD30" s="5369"/>
      <c r="AE30" s="5369"/>
      <c r="AF30" s="5369"/>
      <c r="AG30" s="5369"/>
      <c r="AH30" s="5369"/>
      <c r="AI30" s="244"/>
      <c r="AJ30" s="244"/>
      <c r="AK30" s="199"/>
      <c r="AL30" s="284"/>
      <c r="AM30" s="284"/>
      <c r="AN30" s="284"/>
      <c r="AO30" s="284"/>
      <c r="AP30" s="284"/>
    </row>
    <row r="31" spans="1:42" ht="14.25" hidden="1" customHeight="1">
      <c r="Q31" s="292"/>
      <c r="R31" s="292"/>
      <c r="S31" s="1158"/>
      <c r="T31" s="280"/>
      <c r="U31" s="280"/>
      <c r="V31" s="240"/>
      <c r="W31" s="240"/>
      <c r="X31" s="240"/>
      <c r="Y31" s="240"/>
      <c r="Z31" s="240"/>
      <c r="AA31" s="240"/>
      <c r="AB31" s="240"/>
      <c r="AC31" s="240"/>
      <c r="AD31" s="240"/>
      <c r="AE31" s="240"/>
      <c r="AF31" s="240"/>
      <c r="AG31" s="240"/>
      <c r="AH31" s="240"/>
      <c r="AI31" s="240"/>
      <c r="AJ31" s="417"/>
    </row>
    <row r="32" spans="1:42" s="4855" customFormat="1" ht="18.75" hidden="1" customHeight="1">
      <c r="A32" s="1246"/>
      <c r="B32" s="1246"/>
      <c r="C32" s="1246"/>
      <c r="D32" s="1246"/>
      <c r="E32" s="1246"/>
      <c r="F32" s="1246"/>
      <c r="G32" s="1246"/>
      <c r="H32" s="1246"/>
      <c r="I32" s="1246"/>
      <c r="J32" s="1246"/>
      <c r="K32" s="1246"/>
      <c r="L32" s="1247"/>
      <c r="M32" s="1246"/>
      <c r="N32" s="1246"/>
      <c r="O32" s="1246"/>
      <c r="S32" s="5368" t="s">
        <v>501</v>
      </c>
      <c r="T32" s="5368"/>
      <c r="U32" s="1250"/>
      <c r="V32" s="5378">
        <f>IF(TITLE_DATE_PR_CHANGE="",IF(TITLE_DATE_PR="","",TITLE_DATE_PR),TITLE_DATE_PR_CHANGE)</f>
        <v>45280</v>
      </c>
      <c r="W32" s="5378"/>
      <c r="X32" s="5378"/>
      <c r="Y32" s="5378"/>
      <c r="Z32" s="5378"/>
      <c r="AA32" s="5378"/>
      <c r="AB32" s="244"/>
      <c r="AC32" s="5378">
        <f>IF(TITLE_DATE_PR_CHANGE="",IF(TITLE_DATE_PR="","",TITLE_DATE_PR),TITLE_DATE_PR_CHANGE)</f>
        <v>45280</v>
      </c>
      <c r="AD32" s="5378"/>
      <c r="AE32" s="5378"/>
      <c r="AF32" s="5378"/>
      <c r="AG32" s="5378"/>
      <c r="AH32" s="5378"/>
      <c r="AI32" s="244"/>
      <c r="AJ32" s="244"/>
      <c r="AK32" s="199"/>
      <c r="AL32" s="284"/>
      <c r="AM32" s="284"/>
      <c r="AN32" s="284"/>
      <c r="AO32" s="284"/>
      <c r="AP32" s="284"/>
    </row>
    <row r="33" spans="1:42" s="4855" customFormat="1" ht="18.75" hidden="1" customHeight="1">
      <c r="A33" s="1246"/>
      <c r="B33" s="1246"/>
      <c r="C33" s="1246"/>
      <c r="D33" s="1246"/>
      <c r="E33" s="1246"/>
      <c r="F33" s="1246"/>
      <c r="G33" s="1246"/>
      <c r="H33" s="1246"/>
      <c r="I33" s="1246"/>
      <c r="J33" s="1246"/>
      <c r="K33" s="1246"/>
      <c r="L33" s="1247"/>
      <c r="M33" s="1246"/>
      <c r="N33" s="1246"/>
      <c r="O33" s="1246"/>
      <c r="S33" s="5368" t="s">
        <v>502</v>
      </c>
      <c r="T33" s="5368"/>
      <c r="U33" s="1250"/>
      <c r="V33" s="5369" t="str">
        <f>IF(TITLE_NUMBER_PR_CHANGE="",IF(TITLE_NUMBER_PR="","",TITLE_NUMBER_PR),TITLE_NUMBER_PR_CHANGE)</f>
        <v>317-Р</v>
      </c>
      <c r="W33" s="5369"/>
      <c r="X33" s="5369"/>
      <c r="Y33" s="5369"/>
      <c r="Z33" s="5369"/>
      <c r="AA33" s="5369"/>
      <c r="AB33" s="244"/>
      <c r="AC33" s="5369" t="str">
        <f>IF(TITLE_NUMBER_PR_CHANGE="",IF(TITLE_NUMBER_PR="","",TITLE_NUMBER_PR),TITLE_NUMBER_PR_CHANGE)</f>
        <v>317-Р</v>
      </c>
      <c r="AD33" s="5369"/>
      <c r="AE33" s="5369"/>
      <c r="AF33" s="5369"/>
      <c r="AG33" s="5369"/>
      <c r="AH33" s="5369"/>
      <c r="AI33" s="244"/>
      <c r="AJ33" s="244"/>
      <c r="AK33" s="199"/>
      <c r="AL33" s="284"/>
      <c r="AM33" s="284"/>
      <c r="AN33" s="284"/>
      <c r="AO33" s="284"/>
      <c r="AP33" s="284"/>
    </row>
    <row r="34" spans="1:42" s="4855" customFormat="1" ht="0.75" customHeight="1">
      <c r="A34" s="1246"/>
      <c r="B34" s="1246"/>
      <c r="C34" s="1246"/>
      <c r="D34" s="1246"/>
      <c r="E34" s="1246"/>
      <c r="F34" s="1246"/>
      <c r="G34" s="1246"/>
      <c r="H34" s="1246"/>
      <c r="I34" s="1246"/>
      <c r="J34" s="1246"/>
      <c r="K34" s="1246"/>
      <c r="L34" s="1247"/>
      <c r="M34" s="1246"/>
      <c r="N34" s="1246"/>
      <c r="O34" s="1246"/>
      <c r="S34" s="241"/>
      <c r="T34" s="241"/>
      <c r="U34" s="1329"/>
      <c r="V34" s="244"/>
      <c r="W34" s="244"/>
      <c r="X34" s="244"/>
      <c r="Y34" s="244"/>
      <c r="Z34" s="244"/>
      <c r="AA34" s="244"/>
      <c r="AB34" s="197" t="s">
        <v>503</v>
      </c>
      <c r="AC34" s="244"/>
      <c r="AD34" s="244"/>
      <c r="AE34" s="244"/>
      <c r="AF34" s="244"/>
      <c r="AG34" s="244"/>
      <c r="AH34" s="244"/>
      <c r="AI34" s="197" t="s">
        <v>503</v>
      </c>
      <c r="AL34" s="284"/>
      <c r="AM34" s="284"/>
      <c r="AN34" s="284"/>
      <c r="AO34" s="284"/>
      <c r="AP34" s="284"/>
    </row>
    <row r="35" spans="1:42" ht="14.25" customHeight="1">
      <c r="Q35" s="292"/>
      <c r="R35" s="292"/>
      <c r="S35" s="1158"/>
      <c r="T35" s="280"/>
      <c r="U35" s="1127"/>
      <c r="V35" s="5370"/>
      <c r="W35" s="5370"/>
      <c r="X35" s="5370"/>
      <c r="Y35" s="5370"/>
      <c r="Z35" s="5370"/>
      <c r="AA35" s="5370"/>
      <c r="AB35" s="5370"/>
      <c r="AC35" s="5370"/>
      <c r="AD35" s="5370"/>
      <c r="AE35" s="5370"/>
      <c r="AF35" s="5370"/>
      <c r="AG35" s="5370"/>
      <c r="AH35" s="5370"/>
      <c r="AI35" s="5370"/>
    </row>
    <row r="36" spans="1:42" ht="14.25" customHeight="1">
      <c r="Q36" s="292"/>
      <c r="R36" s="292"/>
      <c r="S36" s="5244" t="s">
        <v>378</v>
      </c>
      <c r="T36" s="5244"/>
      <c r="U36" s="5244"/>
      <c r="V36" s="5244"/>
      <c r="W36" s="5244"/>
      <c r="X36" s="5244"/>
      <c r="Y36" s="5244"/>
      <c r="Z36" s="5244"/>
      <c r="AA36" s="5244"/>
      <c r="AB36" s="5244"/>
      <c r="AC36" s="5244"/>
      <c r="AD36" s="5244"/>
      <c r="AE36" s="5244"/>
      <c r="AF36" s="5244"/>
      <c r="AG36" s="5244"/>
      <c r="AH36" s="5244"/>
      <c r="AI36" s="5244"/>
      <c r="AJ36" s="5244"/>
      <c r="AK36" s="5244" t="s">
        <v>379</v>
      </c>
    </row>
    <row r="37" spans="1:42" ht="14.25" customHeight="1">
      <c r="Q37" s="292"/>
      <c r="R37" s="292"/>
      <c r="S37" s="5384" t="s">
        <v>85</v>
      </c>
      <c r="T37" s="5336" t="s">
        <v>504</v>
      </c>
      <c r="U37" s="219"/>
      <c r="V37" s="5385" t="s">
        <v>505</v>
      </c>
      <c r="W37" s="5386"/>
      <c r="X37" s="5386"/>
      <c r="Y37" s="5386"/>
      <c r="Z37" s="5386"/>
      <c r="AA37" s="5387"/>
      <c r="AB37" s="5388" t="s">
        <v>506</v>
      </c>
      <c r="AC37" s="5385" t="s">
        <v>505</v>
      </c>
      <c r="AD37" s="5386"/>
      <c r="AE37" s="5386"/>
      <c r="AF37" s="5386"/>
      <c r="AG37" s="5386"/>
      <c r="AH37" s="5387"/>
      <c r="AI37" s="5388" t="s">
        <v>507</v>
      </c>
      <c r="AJ37" s="5391" t="s">
        <v>508</v>
      </c>
      <c r="AK37" s="5244"/>
    </row>
    <row r="38" spans="1:42" ht="33.75" customHeight="1">
      <c r="Q38" s="292"/>
      <c r="R38" s="292"/>
      <c r="S38" s="5384"/>
      <c r="T38" s="5336"/>
      <c r="U38" s="920"/>
      <c r="V38" s="1327" t="s">
        <v>565</v>
      </c>
      <c r="W38" s="5215" t="s">
        <v>511</v>
      </c>
      <c r="X38" s="5214"/>
      <c r="Y38" s="5215" t="s">
        <v>512</v>
      </c>
      <c r="Z38" s="5220"/>
      <c r="AA38" s="5214"/>
      <c r="AB38" s="5389"/>
      <c r="AC38" s="1327" t="s">
        <v>565</v>
      </c>
      <c r="AD38" s="5215" t="s">
        <v>511</v>
      </c>
      <c r="AE38" s="5214"/>
      <c r="AF38" s="5215" t="s">
        <v>512</v>
      </c>
      <c r="AG38" s="5220"/>
      <c r="AH38" s="5214"/>
      <c r="AI38" s="5389"/>
      <c r="AJ38" s="5392"/>
      <c r="AK38" s="5244"/>
    </row>
    <row r="39" spans="1:42" ht="33.75" customHeight="1">
      <c r="A39" s="1248"/>
      <c r="B39" s="1248" t="s">
        <v>153</v>
      </c>
      <c r="C39" s="1248" t="s">
        <v>154</v>
      </c>
      <c r="D39" s="1248" t="s">
        <v>155</v>
      </c>
      <c r="E39" s="1242" t="s">
        <v>513</v>
      </c>
      <c r="F39" s="1242" t="s">
        <v>514</v>
      </c>
      <c r="G39" s="1242" t="s">
        <v>515</v>
      </c>
      <c r="H39" s="1242"/>
      <c r="I39" s="1242" t="s">
        <v>566</v>
      </c>
      <c r="J39" s="1242" t="s">
        <v>518</v>
      </c>
      <c r="K39" s="1242" t="s">
        <v>567</v>
      </c>
      <c r="L39" s="1242" t="s">
        <v>494</v>
      </c>
      <c r="Q39" s="292"/>
      <c r="R39" s="292"/>
      <c r="S39" s="5384"/>
      <c r="T39" s="5336"/>
      <c r="U39" s="220"/>
      <c r="V39" s="1327" t="s">
        <v>568</v>
      </c>
      <c r="W39" s="1105" t="s">
        <v>569</v>
      </c>
      <c r="X39" s="1105" t="s">
        <v>570</v>
      </c>
      <c r="Y39" s="1330" t="s">
        <v>522</v>
      </c>
      <c r="Z39" s="5344" t="s">
        <v>523</v>
      </c>
      <c r="AA39" s="5346"/>
      <c r="AB39" s="5390"/>
      <c r="AC39" s="1327" t="s">
        <v>568</v>
      </c>
      <c r="AD39" s="1105" t="s">
        <v>569</v>
      </c>
      <c r="AE39" s="1105" t="s">
        <v>570</v>
      </c>
      <c r="AF39" s="1330" t="s">
        <v>522</v>
      </c>
      <c r="AG39" s="5344" t="s">
        <v>523</v>
      </c>
      <c r="AH39" s="5346"/>
      <c r="AI39" s="5390"/>
      <c r="AJ39" s="5393"/>
      <c r="AK39" s="5244"/>
    </row>
    <row r="40" spans="1:42" s="4840" customFormat="1" ht="0"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129</v>
      </c>
      <c r="T40" s="1138" t="s">
        <v>100</v>
      </c>
      <c r="U40" s="1128" t="str">
        <f ca="1">OFFSET(U40,0,-1)</f>
        <v>2</v>
      </c>
      <c r="V40" s="1326">
        <f ca="1">OFFSET(V40,0,-1)+1</f>
        <v>3</v>
      </c>
      <c r="W40" s="1326">
        <f ca="1">OFFSET(W40,0,-1)+1</f>
        <v>4</v>
      </c>
      <c r="X40" s="1326">
        <f ca="1">OFFSET(X40,0,-1)+1</f>
        <v>5</v>
      </c>
      <c r="Y40" s="1326">
        <f ca="1">OFFSET(Y40,0,-1)+1</f>
        <v>6</v>
      </c>
      <c r="Z40" s="5383">
        <f ca="1">OFFSET(Z40,0,-1)+1</f>
        <v>7</v>
      </c>
      <c r="AA40" s="5383"/>
      <c r="AB40" s="1326">
        <f ca="1">OFFSET(AB40,0,-2)+1</f>
        <v>8</v>
      </c>
      <c r="AC40" s="1326">
        <f ca="1">OFFSET(AC40,0,-1)+1</f>
        <v>9</v>
      </c>
      <c r="AD40" s="1326">
        <f ca="1">OFFSET(AD40,0,-1)+1</f>
        <v>10</v>
      </c>
      <c r="AE40" s="1326">
        <f ca="1">OFFSET(AE40,0,-1)+1</f>
        <v>11</v>
      </c>
      <c r="AF40" s="1326">
        <f ca="1">OFFSET(AF40,0,-1)+1</f>
        <v>12</v>
      </c>
      <c r="AG40" s="5383">
        <f ca="1">OFFSET(AG40,0,-1)+1</f>
        <v>13</v>
      </c>
      <c r="AH40" s="5383"/>
      <c r="AI40" s="1326">
        <f ca="1">OFFSET(AI40,0,-2)+1</f>
        <v>14</v>
      </c>
      <c r="AJ40" s="1128">
        <f ca="1">OFFSET(AJ40,0,-1)</f>
        <v>14</v>
      </c>
      <c r="AK40" s="1326">
        <f ca="1">OFFSET(AK40,0,-1)+1</f>
        <v>15</v>
      </c>
      <c r="AL40" s="419"/>
      <c r="AM40" s="419"/>
      <c r="AN40" s="419"/>
      <c r="AO40" s="419"/>
      <c r="AP40" s="419"/>
    </row>
    <row r="41" spans="1:42" ht="23.25" customHeight="1">
      <c r="A41" s="1241" t="s">
        <v>256</v>
      </c>
      <c r="B41" s="1241"/>
      <c r="C41" s="1241"/>
      <c r="D41" s="1241"/>
      <c r="E41" s="5376">
        <v>1</v>
      </c>
      <c r="F41" s="1241"/>
      <c r="G41" s="1241"/>
      <c r="H41" s="1241"/>
      <c r="I41" s="1241"/>
      <c r="J41" s="1241"/>
      <c r="K41" s="1241"/>
      <c r="L41" s="1242"/>
      <c r="M41" s="1243"/>
      <c r="N41" s="1243"/>
      <c r="O41" s="1243"/>
      <c r="P41" s="278"/>
      <c r="Q41" s="277"/>
      <c r="R41" s="272"/>
      <c r="S41" s="1332">
        <f>INDEX(PT_DIFFERENTIATION_NUM_NTAR,MATCH(A41,PT_DIFFERENTIATION_NTAR_ID,0))</f>
        <v>0</v>
      </c>
      <c r="T41" s="216" t="s">
        <v>141</v>
      </c>
      <c r="U41" s="218"/>
      <c r="V41" s="5362"/>
      <c r="W41" s="5363"/>
      <c r="X41" s="5363"/>
      <c r="Y41" s="5363"/>
      <c r="Z41" s="5363"/>
      <c r="AA41" s="5363"/>
      <c r="AB41" s="5364"/>
      <c r="AC41" s="5362" t="str">
        <f>INDEX(PT_DIFFERENTIATION_NTAR,MATCH(A41,PT_DIFFERENTIATION_NTAR_ID,0))</f>
        <v/>
      </c>
      <c r="AD41" s="5363"/>
      <c r="AE41" s="5363"/>
      <c r="AF41" s="5363"/>
      <c r="AG41" s="5363"/>
      <c r="AH41" s="5363"/>
      <c r="AI41" s="5363"/>
      <c r="AJ41" s="5364"/>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1" t="s">
        <v>256</v>
      </c>
      <c r="B42" s="1241" t="s">
        <v>257</v>
      </c>
      <c r="C42" s="1241"/>
      <c r="D42" s="1241"/>
      <c r="E42" s="5377"/>
      <c r="F42" s="5376">
        <v>1</v>
      </c>
      <c r="G42" s="1241"/>
      <c r="H42" s="1241"/>
      <c r="I42" s="1241"/>
      <c r="J42" s="1241"/>
      <c r="K42" s="1241"/>
      <c r="L42" s="1242"/>
      <c r="M42" s="1243"/>
      <c r="N42" s="1243"/>
      <c r="O42" s="1243"/>
      <c r="P42" s="1328"/>
      <c r="Q42" s="269"/>
      <c r="R42" s="270"/>
      <c r="S42" s="1332" t="str">
        <f>INDEX(PT_DIFFERENTIATION_NUM_TER,MATCH(B42,PT_DIFFERENTIATION_TER_ID,0))</f>
        <v>.</v>
      </c>
      <c r="T42" s="226" t="s">
        <v>475</v>
      </c>
      <c r="U42" s="218"/>
      <c r="V42" s="5362"/>
      <c r="W42" s="5363"/>
      <c r="X42" s="5363"/>
      <c r="Y42" s="5363"/>
      <c r="Z42" s="5363"/>
      <c r="AA42" s="5363"/>
      <c r="AB42" s="5364"/>
      <c r="AC42" s="5362" t="str">
        <f>INDEX(PT_DIFFERENTIATION_TER,MATCH(B42,PT_DIFFERENTIATION_TER_ID,0))</f>
        <v/>
      </c>
      <c r="AD42" s="5363"/>
      <c r="AE42" s="5363"/>
      <c r="AF42" s="5363"/>
      <c r="AG42" s="5363"/>
      <c r="AH42" s="5363"/>
      <c r="AI42" s="5363"/>
      <c r="AJ42" s="5364"/>
      <c r="AK42" s="1141" t="s">
        <v>476</v>
      </c>
      <c r="AM42" s="408"/>
      <c r="AN42" s="408" t="str">
        <f t="shared" si="1"/>
        <v>Территория действия тарифа</v>
      </c>
      <c r="AO42" s="408"/>
      <c r="AP42" s="408"/>
    </row>
    <row r="43" spans="1:42" ht="23.25" customHeight="1">
      <c r="A43" s="1241" t="s">
        <v>256</v>
      </c>
      <c r="B43" s="1241" t="s">
        <v>257</v>
      </c>
      <c r="C43" s="1241" t="s">
        <v>258</v>
      </c>
      <c r="D43" s="1241"/>
      <c r="E43" s="5377"/>
      <c r="F43" s="5377"/>
      <c r="G43" s="5376">
        <v>1</v>
      </c>
      <c r="H43" s="1241"/>
      <c r="I43" s="1241"/>
      <c r="J43" s="1241"/>
      <c r="K43" s="1241"/>
      <c r="L43" s="1242"/>
      <c r="M43" s="1243"/>
      <c r="N43" s="1243"/>
      <c r="O43" s="1243"/>
      <c r="P43" s="271"/>
      <c r="Q43" s="269"/>
      <c r="R43" s="270"/>
      <c r="S43" s="1332" t="str">
        <f>INDEX(PT_DIFFERENTIATION_NUM_CS,MATCH(C43,PT_DIFFERENTIATION_CS_ID,0))</f>
        <v>..</v>
      </c>
      <c r="T43" s="227" t="s">
        <v>557</v>
      </c>
      <c r="U43" s="218"/>
      <c r="V43" s="5362"/>
      <c r="W43" s="5363"/>
      <c r="X43" s="5363"/>
      <c r="Y43" s="5363"/>
      <c r="Z43" s="5363"/>
      <c r="AA43" s="5363"/>
      <c r="AB43" s="5364"/>
      <c r="AC43" s="5362" t="str">
        <f>INDEX(PT_DIFFERENTIATION_CS,MATCH(C43,PT_DIFFERENTIATION_CS_ID,0))</f>
        <v/>
      </c>
      <c r="AD43" s="5363"/>
      <c r="AE43" s="5363"/>
      <c r="AF43" s="5363"/>
      <c r="AG43" s="5363"/>
      <c r="AH43" s="5363"/>
      <c r="AI43" s="5363"/>
      <c r="AJ43" s="5364"/>
      <c r="AK43" s="1141" t="s">
        <v>558</v>
      </c>
      <c r="AM43" s="408"/>
      <c r="AN43" s="408" t="str">
        <f t="shared" si="1"/>
        <v>Наименование централизованной системы холодного водоснабжения</v>
      </c>
      <c r="AO43" s="408"/>
      <c r="AP43" s="408"/>
    </row>
    <row r="44" spans="1:42" ht="23.25" customHeight="1">
      <c r="A44" s="1241" t="s">
        <v>256</v>
      </c>
      <c r="B44" s="1241" t="s">
        <v>257</v>
      </c>
      <c r="C44" s="1241" t="s">
        <v>258</v>
      </c>
      <c r="D44" s="1241" t="s">
        <v>574</v>
      </c>
      <c r="E44" s="5377"/>
      <c r="F44" s="5377"/>
      <c r="G44" s="5377"/>
      <c r="H44" s="5377"/>
      <c r="I44" s="5374" t="str">
        <f>S43&amp;".1"</f>
        <v>...1</v>
      </c>
      <c r="J44" s="1241"/>
      <c r="K44" s="1241"/>
      <c r="L44" s="1242"/>
      <c r="P44" s="5375">
        <v>1</v>
      </c>
      <c r="Q44" s="1325"/>
      <c r="R44" s="273"/>
      <c r="S44" s="1332" t="str">
        <f>$I44</f>
        <v>...1</v>
      </c>
      <c r="T44" s="203" t="s">
        <v>559</v>
      </c>
      <c r="U44" s="218"/>
      <c r="V44" s="5435"/>
      <c r="W44" s="5436"/>
      <c r="X44" s="5436"/>
      <c r="Y44" s="5436"/>
      <c r="Z44" s="5436"/>
      <c r="AA44" s="5436"/>
      <c r="AB44" s="5437"/>
      <c r="AC44" s="5438"/>
      <c r="AD44" s="5439"/>
      <c r="AE44" s="5439"/>
      <c r="AF44" s="5439"/>
      <c r="AG44" s="5439"/>
      <c r="AH44" s="5439"/>
      <c r="AI44" s="5439"/>
      <c r="AJ44" s="5440"/>
      <c r="AK44" s="1141" t="s">
        <v>560</v>
      </c>
      <c r="AM44" s="408"/>
      <c r="AN44" s="408" t="str">
        <f t="shared" si="1"/>
        <v>Наименование признака дифференциации</v>
      </c>
      <c r="AO44" s="408"/>
      <c r="AP44" s="408"/>
    </row>
    <row r="45" spans="1:42" ht="23.25" customHeight="1">
      <c r="A45" s="1241" t="s">
        <v>256</v>
      </c>
      <c r="B45" s="1241" t="s">
        <v>257</v>
      </c>
      <c r="C45" s="1241" t="s">
        <v>258</v>
      </c>
      <c r="D45" s="1241" t="s">
        <v>574</v>
      </c>
      <c r="E45" s="5377"/>
      <c r="F45" s="5377"/>
      <c r="G45" s="5377"/>
      <c r="H45" s="5377"/>
      <c r="I45" s="5397"/>
      <c r="J45" s="5374" t="str">
        <f>I44&amp;".1"</f>
        <v>...1.1</v>
      </c>
      <c r="K45" s="1241"/>
      <c r="L45" s="1242" t="s">
        <v>484</v>
      </c>
      <c r="P45" s="5375"/>
      <c r="Q45" s="5375">
        <v>1</v>
      </c>
      <c r="R45" s="274"/>
      <c r="S45" s="1332" t="str">
        <f>$J45</f>
        <v>...1.1</v>
      </c>
      <c r="T45" s="204" t="s">
        <v>485</v>
      </c>
      <c r="U45" s="218"/>
      <c r="V45" s="5365"/>
      <c r="W45" s="5366"/>
      <c r="X45" s="5366"/>
      <c r="Y45" s="5366"/>
      <c r="Z45" s="5366"/>
      <c r="AA45" s="5366"/>
      <c r="AB45" s="5367"/>
      <c r="AC45" s="5365"/>
      <c r="AD45" s="5366"/>
      <c r="AE45" s="5366"/>
      <c r="AF45" s="5366"/>
      <c r="AG45" s="5366"/>
      <c r="AH45" s="5366"/>
      <c r="AI45" s="5366"/>
      <c r="AJ45" s="5367"/>
      <c r="AK45" s="1188" t="s">
        <v>561</v>
      </c>
      <c r="AM45" s="408"/>
      <c r="AN45" s="408" t="str">
        <f t="shared" si="1"/>
        <v>Группа потребителей</v>
      </c>
      <c r="AO45" s="408"/>
      <c r="AP45" s="408"/>
    </row>
    <row r="46" spans="1:42" ht="23.25" customHeight="1">
      <c r="A46" s="1241" t="s">
        <v>256</v>
      </c>
      <c r="B46" s="1241" t="s">
        <v>257</v>
      </c>
      <c r="C46" s="1241" t="s">
        <v>258</v>
      </c>
      <c r="D46" s="1241" t="s">
        <v>574</v>
      </c>
      <c r="E46" s="5377"/>
      <c r="F46" s="5377"/>
      <c r="G46" s="5377"/>
      <c r="H46" s="5377"/>
      <c r="I46" s="5397"/>
      <c r="J46" s="5397"/>
      <c r="K46" s="5374" t="str">
        <f>J45&amp;".1"</f>
        <v>...1.1.1</v>
      </c>
      <c r="L46" s="1242"/>
      <c r="P46" s="5375"/>
      <c r="Q46" s="5375"/>
      <c r="R46" s="274">
        <v>1</v>
      </c>
      <c r="S46" s="1332" t="str">
        <f>$K46</f>
        <v>...1.1.1</v>
      </c>
      <c r="T46" s="1314"/>
      <c r="U46" s="218"/>
      <c r="V46" s="650"/>
      <c r="W46" s="650"/>
      <c r="X46" s="1140"/>
      <c r="Y46" s="5379"/>
      <c r="Z46" s="5225" t="s">
        <v>64</v>
      </c>
      <c r="AA46" s="5379"/>
      <c r="AB46" s="5225" t="s">
        <v>64</v>
      </c>
      <c r="AC46" s="650"/>
      <c r="AD46" s="650"/>
      <c r="AE46" s="1140"/>
      <c r="AF46" s="5379"/>
      <c r="AG46" s="5225" t="s">
        <v>64</v>
      </c>
      <c r="AH46" s="5398"/>
      <c r="AI46" s="5225" t="s">
        <v>64</v>
      </c>
      <c r="AJ46" s="1315"/>
      <c r="AK46"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1" t="s">
        <v>256</v>
      </c>
      <c r="B47" s="1241" t="s">
        <v>257</v>
      </c>
      <c r="C47" s="1241" t="s">
        <v>258</v>
      </c>
      <c r="D47" s="1241" t="s">
        <v>574</v>
      </c>
      <c r="E47" s="5377"/>
      <c r="F47" s="5377"/>
      <c r="G47" s="5377"/>
      <c r="H47" s="5377"/>
      <c r="I47" s="5397"/>
      <c r="J47" s="5397"/>
      <c r="K47" s="5374"/>
      <c r="L47" s="1242"/>
      <c r="P47" s="5375"/>
      <c r="Q47" s="5375"/>
      <c r="R47" s="274"/>
      <c r="S47" s="1331"/>
      <c r="T47" s="218"/>
      <c r="U47" s="218"/>
      <c r="V47" s="243"/>
      <c r="W47" s="243"/>
      <c r="X47" s="246" t="str">
        <f>Y46&amp;"-"&amp;AA46</f>
        <v>-</v>
      </c>
      <c r="Y47" s="5380"/>
      <c r="Z47" s="5225"/>
      <c r="AA47" s="5380"/>
      <c r="AB47" s="5225"/>
      <c r="AC47" s="243"/>
      <c r="AD47" s="243"/>
      <c r="AE47" s="246" t="str">
        <f>AF46&amp;"-"&amp;AH46</f>
        <v>-</v>
      </c>
      <c r="AF47" s="5380"/>
      <c r="AG47" s="5225"/>
      <c r="AH47" s="5399"/>
      <c r="AI47" s="5225"/>
      <c r="AJ47" s="1316"/>
      <c r="AK47" s="5434"/>
      <c r="AM47" s="408"/>
      <c r="AN47" s="408" t="str">
        <f t="shared" si="1"/>
        <v/>
      </c>
      <c r="AO47" s="408"/>
      <c r="AP47" s="408"/>
    </row>
    <row r="48" spans="1:42" ht="21" customHeight="1">
      <c r="A48" s="1241" t="s">
        <v>256</v>
      </c>
      <c r="B48" s="1241" t="s">
        <v>257</v>
      </c>
      <c r="C48" s="1241" t="s">
        <v>258</v>
      </c>
      <c r="D48" s="1241" t="s">
        <v>574</v>
      </c>
      <c r="E48" s="5377"/>
      <c r="F48" s="5377"/>
      <c r="G48" s="5377"/>
      <c r="H48" s="5377"/>
      <c r="I48" s="5397"/>
      <c r="J48" s="5374"/>
      <c r="K48" s="1241"/>
      <c r="L48" s="1242"/>
      <c r="P48" s="5375"/>
      <c r="Q48" s="5375"/>
      <c r="R48" s="273"/>
      <c r="S48" s="1161"/>
      <c r="T48" s="205" t="s">
        <v>562</v>
      </c>
      <c r="U48" s="283"/>
      <c r="V48" s="283"/>
      <c r="W48" s="283"/>
      <c r="X48" s="283"/>
      <c r="Y48" s="283"/>
      <c r="Z48" s="283"/>
      <c r="AA48" s="283"/>
      <c r="AB48" s="283"/>
      <c r="AC48" s="283"/>
      <c r="AD48" s="283"/>
      <c r="AE48" s="283"/>
      <c r="AF48" s="283"/>
      <c r="AG48" s="283"/>
      <c r="AH48" s="283"/>
      <c r="AI48" s="283"/>
      <c r="AJ48" s="283"/>
      <c r="AK48" s="1141" t="s">
        <v>563</v>
      </c>
      <c r="AM48" s="408"/>
      <c r="AN48" s="408" t="str">
        <f t="shared" si="1"/>
        <v>Добавить значение признака дифференциации</v>
      </c>
      <c r="AO48" s="408"/>
      <c r="AP48" s="408"/>
    </row>
    <row r="49" spans="1:42" ht="21" customHeight="1">
      <c r="A49" s="1241" t="s">
        <v>256</v>
      </c>
      <c r="B49" s="1241" t="s">
        <v>257</v>
      </c>
      <c r="C49" s="1241" t="s">
        <v>258</v>
      </c>
      <c r="D49" s="1241" t="s">
        <v>574</v>
      </c>
      <c r="E49" s="5377"/>
      <c r="F49" s="5377"/>
      <c r="G49" s="5377"/>
      <c r="H49" s="5377"/>
      <c r="I49" s="5374"/>
      <c r="J49" s="1241"/>
      <c r="K49" s="1241"/>
      <c r="L49" s="1242"/>
      <c r="P49" s="5375"/>
      <c r="Q49" s="1325"/>
      <c r="R49" s="273"/>
      <c r="S49" s="1161"/>
      <c r="T49" s="281" t="s">
        <v>490</v>
      </c>
      <c r="U49" s="283"/>
      <c r="V49" s="283"/>
      <c r="W49" s="283"/>
      <c r="X49" s="283"/>
      <c r="Y49" s="283"/>
      <c r="Z49" s="283"/>
      <c r="AA49" s="283"/>
      <c r="AB49" s="282"/>
      <c r="AC49" s="283"/>
      <c r="AD49" s="283"/>
      <c r="AE49" s="283"/>
      <c r="AF49" s="283"/>
      <c r="AG49" s="283"/>
      <c r="AH49" s="283"/>
      <c r="AI49" s="282"/>
      <c r="AJ49" s="283"/>
      <c r="AK49" s="1317"/>
      <c r="AM49" s="408"/>
      <c r="AN49" s="408" t="str">
        <f t="shared" si="1"/>
        <v>Добавить группу потребителей</v>
      </c>
      <c r="AO49" s="408"/>
      <c r="AP49" s="408"/>
    </row>
    <row r="50" spans="1:42" ht="21" customHeight="1">
      <c r="A50" s="1241" t="s">
        <v>256</v>
      </c>
      <c r="B50" s="1241" t="s">
        <v>257</v>
      </c>
      <c r="C50" s="1241" t="s">
        <v>258</v>
      </c>
      <c r="D50" s="1241" t="s">
        <v>574</v>
      </c>
      <c r="E50" s="5377"/>
      <c r="F50" s="5377"/>
      <c r="G50" s="5377"/>
      <c r="H50" s="5376"/>
      <c r="I50" s="1241"/>
      <c r="J50" s="1241"/>
      <c r="K50" s="1241"/>
      <c r="L50" s="1242"/>
      <c r="M50" s="1243"/>
      <c r="N50" s="1243"/>
      <c r="O50" s="444"/>
      <c r="P50" s="277"/>
      <c r="Q50" s="291"/>
      <c r="R50" s="272"/>
      <c r="S50" s="1161"/>
      <c r="T50" s="288" t="s">
        <v>564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4853" customFormat="1" ht="0" hidden="1" customHeight="1">
      <c r="A51" s="1222" t="s">
        <v>256</v>
      </c>
      <c r="B51" s="1222" t="s">
        <v>257</v>
      </c>
      <c r="C51" s="1194"/>
      <c r="D51" s="1194"/>
      <c r="E51" s="5377"/>
      <c r="F51" s="5376"/>
      <c r="G51" s="1194"/>
      <c r="H51" s="1194"/>
      <c r="I51" s="1194"/>
      <c r="J51" s="1194"/>
      <c r="K51" s="1194"/>
      <c r="L51" s="1333"/>
      <c r="M51" s="1201"/>
      <c r="N51" s="1201"/>
      <c r="P51" s="1196"/>
      <c r="Q51" s="1197"/>
      <c r="R51" s="1196"/>
      <c r="S51" s="1202"/>
      <c r="T51" s="1205" t="s">
        <v>271</v>
      </c>
      <c r="U51" s="1204"/>
      <c r="V51" s="1204"/>
      <c r="W51" s="1204"/>
      <c r="X51" s="1204"/>
      <c r="Y51" s="1204"/>
      <c r="Z51" s="1204"/>
      <c r="AA51" s="1204"/>
      <c r="AB51" s="1204"/>
      <c r="AC51" s="1204"/>
      <c r="AD51" s="1204"/>
      <c r="AE51" s="1204"/>
      <c r="AF51" s="1204"/>
      <c r="AG51" s="1204"/>
      <c r="AH51" s="1204"/>
      <c r="AI51" s="1204"/>
      <c r="AJ51" s="1204"/>
      <c r="AK51" s="1204"/>
      <c r="AM51" s="688"/>
      <c r="AN51" s="688" t="str">
        <f t="shared" si="1"/>
        <v>Добавить централизованную систему для дифференциации</v>
      </c>
      <c r="AO51" s="688"/>
      <c r="AP51" s="688"/>
    </row>
    <row r="52" spans="1:42" s="4856" customFormat="1" ht="0" hidden="1" customHeight="1">
      <c r="A52" s="1222" t="s">
        <v>256</v>
      </c>
      <c r="B52" s="1222"/>
      <c r="C52" s="1222"/>
      <c r="D52" s="1222"/>
      <c r="E52" s="5376"/>
      <c r="F52" s="1222"/>
      <c r="G52" s="1222"/>
      <c r="H52" s="1222"/>
      <c r="I52" s="1222"/>
      <c r="J52" s="1222"/>
      <c r="K52" s="1222"/>
      <c r="L52" s="1225"/>
      <c r="M52" s="1201"/>
      <c r="N52" s="1201"/>
      <c r="O52" s="426"/>
      <c r="P52" s="296"/>
      <c r="Q52" s="1223"/>
      <c r="R52" s="296"/>
      <c r="S52" s="1202"/>
      <c r="T52" s="1205" t="s">
        <v>330</v>
      </c>
      <c r="U52" s="1204"/>
      <c r="V52" s="1204"/>
      <c r="W52" s="1204"/>
      <c r="X52" s="1204"/>
      <c r="Y52" s="1204"/>
      <c r="Z52" s="1204"/>
      <c r="AA52" s="1204"/>
      <c r="AB52" s="1204"/>
      <c r="AC52" s="1204"/>
      <c r="AD52" s="1204"/>
      <c r="AE52" s="1204"/>
      <c r="AF52" s="1204"/>
      <c r="AG52" s="1204"/>
      <c r="AH52" s="1204"/>
      <c r="AI52" s="1204"/>
      <c r="AJ52" s="1204"/>
      <c r="AK52" s="1204"/>
      <c r="AM52" s="408"/>
      <c r="AN52" s="408" t="str">
        <f t="shared" si="1"/>
        <v>Добавить территорию для дифференциации</v>
      </c>
      <c r="AO52" s="408"/>
      <c r="AP52" s="408"/>
    </row>
    <row r="53" spans="1:42" s="4853" customFormat="1" ht="0" hidden="1" customHeight="1">
      <c r="A53" s="1194"/>
      <c r="B53" s="1194"/>
      <c r="C53" s="1194"/>
      <c r="D53" s="1194"/>
      <c r="E53" s="1222"/>
      <c r="F53" s="1194"/>
      <c r="G53" s="1194"/>
      <c r="H53" s="1194"/>
      <c r="I53" s="1194"/>
      <c r="J53" s="1194"/>
      <c r="K53" s="1194"/>
      <c r="L53" s="1333"/>
      <c r="M53" s="1201"/>
      <c r="N53" s="1201"/>
      <c r="P53" s="1196"/>
      <c r="Q53" s="1197"/>
      <c r="R53" s="1196"/>
      <c r="S53" s="1202"/>
      <c r="T53" s="1205" t="s">
        <v>331</v>
      </c>
      <c r="U53" s="1204"/>
      <c r="V53" s="1204"/>
      <c r="W53" s="1204"/>
      <c r="X53" s="1204"/>
      <c r="Y53" s="1204"/>
      <c r="Z53" s="1204"/>
      <c r="AA53" s="1204"/>
      <c r="AB53" s="1204"/>
      <c r="AC53" s="1204"/>
      <c r="AD53" s="1204"/>
      <c r="AE53" s="1204"/>
      <c r="AF53" s="1204"/>
      <c r="AG53" s="1204"/>
      <c r="AH53" s="1204"/>
      <c r="AI53" s="1204"/>
      <c r="AJ53" s="1204"/>
      <c r="AK53" s="1204"/>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6"/>
      <c r="T55" s="5396"/>
      <c r="U55" s="5396"/>
      <c r="V55" s="5396"/>
      <c r="W55" s="5396"/>
      <c r="X55" s="5396"/>
      <c r="Y55" s="5396"/>
      <c r="Z55" s="5396"/>
      <c r="AA55" s="5396"/>
      <c r="AB55" s="5396"/>
      <c r="AC55" s="5396"/>
      <c r="AD55" s="5396"/>
      <c r="AE55" s="5396"/>
      <c r="AF55" s="5396"/>
      <c r="AG55" s="5396"/>
      <c r="AH55" s="5396"/>
      <c r="AI55" s="5396"/>
      <c r="AJ55" s="5396"/>
      <c r="AK55" s="5396"/>
    </row>
    <row r="56" spans="1:42" ht="14.25" customHeight="1">
      <c r="O56" s="444"/>
    </row>
    <row r="57" spans="1:42" ht="14.25" customHeight="1">
      <c r="O57" s="444"/>
      <c r="S57" s="1136"/>
      <c r="T57" s="5396"/>
      <c r="U57" s="5396"/>
      <c r="V57" s="5396"/>
      <c r="W57" s="5396"/>
      <c r="X57" s="5396"/>
      <c r="Y57" s="5396"/>
      <c r="Z57" s="5396"/>
      <c r="AA57" s="5396"/>
      <c r="AB57" s="5396"/>
      <c r="AC57" s="5396"/>
      <c r="AD57" s="5396"/>
      <c r="AE57" s="5396"/>
      <c r="AF57" s="5396"/>
      <c r="AG57" s="5396"/>
      <c r="AH57" s="5396"/>
      <c r="AI57" s="5396"/>
      <c r="AJ57" s="5396"/>
      <c r="AK57" s="539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AP66"/>
  <sheetViews>
    <sheetView showGridLines="0" zoomScale="90" workbookViewId="0">
      <selection activeCell="AK27" sqref="AK27"/>
    </sheetView>
  </sheetViews>
  <sheetFormatPr defaultColWidth="10.5703125" defaultRowHeight="14.25" customHeight="1"/>
  <cols>
    <col min="1" max="3" width="10.140625" style="4868" customWidth="1"/>
    <col min="4" max="4" width="11.85546875" style="4868" customWidth="1"/>
    <col min="5" max="11" width="10.140625" style="4868" customWidth="1"/>
    <col min="12" max="12" width="10.140625" style="4869" customWidth="1"/>
    <col min="13" max="15" width="10.140625" style="4870" customWidth="1"/>
    <col min="16" max="16" width="3.7109375" style="4858" customWidth="1"/>
    <col min="17" max="17" width="3.7109375" style="4874" customWidth="1"/>
    <col min="18" max="18" width="3.7109375" style="4860" customWidth="1"/>
    <col min="19" max="19" width="12.7109375" style="4861" customWidth="1"/>
    <col min="20" max="20" width="32" style="4868" customWidth="1"/>
    <col min="21" max="21" width="0.140625" style="4868" customWidth="1"/>
    <col min="22" max="23" width="21.7109375" style="4868" customWidth="1"/>
    <col min="24" max="24" width="11.7109375" style="4868" customWidth="1"/>
    <col min="25" max="25" width="3.7109375" style="4868" customWidth="1"/>
    <col min="26" max="26" width="11.7109375" style="4868" customWidth="1"/>
    <col min="27" max="27" width="8.5703125" style="4868" customWidth="1"/>
    <col min="28" max="28" width="28" style="4868" customWidth="1"/>
    <col min="29" max="29" width="24.5703125" style="4868" customWidth="1"/>
    <col min="30" max="31" width="21.7109375" style="4868" customWidth="1"/>
    <col min="32" max="32" width="11.7109375" style="4868" customWidth="1"/>
    <col min="33" max="33" width="3.7109375" style="4868" customWidth="1"/>
    <col min="34" max="34" width="11.7109375" style="4868" customWidth="1"/>
    <col min="35" max="35" width="8.5703125" style="4868" customWidth="1"/>
    <col min="36" max="36" width="4.7109375" style="4868" customWidth="1"/>
    <col min="37" max="37" width="115.7109375" style="4868" customWidth="1"/>
    <col min="38" max="39" width="10.5703125" style="4867"/>
    <col min="40" max="40" width="11.140625" style="4867" customWidth="1"/>
    <col min="41" max="42" width="10.5703125" style="4867"/>
  </cols>
  <sheetData>
    <row r="2" spans="1:42" ht="21" customHeight="1">
      <c r="A2" s="1150"/>
      <c r="B2" s="1150"/>
      <c r="C2" s="1150"/>
      <c r="D2" s="1150"/>
      <c r="E2" s="5400">
        <v>1</v>
      </c>
      <c r="F2" s="1150"/>
      <c r="G2" s="1150"/>
      <c r="H2" s="1150"/>
      <c r="I2" s="1150"/>
      <c r="J2" s="1150"/>
      <c r="K2" s="1150"/>
      <c r="L2" s="1190"/>
      <c r="M2" s="1477"/>
      <c r="N2" s="1477"/>
      <c r="O2" s="1477"/>
      <c r="P2" s="1287"/>
      <c r="Q2" s="768"/>
      <c r="R2" s="272"/>
      <c r="S2" s="1819" t="e">
        <f>INDEX(PT_DIFFERENTIATION_NUM_NTAR,MATCH(A2,PT_DIFFERENTIATION_NTAR_ID,0))</f>
        <v>#N/A</v>
      </c>
      <c r="T2" s="1397" t="s">
        <v>141</v>
      </c>
      <c r="U2" s="218"/>
      <c r="V2" s="5363"/>
      <c r="W2" s="5363"/>
      <c r="X2" s="5363"/>
      <c r="Y2" s="5363"/>
      <c r="Z2" s="5363"/>
      <c r="AA2" s="5364"/>
      <c r="AB2" s="1813"/>
      <c r="AC2" s="5363"/>
      <c r="AD2" s="5363"/>
      <c r="AE2" s="5363"/>
      <c r="AF2" s="5363"/>
      <c r="AG2" s="5363"/>
      <c r="AH2" s="5363"/>
      <c r="AI2" s="5363"/>
      <c r="AJ2" s="5364"/>
      <c r="AK2" s="1141" t="s">
        <v>474</v>
      </c>
      <c r="AM2" s="1488"/>
      <c r="AN2" s="1488" t="str">
        <f t="shared" ref="AN2:AN8" si="0">IF(T2="","",T2)</f>
        <v>Наименование тарифа</v>
      </c>
      <c r="AO2" s="1488"/>
      <c r="AP2" s="1488"/>
    </row>
    <row r="3" spans="1:42" ht="21" customHeight="1">
      <c r="A3" s="1150"/>
      <c r="B3" s="1150"/>
      <c r="C3" s="1150"/>
      <c r="D3" s="1150"/>
      <c r="E3" s="5401"/>
      <c r="F3" s="5400">
        <v>1</v>
      </c>
      <c r="G3" s="1150"/>
      <c r="H3" s="1150"/>
      <c r="I3" s="1150"/>
      <c r="J3" s="1150"/>
      <c r="K3" s="1150"/>
      <c r="L3" s="1190"/>
      <c r="M3" s="1477"/>
      <c r="N3" s="1477"/>
      <c r="O3" s="1477"/>
      <c r="P3" s="1830"/>
      <c r="Q3" s="1289"/>
      <c r="R3" s="270"/>
      <c r="S3" s="1819" t="e">
        <f>INDEX(PT_DIFFERENTIATION_NUM_TER,MATCH(B3,PT_DIFFERENTIATION_TER_ID,0))</f>
        <v>#N/A</v>
      </c>
      <c r="T3" s="1394" t="s">
        <v>475</v>
      </c>
      <c r="U3" s="218"/>
      <c r="V3" s="5363"/>
      <c r="W3" s="5363"/>
      <c r="X3" s="5363"/>
      <c r="Y3" s="5363"/>
      <c r="Z3" s="5363"/>
      <c r="AA3" s="5364"/>
      <c r="AB3" s="1813"/>
      <c r="AC3" s="5363"/>
      <c r="AD3" s="5363"/>
      <c r="AE3" s="5363"/>
      <c r="AF3" s="5363"/>
      <c r="AG3" s="5363"/>
      <c r="AH3" s="5363"/>
      <c r="AI3" s="5363"/>
      <c r="AJ3" s="5364"/>
      <c r="AK3" s="1141" t="s">
        <v>476</v>
      </c>
      <c r="AM3" s="1488"/>
      <c r="AN3" s="1488" t="str">
        <f t="shared" si="0"/>
        <v>Территория действия тарифа</v>
      </c>
      <c r="AO3" s="1488"/>
      <c r="AP3" s="1488"/>
    </row>
    <row r="4" spans="1:42" ht="22.5" customHeight="1">
      <c r="A4" s="1150"/>
      <c r="B4" s="1150"/>
      <c r="C4" s="1150"/>
      <c r="D4" s="1150"/>
      <c r="E4" s="5401"/>
      <c r="F4" s="5401"/>
      <c r="G4" s="5400">
        <v>1</v>
      </c>
      <c r="H4" s="1150"/>
      <c r="I4" s="1150"/>
      <c r="J4" s="1150"/>
      <c r="K4" s="1150"/>
      <c r="L4" s="1190"/>
      <c r="M4" s="1477"/>
      <c r="N4" s="1477"/>
      <c r="O4" s="1477"/>
      <c r="P4" s="1290"/>
      <c r="Q4" s="1289"/>
      <c r="R4" s="270"/>
      <c r="S4" s="1819" t="e">
        <f>INDEX(PT_DIFFERENTIATION_NUM_CS,MATCH(C4,PT_DIFFERENTIATION_CS_ID,0))</f>
        <v>#N/A</v>
      </c>
      <c r="T4" s="227" t="s">
        <v>477</v>
      </c>
      <c r="U4" s="218"/>
      <c r="V4" s="5363"/>
      <c r="W4" s="5363"/>
      <c r="X4" s="5363"/>
      <c r="Y4" s="5363"/>
      <c r="Z4" s="5363"/>
      <c r="AA4" s="5364"/>
      <c r="AB4" s="1813"/>
      <c r="AC4" s="5363"/>
      <c r="AD4" s="5363"/>
      <c r="AE4" s="5363"/>
      <c r="AF4" s="5363"/>
      <c r="AG4" s="5363"/>
      <c r="AH4" s="5363"/>
      <c r="AI4" s="5363"/>
      <c r="AJ4" s="5364"/>
      <c r="AK4" s="1141" t="s">
        <v>478</v>
      </c>
      <c r="AM4" s="1488"/>
      <c r="AN4" s="1488" t="str">
        <f t="shared" si="0"/>
        <v xml:space="preserve">Наименование системы теплоснабжения </v>
      </c>
      <c r="AO4" s="1488"/>
      <c r="AP4" s="1488"/>
    </row>
    <row r="5" spans="1:42" ht="21" customHeight="1">
      <c r="A5" s="1150"/>
      <c r="B5" s="1150"/>
      <c r="C5" s="1150"/>
      <c r="D5" s="1150"/>
      <c r="E5" s="5401"/>
      <c r="F5" s="5401"/>
      <c r="G5" s="5401"/>
      <c r="H5" s="5400">
        <v>1</v>
      </c>
      <c r="I5" s="1150"/>
      <c r="J5" s="1150"/>
      <c r="K5" s="1150"/>
      <c r="L5" s="1190"/>
      <c r="M5" s="1477"/>
      <c r="N5" s="1477"/>
      <c r="O5" s="1477"/>
      <c r="P5" s="1290"/>
      <c r="Q5" s="1289"/>
      <c r="R5" s="270"/>
      <c r="S5" s="1819" t="e">
        <f>INDEX(PT_DIFFERENTIATION_NUM_IST_TE,MATCH(D5,PT_DIFFERENTIATION_IST_TE_ID,0))</f>
        <v>#N/A</v>
      </c>
      <c r="T5" s="228" t="s">
        <v>479</v>
      </c>
      <c r="U5" s="218"/>
      <c r="V5" s="5363"/>
      <c r="W5" s="5363"/>
      <c r="X5" s="5363"/>
      <c r="Y5" s="5363"/>
      <c r="Z5" s="5363"/>
      <c r="AA5" s="5364"/>
      <c r="AB5" s="1813"/>
      <c r="AC5" s="5363"/>
      <c r="AD5" s="5363"/>
      <c r="AE5" s="5363"/>
      <c r="AF5" s="5363"/>
      <c r="AG5" s="5363"/>
      <c r="AH5" s="5363"/>
      <c r="AI5" s="5363"/>
      <c r="AJ5" s="5364"/>
      <c r="AK5" s="1141" t="s">
        <v>480</v>
      </c>
      <c r="AM5" s="1488"/>
      <c r="AN5" s="1488" t="str">
        <f t="shared" si="0"/>
        <v xml:space="preserve">Источник тепловой энергии  </v>
      </c>
      <c r="AO5" s="1488"/>
      <c r="AP5" s="1488"/>
    </row>
    <row r="6" spans="1:42" s="4867" customFormat="1" ht="0" hidden="1" customHeight="1">
      <c r="A6" s="1253"/>
      <c r="B6" s="1253"/>
      <c r="C6" s="1253"/>
      <c r="D6" s="1253"/>
      <c r="E6" s="5401"/>
      <c r="F6" s="5401"/>
      <c r="G6" s="5401"/>
      <c r="H6" s="5401"/>
      <c r="I6" s="5244" t="e">
        <f>S5&amp;".1"</f>
        <v>#N/A</v>
      </c>
      <c r="J6" s="1253"/>
      <c r="K6" s="1253"/>
      <c r="L6" s="1259" t="s">
        <v>481</v>
      </c>
      <c r="M6" s="1129"/>
      <c r="N6" s="1129"/>
      <c r="O6" s="1129"/>
      <c r="P6" s="5375">
        <v>1</v>
      </c>
      <c r="Q6" s="1815"/>
      <c r="R6" s="273"/>
      <c r="S6" s="931"/>
      <c r="T6" s="1261"/>
      <c r="U6" s="1262"/>
      <c r="V6" s="5406"/>
      <c r="W6" s="5406"/>
      <c r="X6" s="5406"/>
      <c r="Y6" s="5406"/>
      <c r="Z6" s="5406"/>
      <c r="AA6" s="5407"/>
      <c r="AB6" s="1821"/>
      <c r="AC6" s="5406"/>
      <c r="AD6" s="5406"/>
      <c r="AE6" s="5406"/>
      <c r="AF6" s="5406"/>
      <c r="AG6" s="5406"/>
      <c r="AH6" s="5406"/>
      <c r="AI6" s="5406"/>
      <c r="AJ6" s="5407"/>
      <c r="AK6" s="1263"/>
      <c r="AM6" s="1488"/>
      <c r="AN6" s="1488" t="str">
        <f t="shared" si="0"/>
        <v/>
      </c>
      <c r="AO6" s="1488"/>
      <c r="AP6" s="1488"/>
    </row>
    <row r="7" spans="1:42" s="4867" customFormat="1" ht="0" hidden="1" customHeight="1">
      <c r="A7" s="1253"/>
      <c r="B7" s="1253"/>
      <c r="C7" s="1253"/>
      <c r="D7" s="1253"/>
      <c r="E7" s="5401"/>
      <c r="F7" s="5401"/>
      <c r="G7" s="5401"/>
      <c r="H7" s="5401"/>
      <c r="I7" s="5215"/>
      <c r="J7" s="5244" t="e">
        <f>S5&amp;".1"</f>
        <v>#N/A</v>
      </c>
      <c r="K7" s="1253"/>
      <c r="L7" s="1259"/>
      <c r="M7" s="1129"/>
      <c r="N7" s="1129"/>
      <c r="O7" s="1129"/>
      <c r="P7" s="5375"/>
      <c r="Q7" s="5375">
        <v>1</v>
      </c>
      <c r="R7" s="274"/>
      <c r="S7" s="931"/>
      <c r="T7" s="1277"/>
      <c r="U7" s="1262"/>
      <c r="V7" s="5406"/>
      <c r="W7" s="5406"/>
      <c r="X7" s="5406"/>
      <c r="Y7" s="5406"/>
      <c r="Z7" s="5406"/>
      <c r="AA7" s="5407"/>
      <c r="AB7" s="1821"/>
      <c r="AC7" s="5406"/>
      <c r="AD7" s="5406"/>
      <c r="AE7" s="5406"/>
      <c r="AF7" s="5406"/>
      <c r="AG7" s="5406"/>
      <c r="AH7" s="5406"/>
      <c r="AI7" s="5406"/>
      <c r="AJ7" s="5407"/>
      <c r="AK7" s="1263"/>
      <c r="AM7" s="1488"/>
      <c r="AN7" s="1488" t="str">
        <f t="shared" si="0"/>
        <v/>
      </c>
      <c r="AO7" s="1488"/>
      <c r="AP7" s="1488"/>
    </row>
    <row r="8" spans="1:42" ht="21" customHeight="1">
      <c r="A8" s="1150"/>
      <c r="B8" s="1150"/>
      <c r="C8" s="1150"/>
      <c r="D8" s="1150"/>
      <c r="E8" s="5401"/>
      <c r="F8" s="5401"/>
      <c r="G8" s="5401"/>
      <c r="H8" s="5401"/>
      <c r="I8" s="5215"/>
      <c r="J8" s="5215"/>
      <c r="K8" s="5244" t="e">
        <f>S5&amp;".1"</f>
        <v>#N/A</v>
      </c>
      <c r="L8" s="1190"/>
      <c r="P8" s="5375"/>
      <c r="Q8" s="5375"/>
      <c r="R8" s="5432">
        <v>1</v>
      </c>
      <c r="S8" s="5426" t="e">
        <f>$K8</f>
        <v>#N/A</v>
      </c>
      <c r="T8" s="5429"/>
      <c r="U8" s="218"/>
      <c r="V8" s="650"/>
      <c r="W8" s="1140"/>
      <c r="X8" s="5379"/>
      <c r="Y8" s="5225" t="s">
        <v>64</v>
      </c>
      <c r="Z8" s="5379"/>
      <c r="AA8" s="5225" t="s">
        <v>64</v>
      </c>
      <c r="AB8" s="1803"/>
      <c r="AC8" s="5413"/>
      <c r="AD8" s="650"/>
      <c r="AE8" s="1140"/>
      <c r="AF8" s="1816"/>
      <c r="AG8" s="1803" t="s">
        <v>64</v>
      </c>
      <c r="AH8" s="1816"/>
      <c r="AI8" s="1803" t="s">
        <v>64</v>
      </c>
      <c r="AJ8" s="1227"/>
      <c r="AK8" s="5371" t="s">
        <v>539</v>
      </c>
      <c r="AL8" s="1500" t="e">
        <f ca="1">STRCHECKDATE(V11:AJ11)</f>
        <v>#NAME?</v>
      </c>
      <c r="AM8" s="1488"/>
      <c r="AN8" s="1488" t="str">
        <f t="shared" si="0"/>
        <v/>
      </c>
      <c r="AO8" s="1488"/>
      <c r="AP8" s="1488"/>
    </row>
    <row r="9" spans="1:42" ht="11.25" customHeight="1">
      <c r="A9" s="1150"/>
      <c r="B9" s="1150"/>
      <c r="C9" s="1150"/>
      <c r="D9" s="1150"/>
      <c r="E9" s="5401"/>
      <c r="F9" s="5401"/>
      <c r="G9" s="5401"/>
      <c r="H9" s="5401"/>
      <c r="I9" s="5215"/>
      <c r="J9" s="5215"/>
      <c r="K9" s="5244"/>
      <c r="L9" s="1190"/>
      <c r="P9" s="5375"/>
      <c r="Q9" s="5375"/>
      <c r="R9" s="5432"/>
      <c r="S9" s="5427"/>
      <c r="T9" s="5430"/>
      <c r="U9" s="218"/>
      <c r="V9" s="1271"/>
      <c r="W9" s="1275"/>
      <c r="X9" s="5379"/>
      <c r="Y9" s="5225"/>
      <c r="Z9" s="5379"/>
      <c r="AA9" s="5225"/>
      <c r="AB9" s="1803"/>
      <c r="AC9" s="5413"/>
      <c r="AD9" s="1271"/>
      <c r="AE9" s="1368"/>
      <c r="AF9" s="1271"/>
      <c r="AG9" s="1271"/>
      <c r="AH9" s="1271"/>
      <c r="AI9" s="1271"/>
      <c r="AJ9" s="1268"/>
      <c r="AK9" s="5372"/>
      <c r="AM9" s="1488"/>
      <c r="AN9" s="1488"/>
      <c r="AO9" s="1488"/>
      <c r="AP9" s="1488"/>
    </row>
    <row r="10" spans="1:42" ht="11.25" customHeight="1">
      <c r="A10" s="1150"/>
      <c r="B10" s="1150"/>
      <c r="C10" s="1150"/>
      <c r="D10" s="1150"/>
      <c r="E10" s="5401"/>
      <c r="F10" s="5401"/>
      <c r="G10" s="5401"/>
      <c r="H10" s="5401"/>
      <c r="I10" s="5215"/>
      <c r="J10" s="5215"/>
      <c r="K10" s="5244"/>
      <c r="L10" s="1190"/>
      <c r="P10" s="5375"/>
      <c r="Q10" s="5375"/>
      <c r="R10" s="5432"/>
      <c r="S10" s="5427"/>
      <c r="T10" s="5430"/>
      <c r="U10" s="218"/>
      <c r="V10" s="1271"/>
      <c r="W10" s="1275"/>
      <c r="X10" s="5379"/>
      <c r="Y10" s="5225"/>
      <c r="Z10" s="5379"/>
      <c r="AA10" s="5225"/>
      <c r="AB10" s="1803"/>
      <c r="AC10" s="5413"/>
      <c r="AD10" s="1271"/>
      <c r="AE10" s="1368"/>
      <c r="AF10" s="1271"/>
      <c r="AG10" s="1271"/>
      <c r="AH10" s="1271"/>
      <c r="AI10" s="1271"/>
      <c r="AJ10" s="1268"/>
      <c r="AK10" s="5372"/>
      <c r="AM10" s="1488"/>
      <c r="AN10" s="1488"/>
      <c r="AO10" s="1488"/>
      <c r="AP10" s="1488"/>
    </row>
    <row r="11" spans="1:42" ht="11.25" customHeight="1">
      <c r="A11" s="1150"/>
      <c r="B11" s="1150"/>
      <c r="C11" s="1150"/>
      <c r="D11" s="1150"/>
      <c r="E11" s="5401"/>
      <c r="F11" s="5401"/>
      <c r="G11" s="5401"/>
      <c r="H11" s="5401"/>
      <c r="I11" s="5215"/>
      <c r="J11" s="5215"/>
      <c r="K11" s="5244"/>
      <c r="L11" s="1190"/>
      <c r="P11" s="5375"/>
      <c r="Q11" s="5375"/>
      <c r="R11" s="5432"/>
      <c r="S11" s="5428"/>
      <c r="T11" s="5431"/>
      <c r="U11" s="218"/>
      <c r="V11" s="1271"/>
      <c r="W11" s="1274" t="str">
        <f>X8&amp;"-"&amp;Z8</f>
        <v>-</v>
      </c>
      <c r="X11" s="5380"/>
      <c r="Y11" s="5225"/>
      <c r="Z11" s="5380"/>
      <c r="AA11" s="5225"/>
      <c r="AB11" s="1832"/>
      <c r="AC11" s="1050" t="s">
        <v>542</v>
      </c>
      <c r="AD11" s="1271"/>
      <c r="AE11" s="1272" t="str">
        <f>AF8&amp;"-"&amp;AH8</f>
        <v>-</v>
      </c>
      <c r="AF11" s="1271"/>
      <c r="AG11" s="1271"/>
      <c r="AH11" s="1271"/>
      <c r="AI11" s="1271"/>
      <c r="AJ11" s="1228"/>
      <c r="AK11" s="5372"/>
      <c r="AM11" s="1488"/>
      <c r="AN11" s="1488" t="str">
        <f t="shared" ref="AN11:AN17" si="1">IF(T11="","",T11)</f>
        <v/>
      </c>
      <c r="AO11" s="1488"/>
      <c r="AP11" s="1488"/>
    </row>
    <row r="12" spans="1:42" ht="11.25" customHeight="1">
      <c r="A12" s="1150"/>
      <c r="B12" s="1150"/>
      <c r="C12" s="1150"/>
      <c r="D12" s="1150"/>
      <c r="E12" s="5401"/>
      <c r="F12" s="5401"/>
      <c r="G12" s="5401"/>
      <c r="H12" s="5401"/>
      <c r="I12" s="5215"/>
      <c r="J12" s="5244"/>
      <c r="K12" s="1150"/>
      <c r="L12" s="1190"/>
      <c r="P12" s="5375"/>
      <c r="Q12" s="5375"/>
      <c r="R12" s="273"/>
      <c r="S12" s="1161"/>
      <c r="T12" s="205" t="s">
        <v>543</v>
      </c>
      <c r="U12" s="504"/>
      <c r="V12" s="504"/>
      <c r="W12" s="504"/>
      <c r="X12" s="504"/>
      <c r="Y12" s="504"/>
      <c r="Z12" s="504"/>
      <c r="AA12" s="504"/>
      <c r="AB12" s="504"/>
      <c r="AC12" s="504"/>
      <c r="AD12" s="504"/>
      <c r="AE12" s="504"/>
      <c r="AF12" s="504"/>
      <c r="AG12" s="504"/>
      <c r="AH12" s="504"/>
      <c r="AI12" s="504"/>
      <c r="AJ12" s="242"/>
      <c r="AK12" s="5373"/>
      <c r="AM12" s="1488"/>
      <c r="AN12" s="1488" t="str">
        <f t="shared" si="1"/>
        <v>Добавить строку</v>
      </c>
      <c r="AO12" s="1488"/>
      <c r="AP12" s="1488"/>
    </row>
    <row r="13" spans="1:42" s="4867" customFormat="1" ht="0" hidden="1" customHeight="1">
      <c r="A13" s="1253"/>
      <c r="B13" s="1253"/>
      <c r="C13" s="1253"/>
      <c r="D13" s="1253"/>
      <c r="E13" s="5401"/>
      <c r="F13" s="5401"/>
      <c r="G13" s="5401"/>
      <c r="H13" s="5401"/>
      <c r="I13" s="5244"/>
      <c r="J13" s="1253"/>
      <c r="K13" s="1253"/>
      <c r="L13" s="1259"/>
      <c r="M13" s="1129"/>
      <c r="N13" s="1129"/>
      <c r="O13" s="1129"/>
      <c r="P13" s="5375"/>
      <c r="Q13" s="1815"/>
      <c r="R13" s="273"/>
      <c r="S13" s="1264"/>
      <c r="T13" s="1265"/>
      <c r="U13" s="1266"/>
      <c r="V13" s="1266"/>
      <c r="W13" s="1266"/>
      <c r="X13" s="1266"/>
      <c r="Y13" s="1266"/>
      <c r="Z13" s="1266"/>
      <c r="AA13" s="1266"/>
      <c r="AB13" s="1266"/>
      <c r="AC13" s="1266"/>
      <c r="AD13" s="1266"/>
      <c r="AE13" s="1266"/>
      <c r="AF13" s="1266"/>
      <c r="AG13" s="1266"/>
      <c r="AH13" s="1266"/>
      <c r="AI13" s="1266"/>
      <c r="AJ13" s="1266"/>
      <c r="AK13" s="1267"/>
      <c r="AM13" s="1488"/>
      <c r="AN13" s="1488" t="str">
        <f t="shared" si="1"/>
        <v/>
      </c>
      <c r="AO13" s="1488"/>
      <c r="AP13" s="1488"/>
    </row>
    <row r="14" spans="1:42" s="4867" customFormat="1" ht="0" hidden="1" customHeight="1">
      <c r="A14" s="1253"/>
      <c r="B14" s="1253"/>
      <c r="C14" s="1253"/>
      <c r="D14" s="1253"/>
      <c r="E14" s="5401"/>
      <c r="F14" s="5401"/>
      <c r="G14" s="5401"/>
      <c r="H14" s="5400"/>
      <c r="I14" s="1253"/>
      <c r="J14" s="1253"/>
      <c r="K14" s="1253"/>
      <c r="L14" s="1259"/>
      <c r="M14" s="1256"/>
      <c r="N14" s="1256"/>
      <c r="O14" s="268"/>
      <c r="P14" s="296"/>
      <c r="Q14" s="1223"/>
      <c r="R14" s="1279"/>
      <c r="S14" s="1264"/>
      <c r="T14" s="1265"/>
      <c r="U14" s="1266"/>
      <c r="V14" s="1266"/>
      <c r="W14" s="1266"/>
      <c r="X14" s="1266"/>
      <c r="Y14" s="1266"/>
      <c r="Z14" s="1266"/>
      <c r="AA14" s="1266"/>
      <c r="AB14" s="1266"/>
      <c r="AC14" s="1266"/>
      <c r="AD14" s="1266"/>
      <c r="AE14" s="1266"/>
      <c r="AF14" s="1266"/>
      <c r="AG14" s="1266"/>
      <c r="AH14" s="1266"/>
      <c r="AI14" s="1266"/>
      <c r="AJ14" s="1266"/>
      <c r="AK14" s="1267"/>
      <c r="AM14" s="1488"/>
      <c r="AN14" s="1488" t="str">
        <f t="shared" si="1"/>
        <v/>
      </c>
      <c r="AO14" s="1488"/>
      <c r="AP14" s="1488"/>
    </row>
    <row r="15" spans="1:42" s="4864" customFormat="1" ht="0" hidden="1" customHeight="1">
      <c r="A15" s="1253"/>
      <c r="B15" s="1253"/>
      <c r="C15" s="1253"/>
      <c r="D15" s="1252"/>
      <c r="E15" s="5401"/>
      <c r="F15" s="5401"/>
      <c r="G15" s="5400"/>
      <c r="H15" s="1252"/>
      <c r="I15" s="1252"/>
      <c r="J15" s="1252"/>
      <c r="K15" s="1252"/>
      <c r="L15" s="1255"/>
      <c r="M15" s="1256"/>
      <c r="N15" s="1256"/>
      <c r="O15" s="268"/>
      <c r="P15" s="1196"/>
      <c r="Q15" s="1197"/>
      <c r="R15" s="1196"/>
      <c r="S15" s="1202"/>
      <c r="T15" s="1205" t="s">
        <v>492</v>
      </c>
      <c r="U15" s="1204"/>
      <c r="V15" s="1204"/>
      <c r="W15" s="1204"/>
      <c r="X15" s="1204"/>
      <c r="Y15" s="1204"/>
      <c r="Z15" s="1204"/>
      <c r="AA15" s="1204"/>
      <c r="AB15" s="1204"/>
      <c r="AC15" s="1204"/>
      <c r="AD15" s="1204"/>
      <c r="AE15" s="1204"/>
      <c r="AF15" s="1204"/>
      <c r="AG15" s="1204"/>
      <c r="AH15" s="1204"/>
      <c r="AI15" s="1204"/>
      <c r="AJ15" s="1204"/>
      <c r="AK15" s="1204"/>
      <c r="AM15" s="1134"/>
      <c r="AN15" s="1134" t="str">
        <f t="shared" si="1"/>
        <v>Добавить источник для дифференциации</v>
      </c>
      <c r="AO15" s="1134"/>
      <c r="AP15" s="1134"/>
    </row>
    <row r="16" spans="1:42" s="4864" customFormat="1" ht="0" hidden="1" customHeight="1">
      <c r="A16" s="1253"/>
      <c r="B16" s="1253"/>
      <c r="C16" s="1252"/>
      <c r="D16" s="1252"/>
      <c r="E16" s="5401"/>
      <c r="F16" s="5400"/>
      <c r="G16" s="1252"/>
      <c r="H16" s="1252"/>
      <c r="I16" s="1252"/>
      <c r="J16" s="1252"/>
      <c r="K16" s="1252"/>
      <c r="L16" s="1255"/>
      <c r="M16" s="1257"/>
      <c r="N16" s="1257"/>
      <c r="O16" s="268"/>
      <c r="P16" s="1196"/>
      <c r="Q16" s="1197"/>
      <c r="R16" s="1196"/>
      <c r="S16" s="1202"/>
      <c r="T16" s="1205" t="s">
        <v>271</v>
      </c>
      <c r="U16" s="1204"/>
      <c r="V16" s="1204"/>
      <c r="W16" s="1204"/>
      <c r="X16" s="1204"/>
      <c r="Y16" s="1204"/>
      <c r="Z16" s="1204"/>
      <c r="AA16" s="1204"/>
      <c r="AB16" s="1204"/>
      <c r="AC16" s="1204"/>
      <c r="AD16" s="1204"/>
      <c r="AE16" s="1204"/>
      <c r="AF16" s="1204"/>
      <c r="AG16" s="1204"/>
      <c r="AH16" s="1204"/>
      <c r="AI16" s="1204"/>
      <c r="AJ16" s="1204"/>
      <c r="AK16" s="1204"/>
      <c r="AM16" s="1134"/>
      <c r="AN16" s="1134" t="str">
        <f t="shared" si="1"/>
        <v>Добавить централизованную систему для дифференциации</v>
      </c>
      <c r="AO16" s="1134"/>
      <c r="AP16" s="1134"/>
    </row>
    <row r="17" spans="1:42" s="4867" customFormat="1" ht="0" hidden="1" customHeight="1">
      <c r="A17" s="1253"/>
      <c r="B17" s="1253"/>
      <c r="C17" s="1253"/>
      <c r="D17" s="1253"/>
      <c r="E17" s="5400"/>
      <c r="F17" s="1253"/>
      <c r="G17" s="1253"/>
      <c r="H17" s="1253"/>
      <c r="I17" s="1253"/>
      <c r="J17" s="1253"/>
      <c r="K17" s="1253"/>
      <c r="L17" s="1259"/>
      <c r="M17" s="1257"/>
      <c r="N17" s="1257"/>
      <c r="O17" s="268"/>
      <c r="P17" s="296"/>
      <c r="Q17" s="1223"/>
      <c r="R17" s="296"/>
      <c r="S17" s="1202"/>
      <c r="T17" s="1205" t="s">
        <v>330</v>
      </c>
      <c r="U17" s="1204"/>
      <c r="V17" s="1204"/>
      <c r="W17" s="1204"/>
      <c r="X17" s="1204"/>
      <c r="Y17" s="1204"/>
      <c r="Z17" s="1204"/>
      <c r="AA17" s="1204"/>
      <c r="AB17" s="1204"/>
      <c r="AC17" s="1204"/>
      <c r="AD17" s="1204"/>
      <c r="AE17" s="1204"/>
      <c r="AF17" s="1204"/>
      <c r="AG17" s="1204"/>
      <c r="AH17" s="1204"/>
      <c r="AI17" s="1204"/>
      <c r="AJ17" s="1204"/>
      <c r="AK17" s="1204"/>
      <c r="AM17" s="1488"/>
      <c r="AN17" s="1488" t="str">
        <f t="shared" si="1"/>
        <v>Добавить территорию для дифференциации</v>
      </c>
      <c r="AO17" s="1488"/>
      <c r="AP17" s="1488"/>
    </row>
    <row r="19" spans="1:42" ht="14.25" customHeight="1">
      <c r="AC19" s="1374"/>
      <c r="AD19" s="1281"/>
      <c r="AE19" s="1282"/>
      <c r="AF19" s="1599"/>
      <c r="AG19" s="1827" t="s">
        <v>64</v>
      </c>
      <c r="AH19" s="1599"/>
      <c r="AI19" s="1827" t="s">
        <v>64</v>
      </c>
    </row>
    <row r="20" spans="1:42" ht="14.25" customHeight="1">
      <c r="AL20" s="1505"/>
      <c r="AM20" s="1505"/>
      <c r="AN20" s="1505"/>
      <c r="AO20" s="1505"/>
      <c r="AP20" s="1505"/>
    </row>
    <row r="21" spans="1:42" ht="14.25" customHeight="1">
      <c r="O21" s="1224" t="s">
        <v>493</v>
      </c>
      <c r="X21" s="1224"/>
      <c r="Z21" s="1224"/>
      <c r="AF21" s="1224"/>
      <c r="AH21" s="1224"/>
      <c r="AL21" s="1505"/>
      <c r="AM21" s="1505"/>
      <c r="AN21" s="1505"/>
      <c r="AO21" s="1505"/>
      <c r="AP21" s="1505"/>
    </row>
    <row r="22" spans="1:42" ht="14.25" customHeight="1">
      <c r="AL22" s="1505"/>
      <c r="AM22" s="1505"/>
      <c r="AN22" s="1505"/>
      <c r="AO22" s="1505"/>
      <c r="AP22" s="1505"/>
    </row>
    <row r="23" spans="1:42" s="4873" customFormat="1" ht="14.25" customHeight="1">
      <c r="A23" s="1833"/>
      <c r="B23" s="1833"/>
      <c r="C23" s="1833"/>
      <c r="D23" s="1833"/>
      <c r="E23" s="1833"/>
      <c r="F23" s="1833"/>
      <c r="G23" s="1833"/>
      <c r="H23" s="1833"/>
      <c r="I23" s="1833"/>
      <c r="J23" s="1833"/>
      <c r="K23" s="1833"/>
      <c r="L23" s="1833"/>
      <c r="M23" s="1834"/>
      <c r="N23" s="1834"/>
      <c r="O23" s="1835" t="s">
        <v>494</v>
      </c>
      <c r="P23" s="1380"/>
      <c r="Q23" s="1382"/>
      <c r="R23" s="1382"/>
      <c r="Y23" s="1379" t="s">
        <v>496</v>
      </c>
      <c r="AA23" s="1379" t="s">
        <v>497</v>
      </c>
      <c r="AC23" s="1379" t="s">
        <v>545</v>
      </c>
      <c r="AG23" s="1379" t="s">
        <v>496</v>
      </c>
      <c r="AI23" s="1379" t="s">
        <v>497</v>
      </c>
      <c r="AL23" s="1383"/>
      <c r="AM23" s="1383"/>
      <c r="AN23" s="1383"/>
      <c r="AO23" s="1383"/>
      <c r="AP23" s="1383"/>
    </row>
    <row r="24" spans="1:42" ht="14.25" customHeight="1">
      <c r="O24" s="1190"/>
      <c r="AL24" s="1505"/>
      <c r="AM24" s="1505"/>
      <c r="AN24" s="1505"/>
      <c r="AO24" s="1505"/>
      <c r="AP24" s="1505"/>
    </row>
    <row r="25" spans="1:42" ht="14.25" customHeight="1">
      <c r="O25" s="1190"/>
      <c r="AL25" s="1505"/>
      <c r="AM25" s="1505"/>
      <c r="AN25" s="1505"/>
      <c r="AO25" s="1505"/>
      <c r="AP25" s="1505"/>
    </row>
    <row r="26" spans="1:42" ht="14.25" customHeight="1">
      <c r="Q26" s="209"/>
      <c r="R26" s="292"/>
      <c r="S26" s="1158"/>
      <c r="T26" s="367"/>
      <c r="U26" s="367"/>
      <c r="V26" s="1499"/>
      <c r="W26" s="1499"/>
      <c r="X26" s="1499"/>
      <c r="Y26" s="1499"/>
      <c r="Z26" s="1499"/>
      <c r="AA26" s="1499"/>
      <c r="AB26" s="1499"/>
      <c r="AC26" s="1499"/>
      <c r="AD26" s="1499"/>
      <c r="AE26" s="1499"/>
      <c r="AF26" s="1499"/>
      <c r="AG26" s="1499"/>
      <c r="AH26" s="1499"/>
      <c r="AI26" s="1499"/>
    </row>
    <row r="27" spans="1:42" ht="38.25" customHeight="1">
      <c r="Q27" s="209"/>
      <c r="R27" s="292"/>
      <c r="S27" s="5360"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5360"/>
      <c r="U27" s="5360"/>
      <c r="V27" s="5360"/>
      <c r="W27" s="5360"/>
      <c r="X27" s="5360"/>
      <c r="Y27" s="5360"/>
      <c r="Z27" s="5360"/>
      <c r="AA27" s="5360"/>
      <c r="AB27" s="5360"/>
      <c r="AC27" s="5360"/>
      <c r="AD27" s="5360"/>
      <c r="AE27" s="5360"/>
      <c r="AF27" s="5360"/>
      <c r="AG27" s="5360"/>
      <c r="AH27" s="5360"/>
      <c r="AI27" s="1126"/>
    </row>
    <row r="28" spans="1:42" ht="14.25" customHeight="1">
      <c r="Q28" s="209"/>
      <c r="R28" s="292"/>
      <c r="S28" s="5308" t="str">
        <f>IF(org=0,"Не определено",org)</f>
        <v>ООО «Газпром теплоэнерго МО»</v>
      </c>
      <c r="T28" s="5308"/>
      <c r="U28" s="5308"/>
      <c r="V28" s="5308"/>
      <c r="W28" s="5308"/>
      <c r="X28" s="5308"/>
      <c r="Y28" s="5308"/>
      <c r="Z28" s="5308"/>
      <c r="AA28" s="5308"/>
      <c r="AB28" s="5308"/>
      <c r="AC28" s="5308"/>
      <c r="AD28" s="5308"/>
      <c r="AE28" s="5308"/>
      <c r="AF28" s="5308"/>
      <c r="AG28" s="5308"/>
      <c r="AH28" s="5308"/>
      <c r="AI28" s="1126"/>
    </row>
    <row r="29" spans="1:42" ht="14.25" hidden="1" customHeight="1">
      <c r="Q29" s="209"/>
      <c r="R29" s="292"/>
      <c r="S29" s="1158"/>
      <c r="T29" s="367"/>
      <c r="U29" s="367"/>
      <c r="V29" s="240"/>
      <c r="W29" s="240"/>
      <c r="X29" s="240"/>
      <c r="Y29" s="240"/>
      <c r="Z29" s="240"/>
      <c r="AA29" s="240"/>
      <c r="AB29" s="240"/>
      <c r="AC29" s="240"/>
      <c r="AD29" s="240"/>
      <c r="AE29" s="240"/>
      <c r="AF29" s="240"/>
      <c r="AG29" s="240"/>
      <c r="AH29" s="240"/>
      <c r="AI29" s="240"/>
      <c r="AJ29" s="1499"/>
    </row>
    <row r="30" spans="1:42" s="4855" customFormat="1" ht="25.5" hidden="1" customHeight="1">
      <c r="A30" s="1131"/>
      <c r="B30" s="1131"/>
      <c r="C30" s="1131"/>
      <c r="D30" s="1131"/>
      <c r="E30" s="1131"/>
      <c r="F30" s="1131"/>
      <c r="G30" s="1131"/>
      <c r="H30" s="1131"/>
      <c r="I30" s="1131"/>
      <c r="J30" s="1131"/>
      <c r="K30" s="1131"/>
      <c r="L30" s="1258"/>
      <c r="M30" s="1131"/>
      <c r="N30" s="1131"/>
      <c r="O30" s="1131"/>
      <c r="P30" s="1246"/>
      <c r="Q30" s="1246"/>
      <c r="S30" s="5368" t="s">
        <v>38</v>
      </c>
      <c r="T30" s="5368"/>
      <c r="U30" s="1250"/>
      <c r="V30" s="5369" t="str">
        <f>IF(TITLE_NAME_OR_PR_CHANGE="",IF(TITLE_NAME_OR_PR="","",TITLE_NAME_OR_PR),TITLE_NAME_OR_PR_CHANGE)</f>
        <v>Комитет по ценам и тарифам Московской области</v>
      </c>
      <c r="W30" s="5369"/>
      <c r="X30" s="5369"/>
      <c r="Y30" s="5369"/>
      <c r="Z30" s="5369"/>
      <c r="AA30" s="1499"/>
      <c r="AB30" s="1499"/>
      <c r="AC30" s="5369"/>
      <c r="AD30" s="5369"/>
      <c r="AE30" s="5369"/>
      <c r="AF30" s="5369"/>
      <c r="AG30" s="5369"/>
      <c r="AH30" s="5369"/>
      <c r="AI30" s="1499"/>
      <c r="AJ30" s="1499"/>
      <c r="AK30" s="199"/>
      <c r="AL30" s="284"/>
      <c r="AM30" s="284"/>
      <c r="AN30" s="284"/>
      <c r="AO30" s="284"/>
      <c r="AP30" s="284"/>
    </row>
    <row r="31" spans="1:42" s="4855" customFormat="1" ht="18.75" hidden="1" customHeight="1">
      <c r="A31" s="1131"/>
      <c r="B31" s="1131"/>
      <c r="C31" s="1131"/>
      <c r="D31" s="1131"/>
      <c r="E31" s="1131"/>
      <c r="F31" s="1131"/>
      <c r="G31" s="1131"/>
      <c r="H31" s="1131"/>
      <c r="I31" s="1131"/>
      <c r="J31" s="1131"/>
      <c r="K31" s="1131"/>
      <c r="L31" s="1258"/>
      <c r="M31" s="1131"/>
      <c r="N31" s="1131"/>
      <c r="O31" s="1131"/>
      <c r="P31" s="1246"/>
      <c r="Q31" s="1246"/>
      <c r="S31" s="5368" t="s">
        <v>499</v>
      </c>
      <c r="T31" s="5368"/>
      <c r="U31" s="1250"/>
      <c r="V31" s="5378">
        <f>IF(TITLE_DATE_PR_CHANGE="",IF(TITLE_DATE_PR="","",TITLE_DATE_PR),TITLE_DATE_PR_CHANGE)</f>
        <v>45280</v>
      </c>
      <c r="W31" s="5378"/>
      <c r="X31" s="5378"/>
      <c r="Y31" s="5378"/>
      <c r="Z31" s="5378"/>
      <c r="AA31" s="1499"/>
      <c r="AB31" s="1499"/>
      <c r="AC31" s="5378"/>
      <c r="AD31" s="5378"/>
      <c r="AE31" s="5378"/>
      <c r="AF31" s="5378"/>
      <c r="AG31" s="5378"/>
      <c r="AH31" s="5378"/>
      <c r="AI31" s="1499"/>
      <c r="AJ31" s="1499"/>
      <c r="AK31" s="199"/>
      <c r="AL31" s="284"/>
      <c r="AM31" s="284"/>
      <c r="AN31" s="284"/>
      <c r="AO31" s="284"/>
      <c r="AP31" s="284"/>
    </row>
    <row r="32" spans="1:42" s="4855" customFormat="1" ht="18.75" hidden="1" customHeight="1">
      <c r="A32" s="1131"/>
      <c r="B32" s="1131"/>
      <c r="C32" s="1131"/>
      <c r="D32" s="1131"/>
      <c r="E32" s="1131"/>
      <c r="F32" s="1131"/>
      <c r="G32" s="1131"/>
      <c r="H32" s="1131"/>
      <c r="I32" s="1131"/>
      <c r="J32" s="1131"/>
      <c r="K32" s="1131"/>
      <c r="L32" s="1258"/>
      <c r="M32" s="1131"/>
      <c r="N32" s="1131"/>
      <c r="O32" s="1131"/>
      <c r="P32" s="1246"/>
      <c r="Q32" s="1246"/>
      <c r="S32" s="5368" t="s">
        <v>500</v>
      </c>
      <c r="T32" s="5368"/>
      <c r="U32" s="1250"/>
      <c r="V32" s="5369" t="str">
        <f>IF(TITLE_NUMBER_PR_CHANGE="",IF(TITLE_NUMBER_PR="","",TITLE_NUMBER_PR),TITLE_NUMBER_PR_CHANGE)</f>
        <v>317-Р</v>
      </c>
      <c r="W32" s="5369"/>
      <c r="X32" s="5369"/>
      <c r="Y32" s="5369"/>
      <c r="Z32" s="5369"/>
      <c r="AA32" s="1499"/>
      <c r="AB32" s="1499"/>
      <c r="AC32" s="5369"/>
      <c r="AD32" s="5369"/>
      <c r="AE32" s="5369"/>
      <c r="AF32" s="5369"/>
      <c r="AG32" s="5369"/>
      <c r="AH32" s="5369"/>
      <c r="AI32" s="1499"/>
      <c r="AJ32" s="1499"/>
      <c r="AK32" s="199"/>
      <c r="AL32" s="284"/>
      <c r="AM32" s="284"/>
      <c r="AN32" s="284"/>
      <c r="AO32" s="284"/>
      <c r="AP32" s="284"/>
    </row>
    <row r="33" spans="1:42" s="4855" customFormat="1" ht="18.75" hidden="1" customHeight="1">
      <c r="A33" s="1131"/>
      <c r="B33" s="1131"/>
      <c r="C33" s="1131"/>
      <c r="D33" s="1131"/>
      <c r="E33" s="1131"/>
      <c r="F33" s="1131"/>
      <c r="G33" s="1131"/>
      <c r="H33" s="1131"/>
      <c r="I33" s="1131"/>
      <c r="J33" s="1131"/>
      <c r="K33" s="1131"/>
      <c r="L33" s="1258"/>
      <c r="M33" s="1131"/>
      <c r="N33" s="1131"/>
      <c r="O33" s="1131"/>
      <c r="P33" s="1246"/>
      <c r="Q33" s="1246"/>
      <c r="S33" s="5368" t="s">
        <v>40</v>
      </c>
      <c r="T33" s="5368"/>
      <c r="U33" s="1250"/>
      <c r="V33" s="5369" t="str">
        <f>IF(TITLE_IST_PUB_CHANGE="",IF(TITLE_IST_PUB="","",TITLE_IST_PUB),TITLE_IST_PUB_CHANGE)</f>
        <v>https://ktc.mosreg.ru/dokumenty/normotvorchestvo/rasporyazheniya/gosudarstvennoe-regulirovanie-tarifov-na-teplovuyu-energiyu-raspor/29-12-2023-16-47-50-rasporyazhenie-komiteta-po-tsenam-i-tarifam-moskov</v>
      </c>
      <c r="W33" s="5369"/>
      <c r="X33" s="5369"/>
      <c r="Y33" s="5369"/>
      <c r="Z33" s="5369"/>
      <c r="AA33" s="1499"/>
      <c r="AB33" s="1499"/>
      <c r="AC33" s="5369"/>
      <c r="AD33" s="5369"/>
      <c r="AE33" s="5369"/>
      <c r="AF33" s="5369"/>
      <c r="AG33" s="5369"/>
      <c r="AH33" s="5369"/>
      <c r="AI33" s="1499"/>
      <c r="AJ33" s="1499"/>
      <c r="AK33" s="199"/>
      <c r="AL33" s="284"/>
      <c r="AM33" s="284"/>
      <c r="AN33" s="284"/>
      <c r="AO33" s="284"/>
      <c r="AP33" s="284"/>
    </row>
    <row r="34" spans="1:42" ht="14.25" hidden="1" customHeight="1">
      <c r="Q34" s="209"/>
      <c r="R34" s="292"/>
      <c r="S34" s="1158"/>
      <c r="T34" s="367"/>
      <c r="U34" s="367"/>
      <c r="V34" s="240"/>
      <c r="W34" s="240"/>
      <c r="X34" s="240"/>
      <c r="Y34" s="240"/>
      <c r="Z34" s="240"/>
      <c r="AA34" s="240"/>
      <c r="AB34" s="240"/>
      <c r="AC34" s="240"/>
      <c r="AD34" s="240"/>
      <c r="AE34" s="240"/>
      <c r="AF34" s="240"/>
      <c r="AG34" s="240"/>
      <c r="AH34" s="240"/>
      <c r="AI34" s="240"/>
      <c r="AJ34" s="1499"/>
    </row>
    <row r="35" spans="1:42" s="4855" customFormat="1" ht="18.75" hidden="1" customHeight="1">
      <c r="A35" s="1131"/>
      <c r="B35" s="1131"/>
      <c r="C35" s="1131"/>
      <c r="D35" s="1131"/>
      <c r="E35" s="1131"/>
      <c r="F35" s="1131"/>
      <c r="G35" s="1131"/>
      <c r="H35" s="1131"/>
      <c r="I35" s="1131"/>
      <c r="J35" s="1131"/>
      <c r="K35" s="1131"/>
      <c r="L35" s="1258"/>
      <c r="M35" s="1131"/>
      <c r="N35" s="1131"/>
      <c r="O35" s="1131"/>
      <c r="P35" s="1246"/>
      <c r="Q35" s="1246"/>
      <c r="S35" s="5368" t="s">
        <v>499</v>
      </c>
      <c r="T35" s="5368"/>
      <c r="U35" s="1250"/>
      <c r="V35" s="5378">
        <f>IF(TITLE_DATE_PR_CHANGE="",IF(TITLE_DATE_PR="","",TITLE_DATE_PR),TITLE_DATE_PR_CHANGE)</f>
        <v>45280</v>
      </c>
      <c r="W35" s="5378"/>
      <c r="X35" s="5378"/>
      <c r="Y35" s="5378"/>
      <c r="Z35" s="5378"/>
      <c r="AA35" s="1499"/>
      <c r="AB35" s="1499"/>
      <c r="AC35" s="5378"/>
      <c r="AD35" s="5378"/>
      <c r="AE35" s="5378"/>
      <c r="AF35" s="5378"/>
      <c r="AG35" s="5378"/>
      <c r="AH35" s="5378"/>
      <c r="AI35" s="1499"/>
      <c r="AJ35" s="1499"/>
      <c r="AK35" s="199"/>
      <c r="AL35" s="284"/>
      <c r="AM35" s="284"/>
      <c r="AN35" s="284"/>
      <c r="AO35" s="284"/>
      <c r="AP35" s="284"/>
    </row>
    <row r="36" spans="1:42" s="4855" customFormat="1" ht="18" hidden="1" customHeight="1">
      <c r="A36" s="1131"/>
      <c r="B36" s="1131"/>
      <c r="C36" s="1131"/>
      <c r="D36" s="1131"/>
      <c r="E36" s="1131"/>
      <c r="F36" s="1131"/>
      <c r="G36" s="1131"/>
      <c r="H36" s="1131"/>
      <c r="I36" s="1131"/>
      <c r="J36" s="1131"/>
      <c r="K36" s="1131"/>
      <c r="L36" s="1258"/>
      <c r="M36" s="1131"/>
      <c r="N36" s="1131"/>
      <c r="O36" s="1131"/>
      <c r="P36" s="1246"/>
      <c r="Q36" s="1246"/>
      <c r="S36" s="5368" t="s">
        <v>500</v>
      </c>
      <c r="T36" s="5368"/>
      <c r="U36" s="1250"/>
      <c r="V36" s="5369" t="str">
        <f>IF(TITLE_NUMBER_PR_CHANGE="",IF(TITLE_NUMBER_PR="","",TITLE_NUMBER_PR),TITLE_NUMBER_PR_CHANGE)</f>
        <v>317-Р</v>
      </c>
      <c r="W36" s="5369"/>
      <c r="X36" s="5369"/>
      <c r="Y36" s="5369"/>
      <c r="Z36" s="5369"/>
      <c r="AA36" s="1499"/>
      <c r="AB36" s="1499"/>
      <c r="AC36" s="5369"/>
      <c r="AD36" s="5369"/>
      <c r="AE36" s="5369"/>
      <c r="AF36" s="5369"/>
      <c r="AG36" s="5369"/>
      <c r="AH36" s="5369"/>
      <c r="AI36" s="1499"/>
      <c r="AJ36" s="1499"/>
      <c r="AK36" s="199"/>
      <c r="AL36" s="284"/>
      <c r="AM36" s="284"/>
      <c r="AN36" s="284"/>
      <c r="AO36" s="284"/>
      <c r="AP36" s="284"/>
    </row>
    <row r="37" spans="1:42" s="4855" customFormat="1" ht="0.75" customHeight="1">
      <c r="A37" s="1131"/>
      <c r="B37" s="1131"/>
      <c r="C37" s="1131"/>
      <c r="D37" s="1131"/>
      <c r="E37" s="1131"/>
      <c r="F37" s="1131"/>
      <c r="G37" s="1131"/>
      <c r="H37" s="1131"/>
      <c r="I37" s="1131"/>
      <c r="J37" s="1131"/>
      <c r="K37" s="1131"/>
      <c r="L37" s="1258"/>
      <c r="M37" s="1131"/>
      <c r="N37" s="1131"/>
      <c r="O37" s="1131"/>
      <c r="P37" s="1246"/>
      <c r="Q37" s="1246"/>
      <c r="S37" s="1499"/>
      <c r="T37" s="1499"/>
      <c r="U37" s="1831"/>
      <c r="V37" s="1499"/>
      <c r="W37" s="1499"/>
      <c r="X37" s="1499"/>
      <c r="Y37" s="1499"/>
      <c r="Z37" s="1499"/>
      <c r="AA37" s="1506" t="s">
        <v>503</v>
      </c>
      <c r="AB37" s="1506"/>
      <c r="AC37" s="1499"/>
      <c r="AD37" s="1499"/>
      <c r="AE37" s="1499"/>
      <c r="AF37" s="1499"/>
      <c r="AG37" s="1499"/>
      <c r="AH37" s="1499"/>
      <c r="AI37" s="1506" t="s">
        <v>503</v>
      </c>
      <c r="AL37" s="284"/>
      <c r="AM37" s="284"/>
      <c r="AN37" s="284"/>
      <c r="AO37" s="284"/>
      <c r="AP37" s="284"/>
    </row>
    <row r="38" spans="1:42" ht="14.25" customHeight="1">
      <c r="Q38" s="209"/>
      <c r="R38" s="292"/>
      <c r="S38" s="1158"/>
      <c r="T38" s="367"/>
      <c r="U38" s="1127"/>
      <c r="V38" s="5370"/>
      <c r="W38" s="5370"/>
      <c r="X38" s="5370"/>
      <c r="Y38" s="5370"/>
      <c r="Z38" s="5370"/>
      <c r="AA38" s="5370"/>
      <c r="AB38" s="1818"/>
      <c r="AC38" s="5370"/>
      <c r="AD38" s="5370"/>
      <c r="AE38" s="5370"/>
      <c r="AF38" s="5370"/>
      <c r="AG38" s="5370"/>
      <c r="AH38" s="5370"/>
      <c r="AI38" s="5370"/>
    </row>
    <row r="39" spans="1:42" ht="14.25" customHeight="1">
      <c r="Q39" s="209"/>
      <c r="R39" s="292"/>
      <c r="S39" s="5244" t="s">
        <v>378</v>
      </c>
      <c r="T39" s="5244"/>
      <c r="U39" s="5244"/>
      <c r="V39" s="5244"/>
      <c r="W39" s="5244"/>
      <c r="X39" s="5244"/>
      <c r="Y39" s="5244"/>
      <c r="Z39" s="5244"/>
      <c r="AA39" s="5307"/>
      <c r="AB39" s="5307"/>
      <c r="AC39" s="5307"/>
      <c r="AD39" s="5244"/>
      <c r="AE39" s="5244"/>
      <c r="AF39" s="5244"/>
      <c r="AG39" s="5244"/>
      <c r="AH39" s="5244"/>
      <c r="AI39" s="5244"/>
      <c r="AJ39" s="5244"/>
      <c r="AK39" s="5244" t="s">
        <v>379</v>
      </c>
    </row>
    <row r="40" spans="1:42" ht="14.25" customHeight="1">
      <c r="Q40" s="209"/>
      <c r="R40" s="292"/>
      <c r="S40" s="5384" t="s">
        <v>85</v>
      </c>
      <c r="T40" s="5336" t="s">
        <v>575</v>
      </c>
      <c r="U40" s="255"/>
      <c r="V40" s="5386"/>
      <c r="W40" s="5386"/>
      <c r="X40" s="5386"/>
      <c r="Y40" s="5386"/>
      <c r="Z40" s="5386"/>
      <c r="AA40" s="5336" t="s">
        <v>506</v>
      </c>
      <c r="AB40" s="5335" t="s">
        <v>576</v>
      </c>
      <c r="AC40" s="5335" t="s">
        <v>549</v>
      </c>
      <c r="AD40" s="5402" t="s">
        <v>505</v>
      </c>
      <c r="AE40" s="5402"/>
      <c r="AF40" s="5386"/>
      <c r="AG40" s="5386"/>
      <c r="AH40" s="5387"/>
      <c r="AI40" s="5388" t="s">
        <v>506</v>
      </c>
      <c r="AJ40" s="5391" t="s">
        <v>508</v>
      </c>
      <c r="AK40" s="5244"/>
    </row>
    <row r="41" spans="1:42" ht="33.75" customHeight="1">
      <c r="Q41" s="209"/>
      <c r="R41" s="292"/>
      <c r="S41" s="5384"/>
      <c r="T41" s="5336"/>
      <c r="U41" s="920"/>
      <c r="V41" s="5322" t="s">
        <v>552</v>
      </c>
      <c r="W41" s="5323"/>
      <c r="X41" s="5322" t="s">
        <v>512</v>
      </c>
      <c r="Y41" s="5409"/>
      <c r="Z41" s="5409"/>
      <c r="AA41" s="5336"/>
      <c r="AB41" s="5335"/>
      <c r="AC41" s="5335"/>
      <c r="AD41" s="5214" t="s">
        <v>553</v>
      </c>
      <c r="AE41" s="5244"/>
      <c r="AF41" s="5409" t="s">
        <v>512</v>
      </c>
      <c r="AG41" s="5409"/>
      <c r="AH41" s="5323"/>
      <c r="AI41" s="5389"/>
      <c r="AJ41" s="5392"/>
      <c r="AK41" s="5244"/>
    </row>
    <row r="42" spans="1:42" ht="14.25" customHeight="1">
      <c r="Q42" s="209"/>
      <c r="R42" s="292"/>
      <c r="S42" s="5384"/>
      <c r="T42" s="5336"/>
      <c r="U42" s="920"/>
      <c r="V42" s="5327"/>
      <c r="W42" s="5328"/>
      <c r="X42" s="5327"/>
      <c r="Y42" s="5410"/>
      <c r="Z42" s="5410"/>
      <c r="AA42" s="5336"/>
      <c r="AB42" s="5335"/>
      <c r="AC42" s="5335"/>
      <c r="AD42" s="5441"/>
      <c r="AE42" s="5425"/>
      <c r="AF42" s="5410"/>
      <c r="AG42" s="5410"/>
      <c r="AH42" s="5328"/>
      <c r="AI42" s="5389"/>
      <c r="AJ42" s="5392"/>
      <c r="AK42" s="5244"/>
    </row>
    <row r="43" spans="1:42" ht="14.25" customHeight="1">
      <c r="A43" s="1149"/>
      <c r="B43" s="1149" t="s">
        <v>153</v>
      </c>
      <c r="C43" s="1149" t="s">
        <v>154</v>
      </c>
      <c r="D43" s="1149" t="s">
        <v>155</v>
      </c>
      <c r="E43" s="1190" t="s">
        <v>513</v>
      </c>
      <c r="F43" s="1190" t="s">
        <v>514</v>
      </c>
      <c r="G43" s="1190" t="s">
        <v>515</v>
      </c>
      <c r="H43" s="1190" t="s">
        <v>516</v>
      </c>
      <c r="I43" s="1190" t="s">
        <v>517</v>
      </c>
      <c r="J43" s="1190" t="s">
        <v>518</v>
      </c>
      <c r="K43" s="1190" t="s">
        <v>519</v>
      </c>
      <c r="L43" s="1190" t="s">
        <v>494</v>
      </c>
      <c r="Q43" s="209"/>
      <c r="R43" s="292"/>
      <c r="S43" s="5384"/>
      <c r="T43" s="5336"/>
      <c r="U43" s="220"/>
      <c r="V43" s="1811" t="s">
        <v>554</v>
      </c>
      <c r="W43" s="1811" t="s">
        <v>555</v>
      </c>
      <c r="X43" s="1799" t="s">
        <v>522</v>
      </c>
      <c r="Y43" s="5344" t="s">
        <v>523</v>
      </c>
      <c r="Z43" s="5345"/>
      <c r="AA43" s="5336"/>
      <c r="AB43" s="5335"/>
      <c r="AC43" s="5335"/>
      <c r="AD43" s="1829" t="s">
        <v>554</v>
      </c>
      <c r="AE43" s="1820" t="s">
        <v>555</v>
      </c>
      <c r="AF43" s="1799" t="s">
        <v>522</v>
      </c>
      <c r="AG43" s="5344" t="s">
        <v>523</v>
      </c>
      <c r="AH43" s="5346"/>
      <c r="AI43" s="5390"/>
      <c r="AJ43" s="5393"/>
      <c r="AK43" s="5244"/>
    </row>
    <row r="44" spans="1:42" s="4866" customFormat="1" ht="11.25" hidden="1" customHeight="1">
      <c r="A44" s="1149"/>
      <c r="B44" s="1149"/>
      <c r="C44" s="1149"/>
      <c r="D44" s="1149"/>
      <c r="E44" s="1149"/>
      <c r="F44" s="1149"/>
      <c r="G44" s="1149"/>
      <c r="H44" s="1149"/>
      <c r="I44" s="1149"/>
      <c r="J44" s="1149"/>
      <c r="K44" s="1149"/>
      <c r="L44" s="1190"/>
      <c r="M44" s="1826"/>
      <c r="N44" s="1826"/>
      <c r="O44" s="1826"/>
      <c r="P44" s="418"/>
      <c r="Q44" s="1137"/>
      <c r="R44" s="1137">
        <v>1</v>
      </c>
      <c r="S44" s="1160" t="s">
        <v>129</v>
      </c>
      <c r="T44" s="1138" t="s">
        <v>100</v>
      </c>
      <c r="U44" s="1128" t="str">
        <f ca="1">OFFSET(U44,0,-1)</f>
        <v>2</v>
      </c>
      <c r="V44" s="1817">
        <f ca="1">OFFSET(V44,0,-1)+1</f>
        <v>3</v>
      </c>
      <c r="W44" s="1817">
        <f ca="1">OFFSET(W44,0,-1)+1</f>
        <v>4</v>
      </c>
      <c r="X44" s="1817">
        <f ca="1">OFFSET(X44,0,-1)+1</f>
        <v>5</v>
      </c>
      <c r="Y44" s="5383">
        <f ca="1">OFFSET(Y44,0,-1)+1</f>
        <v>6</v>
      </c>
      <c r="Z44" s="5383"/>
      <c r="AA44" s="1220">
        <f ca="1">OFFSET(AA44,0,-2)+1</f>
        <v>7</v>
      </c>
      <c r="AB44" s="1220"/>
      <c r="AC44" s="1220"/>
      <c r="AD44" s="1817">
        <f ca="1">OFFSET(AD44,0,-1)+1</f>
        <v>1</v>
      </c>
      <c r="AE44" s="1817">
        <f ca="1">OFFSET(AE44,0,-1)+1</f>
        <v>2</v>
      </c>
      <c r="AF44" s="1817">
        <f ca="1">OFFSET(AF44,0,-1)+1</f>
        <v>3</v>
      </c>
      <c r="AG44" s="5383">
        <f ca="1">OFFSET(AG44,0,-1)+1</f>
        <v>4</v>
      </c>
      <c r="AH44" s="5383"/>
      <c r="AI44" s="1817">
        <f ca="1">OFFSET(AI44,0,-2)+1</f>
        <v>5</v>
      </c>
      <c r="AJ44" s="1128">
        <f ca="1">OFFSET(AJ44,0,-1)</f>
        <v>5</v>
      </c>
      <c r="AK44" s="1817">
        <f ca="1">OFFSET(AK44,0,-1)+1</f>
        <v>6</v>
      </c>
      <c r="AL44" s="1500"/>
      <c r="AM44" s="1500"/>
      <c r="AN44" s="1500"/>
      <c r="AO44" s="1500"/>
      <c r="AP44" s="1500"/>
    </row>
    <row r="45" spans="1:42" ht="102" customHeight="1">
      <c r="A45" s="1150" t="s">
        <v>221</v>
      </c>
      <c r="B45" s="1150"/>
      <c r="C45" s="1150"/>
      <c r="D45" s="1150"/>
      <c r="E45" s="5400">
        <v>1</v>
      </c>
      <c r="F45" s="1150"/>
      <c r="G45" s="1150"/>
      <c r="H45" s="1150"/>
      <c r="I45" s="1150"/>
      <c r="J45" s="1150"/>
      <c r="K45" s="1150"/>
      <c r="L45" s="1190"/>
      <c r="M45" s="1477"/>
      <c r="N45" s="1477"/>
      <c r="O45" s="1477"/>
      <c r="P45" s="1287"/>
      <c r="Q45" s="768"/>
      <c r="R45" s="272"/>
      <c r="S45" s="1819">
        <f>INDEX(PT_DIFFERENTIATION_NUM_NTAR,MATCH(A45,PT_DIFFERENTIATION_NTAR_ID,0))</f>
        <v>0</v>
      </c>
      <c r="T45" s="1397" t="s">
        <v>141</v>
      </c>
      <c r="U45" s="218"/>
      <c r="V45" s="5363"/>
      <c r="W45" s="5363"/>
      <c r="X45" s="5363"/>
      <c r="Y45" s="5363"/>
      <c r="Z45" s="5363"/>
      <c r="AA45" s="5364"/>
      <c r="AB45" s="1813"/>
      <c r="AC45" s="5363"/>
      <c r="AD45" s="5363"/>
      <c r="AE45" s="5363"/>
      <c r="AF45" s="5363"/>
      <c r="AG45" s="5363"/>
      <c r="AH45" s="5363"/>
      <c r="AI45" s="5363"/>
      <c r="AJ45" s="5364"/>
      <c r="AK45" s="11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5" s="1488"/>
      <c r="AN45" s="1488" t="str">
        <f t="shared" ref="AN45:AN59" si="2">IF(T45="","",T45)</f>
        <v>Наименование тарифа</v>
      </c>
      <c r="AO45" s="1488"/>
      <c r="AP45" s="1488"/>
    </row>
    <row r="46" spans="1:42" ht="21" customHeight="1">
      <c r="A46" s="1150" t="s">
        <v>221</v>
      </c>
      <c r="B46" s="1150" t="s">
        <v>222</v>
      </c>
      <c r="C46" s="1150"/>
      <c r="D46" s="1150"/>
      <c r="E46" s="5401"/>
      <c r="F46" s="5400">
        <v>1</v>
      </c>
      <c r="G46" s="1150"/>
      <c r="H46" s="1150"/>
      <c r="I46" s="1150"/>
      <c r="J46" s="1150"/>
      <c r="K46" s="1150"/>
      <c r="L46" s="1190"/>
      <c r="M46" s="1477"/>
      <c r="N46" s="1477"/>
      <c r="O46" s="1477"/>
      <c r="P46" s="1830"/>
      <c r="Q46" s="1289"/>
      <c r="R46" s="270"/>
      <c r="S46" s="1819" t="str">
        <f>INDEX(PT_DIFFERENTIATION_NUM_TER,MATCH(B46,PT_DIFFERENTIATION_TER_ID,0))</f>
        <v>.</v>
      </c>
      <c r="T46" s="1394" t="s">
        <v>475</v>
      </c>
      <c r="U46" s="218"/>
      <c r="V46" s="5363"/>
      <c r="W46" s="5363"/>
      <c r="X46" s="5363"/>
      <c r="Y46" s="5363"/>
      <c r="Z46" s="5363"/>
      <c r="AA46" s="5364"/>
      <c r="AB46" s="1813"/>
      <c r="AC46" s="5363"/>
      <c r="AD46" s="5363"/>
      <c r="AE46" s="5363"/>
      <c r="AF46" s="5363"/>
      <c r="AG46" s="5363"/>
      <c r="AH46" s="5363"/>
      <c r="AI46" s="5363"/>
      <c r="AJ46" s="5364"/>
      <c r="AK46" s="1141" t="s">
        <v>476</v>
      </c>
      <c r="AM46" s="1488"/>
      <c r="AN46" s="1488" t="str">
        <f t="shared" si="2"/>
        <v>Территория действия тарифа</v>
      </c>
      <c r="AO46" s="1488"/>
      <c r="AP46" s="1488"/>
    </row>
    <row r="47" spans="1:42" ht="23.25" customHeight="1">
      <c r="A47" s="1150" t="s">
        <v>221</v>
      </c>
      <c r="B47" s="1150" t="s">
        <v>222</v>
      </c>
      <c r="C47" s="1150" t="s">
        <v>223</v>
      </c>
      <c r="D47" s="1150"/>
      <c r="E47" s="5401"/>
      <c r="F47" s="5401"/>
      <c r="G47" s="5400">
        <v>1</v>
      </c>
      <c r="H47" s="1150"/>
      <c r="I47" s="1150"/>
      <c r="J47" s="1150"/>
      <c r="K47" s="1150"/>
      <c r="L47" s="1190"/>
      <c r="M47" s="1477"/>
      <c r="N47" s="1477"/>
      <c r="O47" s="1477"/>
      <c r="P47" s="1290"/>
      <c r="Q47" s="1289"/>
      <c r="R47" s="270"/>
      <c r="S47" s="1819" t="str">
        <f>INDEX(PT_DIFFERENTIATION_NUM_CS,MATCH(C47,PT_DIFFERENTIATION_CS_ID,0))</f>
        <v>..</v>
      </c>
      <c r="T47" s="227" t="s">
        <v>477</v>
      </c>
      <c r="U47" s="218"/>
      <c r="V47" s="5363"/>
      <c r="W47" s="5363"/>
      <c r="X47" s="5363"/>
      <c r="Y47" s="5363"/>
      <c r="Z47" s="5363"/>
      <c r="AA47" s="5364"/>
      <c r="AB47" s="1813"/>
      <c r="AC47" s="5363"/>
      <c r="AD47" s="5363"/>
      <c r="AE47" s="5363"/>
      <c r="AF47" s="5363"/>
      <c r="AG47" s="5363"/>
      <c r="AH47" s="5363"/>
      <c r="AI47" s="5363"/>
      <c r="AJ47" s="5364"/>
      <c r="AK47" s="1141" t="s">
        <v>478</v>
      </c>
      <c r="AM47" s="1488"/>
      <c r="AN47" s="1488" t="str">
        <f t="shared" si="2"/>
        <v xml:space="preserve">Наименование системы теплоснабжения </v>
      </c>
      <c r="AO47" s="1488"/>
      <c r="AP47" s="1488"/>
    </row>
    <row r="48" spans="1:42" ht="21" customHeight="1">
      <c r="A48" s="1150" t="s">
        <v>221</v>
      </c>
      <c r="B48" s="1150" t="s">
        <v>222</v>
      </c>
      <c r="C48" s="1150" t="s">
        <v>223</v>
      </c>
      <c r="D48" s="1150" t="s">
        <v>224</v>
      </c>
      <c r="E48" s="5401"/>
      <c r="F48" s="5401"/>
      <c r="G48" s="5401"/>
      <c r="H48" s="5400">
        <v>1</v>
      </c>
      <c r="I48" s="1150"/>
      <c r="J48" s="1150"/>
      <c r="K48" s="1150"/>
      <c r="L48" s="1190"/>
      <c r="M48" s="1477"/>
      <c r="N48" s="1477"/>
      <c r="O48" s="1477"/>
      <c r="P48" s="1290"/>
      <c r="Q48" s="1289"/>
      <c r="R48" s="270"/>
      <c r="S48" s="1819" t="str">
        <f>INDEX(PT_DIFFERENTIATION_NUM_IST_TE,MATCH(D48,PT_DIFFERENTIATION_IST_TE_ID,0))</f>
        <v>...</v>
      </c>
      <c r="T48" s="228" t="s">
        <v>479</v>
      </c>
      <c r="U48" s="218"/>
      <c r="V48" s="5363"/>
      <c r="W48" s="5363"/>
      <c r="X48" s="5363"/>
      <c r="Y48" s="5363"/>
      <c r="Z48" s="5363"/>
      <c r="AA48" s="5364"/>
      <c r="AB48" s="1813"/>
      <c r="AC48" s="5363"/>
      <c r="AD48" s="5363"/>
      <c r="AE48" s="5363"/>
      <c r="AF48" s="5363"/>
      <c r="AG48" s="5363"/>
      <c r="AH48" s="5363"/>
      <c r="AI48" s="5363"/>
      <c r="AJ48" s="5364"/>
      <c r="AK48" s="1141" t="s">
        <v>480</v>
      </c>
      <c r="AM48" s="1488"/>
      <c r="AN48" s="1488" t="str">
        <f t="shared" si="2"/>
        <v xml:space="preserve">Источник тепловой энергии  </v>
      </c>
      <c r="AO48" s="1488"/>
      <c r="AP48" s="1488"/>
    </row>
    <row r="49" spans="1:42" s="4867" customFormat="1" ht="0" hidden="1" customHeight="1">
      <c r="A49" s="1253" t="s">
        <v>221</v>
      </c>
      <c r="B49" s="1253" t="s">
        <v>222</v>
      </c>
      <c r="C49" s="1253" t="s">
        <v>223</v>
      </c>
      <c r="D49" s="1253" t="s">
        <v>224</v>
      </c>
      <c r="E49" s="5401"/>
      <c r="F49" s="5401"/>
      <c r="G49" s="5401"/>
      <c r="H49" s="5401"/>
      <c r="I49" s="5244" t="str">
        <f>S48&amp;".1"</f>
        <v>....1</v>
      </c>
      <c r="J49" s="1253"/>
      <c r="K49" s="1253"/>
      <c r="L49" s="1259" t="s">
        <v>481</v>
      </c>
      <c r="M49" s="1129"/>
      <c r="N49" s="1129"/>
      <c r="O49" s="1129"/>
      <c r="P49" s="5375">
        <v>1</v>
      </c>
      <c r="Q49" s="1815"/>
      <c r="R49" s="273"/>
      <c r="S49" s="931"/>
      <c r="T49" s="1261"/>
      <c r="U49" s="1262"/>
      <c r="V49" s="5406"/>
      <c r="W49" s="5406"/>
      <c r="X49" s="5406"/>
      <c r="Y49" s="5406"/>
      <c r="Z49" s="5406"/>
      <c r="AA49" s="5407"/>
      <c r="AB49" s="1821"/>
      <c r="AC49" s="5406"/>
      <c r="AD49" s="5406"/>
      <c r="AE49" s="5406"/>
      <c r="AF49" s="5406"/>
      <c r="AG49" s="5406"/>
      <c r="AH49" s="5406"/>
      <c r="AI49" s="5406"/>
      <c r="AJ49" s="5407"/>
      <c r="AK49" s="1263"/>
      <c r="AM49" s="1488"/>
      <c r="AN49" s="1488" t="str">
        <f t="shared" si="2"/>
        <v/>
      </c>
      <c r="AO49" s="1488"/>
      <c r="AP49" s="1488"/>
    </row>
    <row r="50" spans="1:42" s="4867" customFormat="1" ht="0" hidden="1" customHeight="1">
      <c r="A50" s="1253" t="s">
        <v>221</v>
      </c>
      <c r="B50" s="1253" t="s">
        <v>222</v>
      </c>
      <c r="C50" s="1253" t="s">
        <v>223</v>
      </c>
      <c r="D50" s="1253" t="s">
        <v>224</v>
      </c>
      <c r="E50" s="5401"/>
      <c r="F50" s="5401"/>
      <c r="G50" s="5401"/>
      <c r="H50" s="5401"/>
      <c r="I50" s="5215"/>
      <c r="J50" s="5244" t="str">
        <f>S48&amp;".1"</f>
        <v>....1</v>
      </c>
      <c r="K50" s="1253"/>
      <c r="L50" s="1259"/>
      <c r="M50" s="1129"/>
      <c r="N50" s="1129"/>
      <c r="O50" s="1129"/>
      <c r="P50" s="5375"/>
      <c r="Q50" s="5375">
        <v>1</v>
      </c>
      <c r="R50" s="274"/>
      <c r="S50" s="931"/>
      <c r="T50" s="1277"/>
      <c r="U50" s="1262"/>
      <c r="V50" s="5406"/>
      <c r="W50" s="5406"/>
      <c r="X50" s="5406"/>
      <c r="Y50" s="5406"/>
      <c r="Z50" s="5406"/>
      <c r="AA50" s="5407"/>
      <c r="AB50" s="1821"/>
      <c r="AC50" s="5406"/>
      <c r="AD50" s="5406"/>
      <c r="AE50" s="5406"/>
      <c r="AF50" s="5406"/>
      <c r="AG50" s="5406"/>
      <c r="AH50" s="5406"/>
      <c r="AI50" s="5406"/>
      <c r="AJ50" s="5407"/>
      <c r="AK50" s="1263"/>
      <c r="AM50" s="1488"/>
      <c r="AN50" s="1488" t="str">
        <f t="shared" si="2"/>
        <v/>
      </c>
      <c r="AO50" s="1488"/>
      <c r="AP50" s="1488"/>
    </row>
    <row r="51" spans="1:42" ht="21" customHeight="1">
      <c r="A51" s="1150" t="s">
        <v>221</v>
      </c>
      <c r="B51" s="1150" t="s">
        <v>222</v>
      </c>
      <c r="C51" s="1150" t="s">
        <v>223</v>
      </c>
      <c r="D51" s="1150" t="s">
        <v>224</v>
      </c>
      <c r="E51" s="5401"/>
      <c r="F51" s="5401"/>
      <c r="G51" s="5401"/>
      <c r="H51" s="5401"/>
      <c r="I51" s="5215"/>
      <c r="J51" s="5215"/>
      <c r="K51" s="1802" t="str">
        <f>S48&amp;".1"</f>
        <v>....1</v>
      </c>
      <c r="L51" s="1190"/>
      <c r="P51" s="5375"/>
      <c r="Q51" s="5375"/>
      <c r="R51" s="274">
        <v>1</v>
      </c>
      <c r="S51" s="1823" t="str">
        <f>$K51</f>
        <v>....1</v>
      </c>
      <c r="T51" s="1822"/>
      <c r="U51" s="218"/>
      <c r="V51" s="650"/>
      <c r="W51" s="1140"/>
      <c r="X51" s="1816"/>
      <c r="Y51" s="1803" t="s">
        <v>64</v>
      </c>
      <c r="Z51" s="1816"/>
      <c r="AA51" s="1803" t="s">
        <v>64</v>
      </c>
      <c r="AB51" s="1825"/>
      <c r="AC51" s="1824" t="s">
        <v>24</v>
      </c>
      <c r="AD51" s="650"/>
      <c r="AE51" s="1140"/>
      <c r="AF51" s="1816"/>
      <c r="AG51" s="1803" t="s">
        <v>64</v>
      </c>
      <c r="AH51" s="1816"/>
      <c r="AI51" s="1803" t="s">
        <v>64</v>
      </c>
      <c r="AJ51" s="1227"/>
      <c r="AK51" s="5371" t="s">
        <v>556</v>
      </c>
      <c r="AL51" s="1500" t="e">
        <f ca="1">STRCHECKDATE(#REF!)</f>
        <v>#NAME?</v>
      </c>
      <c r="AM51" s="1488"/>
      <c r="AN51" s="1488" t="str">
        <f t="shared" si="2"/>
        <v/>
      </c>
      <c r="AO51" s="1488"/>
      <c r="AP51" s="1488"/>
    </row>
    <row r="52" spans="1:42" ht="11.25" customHeight="1">
      <c r="A52" s="1150" t="s">
        <v>221</v>
      </c>
      <c r="B52" s="1150" t="s">
        <v>222</v>
      </c>
      <c r="C52" s="1150" t="s">
        <v>223</v>
      </c>
      <c r="D52" s="1150" t="s">
        <v>224</v>
      </c>
      <c r="E52" s="5401"/>
      <c r="F52" s="5401"/>
      <c r="G52" s="5401"/>
      <c r="H52" s="5401"/>
      <c r="I52" s="5215"/>
      <c r="J52" s="5244"/>
      <c r="K52" s="1150"/>
      <c r="L52" s="1190"/>
      <c r="P52" s="5375"/>
      <c r="Q52" s="5375"/>
      <c r="R52" s="273"/>
      <c r="S52" s="1161"/>
      <c r="T52" s="205" t="s">
        <v>543</v>
      </c>
      <c r="U52" s="504"/>
      <c r="V52" s="504"/>
      <c r="W52" s="504"/>
      <c r="X52" s="504"/>
      <c r="Y52" s="504"/>
      <c r="Z52" s="504"/>
      <c r="AA52" s="242"/>
      <c r="AB52" s="504"/>
      <c r="AC52" s="504"/>
      <c r="AD52" s="504"/>
      <c r="AE52" s="504"/>
      <c r="AF52" s="504"/>
      <c r="AG52" s="504"/>
      <c r="AH52" s="504"/>
      <c r="AI52" s="504"/>
      <c r="AJ52" s="242"/>
      <c r="AK52" s="5373"/>
      <c r="AM52" s="1488"/>
      <c r="AN52" s="1488" t="str">
        <f t="shared" si="2"/>
        <v>Добавить строку</v>
      </c>
      <c r="AO52" s="1488"/>
      <c r="AP52" s="1488"/>
    </row>
    <row r="53" spans="1:42" s="4867" customFormat="1" ht="5.25" customHeight="1">
      <c r="A53" s="1253" t="s">
        <v>221</v>
      </c>
      <c r="B53" s="1253" t="s">
        <v>222</v>
      </c>
      <c r="C53" s="1253" t="s">
        <v>223</v>
      </c>
      <c r="D53" s="1253" t="s">
        <v>224</v>
      </c>
      <c r="E53" s="5401"/>
      <c r="F53" s="5401"/>
      <c r="G53" s="5401"/>
      <c r="H53" s="5401"/>
      <c r="I53" s="5244"/>
      <c r="J53" s="1253"/>
      <c r="K53" s="1253"/>
      <c r="L53" s="1259"/>
      <c r="M53" s="1129"/>
      <c r="N53" s="1129"/>
      <c r="O53" s="1129"/>
      <c r="P53" s="5375"/>
      <c r="Q53" s="1815"/>
      <c r="R53" s="273"/>
      <c r="S53" s="1264"/>
      <c r="T53" s="1265" t="s">
        <v>490</v>
      </c>
      <c r="U53" s="1266"/>
      <c r="V53" s="1266"/>
      <c r="W53" s="1266"/>
      <c r="X53" s="1266"/>
      <c r="Y53" s="1266"/>
      <c r="Z53" s="1266"/>
      <c r="AA53" s="1266"/>
      <c r="AB53" s="1266"/>
      <c r="AC53" s="1266"/>
      <c r="AD53" s="1266"/>
      <c r="AE53" s="1266"/>
      <c r="AF53" s="1266"/>
      <c r="AG53" s="1266"/>
      <c r="AH53" s="1266"/>
      <c r="AI53" s="1266"/>
      <c r="AJ53" s="1266"/>
      <c r="AK53" s="1267"/>
      <c r="AM53" s="1488"/>
      <c r="AN53" s="1488" t="str">
        <f t="shared" si="2"/>
        <v>Добавить группу потребителей</v>
      </c>
      <c r="AO53" s="1488"/>
      <c r="AP53" s="1488"/>
    </row>
    <row r="54" spans="1:42" s="4866" customFormat="1" ht="5.25" customHeight="1">
      <c r="A54" s="1253" t="s">
        <v>221</v>
      </c>
      <c r="B54" s="1253" t="s">
        <v>222</v>
      </c>
      <c r="C54" s="1253" t="s">
        <v>223</v>
      </c>
      <c r="D54" s="1253" t="s">
        <v>224</v>
      </c>
      <c r="E54" s="5401"/>
      <c r="F54" s="5401"/>
      <c r="G54" s="5401"/>
      <c r="H54" s="5400"/>
      <c r="I54" s="1253"/>
      <c r="J54" s="1253"/>
      <c r="K54" s="1253"/>
      <c r="L54" s="1259"/>
      <c r="M54" s="1256"/>
      <c r="N54" s="1256"/>
      <c r="O54" s="268"/>
      <c r="P54" s="296"/>
      <c r="Q54" s="1223"/>
      <c r="R54" s="1278"/>
      <c r="S54" s="1264"/>
      <c r="T54" s="1265"/>
      <c r="U54" s="1266"/>
      <c r="V54" s="1266"/>
      <c r="W54" s="1266"/>
      <c r="X54" s="1266"/>
      <c r="Y54" s="1266"/>
      <c r="Z54" s="1266"/>
      <c r="AA54" s="1266"/>
      <c r="AB54" s="1266"/>
      <c r="AC54" s="1266"/>
      <c r="AD54" s="1266"/>
      <c r="AE54" s="1266"/>
      <c r="AF54" s="1266"/>
      <c r="AG54" s="1266"/>
      <c r="AH54" s="1266"/>
      <c r="AI54" s="1266"/>
      <c r="AJ54" s="1266"/>
      <c r="AK54" s="1267"/>
      <c r="AL54" s="1500"/>
      <c r="AM54" s="1488"/>
      <c r="AN54" s="1488" t="str">
        <f t="shared" si="2"/>
        <v/>
      </c>
      <c r="AO54" s="1488"/>
      <c r="AP54" s="1488"/>
    </row>
    <row r="55" spans="1:42" s="4864" customFormat="1" ht="5.25" customHeight="1">
      <c r="A55" s="1253" t="s">
        <v>221</v>
      </c>
      <c r="B55" s="1253" t="s">
        <v>222</v>
      </c>
      <c r="C55" s="1253" t="s">
        <v>223</v>
      </c>
      <c r="D55" s="1252"/>
      <c r="E55" s="5401"/>
      <c r="F55" s="5401"/>
      <c r="G55" s="5400"/>
      <c r="H55" s="1252"/>
      <c r="I55" s="1252"/>
      <c r="J55" s="1252"/>
      <c r="K55" s="1252"/>
      <c r="L55" s="1255"/>
      <c r="M55" s="1256"/>
      <c r="N55" s="1256"/>
      <c r="O55" s="268"/>
      <c r="P55" s="1196"/>
      <c r="Q55" s="1197"/>
      <c r="R55" s="1196"/>
      <c r="S55" s="1202"/>
      <c r="T55" s="1205" t="s">
        <v>492</v>
      </c>
      <c r="U55" s="1204"/>
      <c r="V55" s="1204"/>
      <c r="W55" s="1204"/>
      <c r="X55" s="1204"/>
      <c r="Y55" s="1204"/>
      <c r="Z55" s="1204"/>
      <c r="AA55" s="1204"/>
      <c r="AB55" s="1204"/>
      <c r="AC55" s="1204"/>
      <c r="AD55" s="1204"/>
      <c r="AE55" s="1204"/>
      <c r="AF55" s="1204"/>
      <c r="AG55" s="1204"/>
      <c r="AH55" s="1204"/>
      <c r="AI55" s="1204"/>
      <c r="AJ55" s="1204"/>
      <c r="AK55" s="1204"/>
      <c r="AM55" s="1134"/>
      <c r="AN55" s="1134" t="str">
        <f t="shared" si="2"/>
        <v>Добавить источник для дифференциации</v>
      </c>
      <c r="AO55" s="1134"/>
      <c r="AP55" s="1134"/>
    </row>
    <row r="56" spans="1:42" s="4864" customFormat="1" ht="5.25" customHeight="1">
      <c r="A56" s="1253" t="s">
        <v>221</v>
      </c>
      <c r="B56" s="1253" t="s">
        <v>222</v>
      </c>
      <c r="C56" s="1252"/>
      <c r="D56" s="1252"/>
      <c r="E56" s="5401"/>
      <c r="F56" s="5400"/>
      <c r="G56" s="1252"/>
      <c r="H56" s="1252"/>
      <c r="I56" s="1252"/>
      <c r="J56" s="1252"/>
      <c r="K56" s="1252"/>
      <c r="L56" s="1255"/>
      <c r="M56" s="1257"/>
      <c r="N56" s="1257"/>
      <c r="O56" s="268"/>
      <c r="P56" s="1196"/>
      <c r="Q56" s="1197"/>
      <c r="R56" s="1196"/>
      <c r="S56" s="1202"/>
      <c r="T56" s="1205" t="s">
        <v>271</v>
      </c>
      <c r="U56" s="1204"/>
      <c r="V56" s="1204"/>
      <c r="W56" s="1204"/>
      <c r="X56" s="1204"/>
      <c r="Y56" s="1204"/>
      <c r="Z56" s="1204"/>
      <c r="AA56" s="1204"/>
      <c r="AB56" s="1204"/>
      <c r="AC56" s="1204"/>
      <c r="AD56" s="1204"/>
      <c r="AE56" s="1204"/>
      <c r="AF56" s="1204"/>
      <c r="AG56" s="1204"/>
      <c r="AH56" s="1204"/>
      <c r="AI56" s="1204"/>
      <c r="AJ56" s="1204"/>
      <c r="AK56" s="1204"/>
      <c r="AM56" s="1134"/>
      <c r="AN56" s="1134" t="str">
        <f t="shared" si="2"/>
        <v>Добавить централизованную систему для дифференциации</v>
      </c>
      <c r="AO56" s="1134"/>
      <c r="AP56" s="1134"/>
    </row>
    <row r="57" spans="1:42" s="4867" customFormat="1" ht="5.25" customHeight="1">
      <c r="A57" s="1253" t="s">
        <v>221</v>
      </c>
      <c r="B57" s="1253"/>
      <c r="C57" s="1253"/>
      <c r="D57" s="1253"/>
      <c r="E57" s="5401"/>
      <c r="F57" s="1253"/>
      <c r="G57" s="1253"/>
      <c r="H57" s="1253"/>
      <c r="I57" s="1253"/>
      <c r="J57" s="1253"/>
      <c r="K57" s="1253"/>
      <c r="L57" s="1259"/>
      <c r="M57" s="1257"/>
      <c r="N57" s="1257"/>
      <c r="O57" s="268"/>
      <c r="P57" s="296"/>
      <c r="Q57" s="1223"/>
      <c r="R57" s="296"/>
      <c r="S57" s="1202"/>
      <c r="T57" s="1205" t="s">
        <v>330</v>
      </c>
      <c r="U57" s="1204"/>
      <c r="V57" s="1204"/>
      <c r="W57" s="1204"/>
      <c r="X57" s="1204"/>
      <c r="Y57" s="1204"/>
      <c r="Z57" s="1204"/>
      <c r="AA57" s="1204"/>
      <c r="AB57" s="1204"/>
      <c r="AC57" s="1204"/>
      <c r="AD57" s="1204"/>
      <c r="AE57" s="1204"/>
      <c r="AF57" s="1204"/>
      <c r="AG57" s="1204"/>
      <c r="AH57" s="1204"/>
      <c r="AI57" s="1204"/>
      <c r="AJ57" s="1204"/>
      <c r="AK57" s="1204"/>
      <c r="AM57" s="1488"/>
      <c r="AN57" s="1488" t="str">
        <f t="shared" si="2"/>
        <v>Добавить территорию для дифференциации</v>
      </c>
      <c r="AO57" s="1488"/>
      <c r="AP57" s="1488"/>
    </row>
    <row r="58" spans="1:42" s="4867" customFormat="1" ht="5.25" customHeight="1">
      <c r="A58" s="1253" t="s">
        <v>221</v>
      </c>
      <c r="B58" s="1253"/>
      <c r="C58" s="1253"/>
      <c r="D58" s="1253"/>
      <c r="E58" s="5400"/>
      <c r="F58" s="1253"/>
      <c r="G58" s="1253"/>
      <c r="H58" s="1253"/>
      <c r="I58" s="1253"/>
      <c r="J58" s="1253"/>
      <c r="K58" s="1253"/>
      <c r="L58" s="1259"/>
      <c r="M58" s="1257"/>
      <c r="N58" s="1257"/>
      <c r="O58" s="268"/>
      <c r="P58" s="296"/>
      <c r="Q58" s="1223"/>
      <c r="R58" s="296"/>
      <c r="S58" s="1202"/>
      <c r="T58" s="1205" t="s">
        <v>330</v>
      </c>
      <c r="U58" s="1204"/>
      <c r="V58" s="1204"/>
      <c r="W58" s="1204"/>
      <c r="X58" s="1204"/>
      <c r="Y58" s="1204"/>
      <c r="Z58" s="1204"/>
      <c r="AA58" s="1204"/>
      <c r="AB58" s="1204"/>
      <c r="AC58" s="1204"/>
      <c r="AD58" s="1204"/>
      <c r="AE58" s="1204"/>
      <c r="AF58" s="1204"/>
      <c r="AG58" s="1204"/>
      <c r="AH58" s="1204"/>
      <c r="AI58" s="1204"/>
      <c r="AJ58" s="1204"/>
      <c r="AK58" s="1204"/>
      <c r="AM58" s="1488"/>
      <c r="AN58" s="1488" t="str">
        <f t="shared" si="2"/>
        <v>Добавить территорию для дифференциации</v>
      </c>
      <c r="AO58" s="1488"/>
      <c r="AP58" s="1488"/>
    </row>
    <row r="59" spans="1:42" s="4864" customFormat="1" ht="5.25" customHeight="1">
      <c r="A59" s="1252"/>
      <c r="B59" s="1252"/>
      <c r="C59" s="1252"/>
      <c r="D59" s="1252"/>
      <c r="E59" s="1253"/>
      <c r="F59" s="1252"/>
      <c r="G59" s="1252"/>
      <c r="H59" s="1252"/>
      <c r="I59" s="1252"/>
      <c r="J59" s="1252"/>
      <c r="K59" s="1252"/>
      <c r="L59" s="1255"/>
      <c r="M59" s="1257"/>
      <c r="N59" s="1257"/>
      <c r="O59" s="268"/>
      <c r="P59" s="1196"/>
      <c r="Q59" s="1197"/>
      <c r="R59" s="1196"/>
      <c r="S59" s="1202"/>
      <c r="T59" s="1205" t="s">
        <v>331</v>
      </c>
      <c r="U59" s="1204"/>
      <c r="V59" s="1204"/>
      <c r="W59" s="1204"/>
      <c r="X59" s="1204"/>
      <c r="Y59" s="1204"/>
      <c r="Z59" s="1204"/>
      <c r="AA59" s="1204"/>
      <c r="AB59" s="1204"/>
      <c r="AC59" s="1204"/>
      <c r="AD59" s="1204"/>
      <c r="AE59" s="1204"/>
      <c r="AF59" s="1204"/>
      <c r="AG59" s="1204"/>
      <c r="AH59" s="1204"/>
      <c r="AI59" s="1204"/>
      <c r="AJ59" s="1204"/>
      <c r="AK59" s="1204"/>
      <c r="AM59" s="1134"/>
      <c r="AN59" s="1134" t="str">
        <f t="shared" si="2"/>
        <v>Добавить наименование тарифа</v>
      </c>
      <c r="AO59" s="1134"/>
      <c r="AP59" s="1134"/>
    </row>
    <row r="60" spans="1:42" ht="11.25" customHeight="1">
      <c r="M60" s="1495"/>
      <c r="N60" s="1495"/>
      <c r="O60" s="1499"/>
      <c r="P60" s="1244"/>
      <c r="Q60" s="1244"/>
      <c r="R60" s="1495"/>
      <c r="S60" s="1495"/>
      <c r="AL60" s="1495"/>
      <c r="AM60" s="1495"/>
      <c r="AN60" s="1495"/>
      <c r="AO60" s="1495"/>
      <c r="AP60" s="1495"/>
    </row>
    <row r="61" spans="1:42" ht="18.75" customHeight="1">
      <c r="O61" s="1499"/>
      <c r="S61" s="1136"/>
      <c r="T61" s="5396"/>
      <c r="U61" s="5396"/>
      <c r="V61" s="5396"/>
      <c r="W61" s="5396"/>
      <c r="X61" s="5396"/>
      <c r="Y61" s="5396"/>
      <c r="Z61" s="5396"/>
      <c r="AA61" s="5396"/>
      <c r="AB61" s="5396"/>
      <c r="AC61" s="5396"/>
      <c r="AD61" s="5396"/>
      <c r="AE61" s="5396"/>
      <c r="AF61" s="5396"/>
      <c r="AG61" s="5396"/>
      <c r="AH61" s="5396"/>
      <c r="AI61" s="5396"/>
      <c r="AJ61" s="5396"/>
      <c r="AK61" s="5396"/>
    </row>
    <row r="62" spans="1:42" ht="19.5" customHeight="1">
      <c r="O62" s="1499"/>
      <c r="T62" s="5396"/>
      <c r="U62" s="5396"/>
      <c r="V62" s="5396"/>
      <c r="W62" s="5396"/>
      <c r="X62" s="5396"/>
      <c r="Y62" s="5396"/>
      <c r="Z62" s="5396"/>
      <c r="AA62" s="5396"/>
      <c r="AB62" s="5396"/>
      <c r="AC62" s="5396"/>
      <c r="AD62" s="5396"/>
      <c r="AE62" s="5396"/>
      <c r="AF62" s="5396"/>
      <c r="AG62" s="5396"/>
      <c r="AH62" s="5396"/>
      <c r="AI62" s="5396"/>
      <c r="AJ62" s="5396"/>
      <c r="AK62" s="5396"/>
    </row>
    <row r="63" spans="1:42" ht="14.25" customHeight="1">
      <c r="O63" s="1499"/>
      <c r="T63" s="1814"/>
      <c r="U63" s="1814"/>
      <c r="V63" s="1814"/>
      <c r="W63" s="1814"/>
      <c r="X63" s="1814"/>
      <c r="Y63" s="1814"/>
      <c r="Z63" s="1814"/>
      <c r="AA63" s="1814"/>
      <c r="AB63" s="1814"/>
      <c r="AC63" s="1814"/>
      <c r="AD63" s="1814"/>
      <c r="AE63" s="1814"/>
      <c r="AF63" s="1814"/>
      <c r="AG63" s="1814"/>
      <c r="AH63" s="1814"/>
      <c r="AI63" s="1814"/>
      <c r="AJ63" s="1814"/>
      <c r="AK63" s="1814"/>
    </row>
    <row r="64" spans="1:42" ht="18.75" customHeight="1">
      <c r="O64" s="1499"/>
      <c r="T64" s="5396"/>
      <c r="U64" s="5396"/>
      <c r="V64" s="5396"/>
      <c r="W64" s="5396"/>
      <c r="X64" s="5396"/>
      <c r="Y64" s="5396"/>
      <c r="Z64" s="5396"/>
      <c r="AA64" s="5396"/>
      <c r="AB64" s="5396"/>
      <c r="AC64" s="5396"/>
      <c r="AD64" s="5396"/>
      <c r="AE64" s="5396"/>
      <c r="AF64" s="5396"/>
      <c r="AG64" s="5396"/>
      <c r="AH64" s="5396"/>
      <c r="AI64" s="5396"/>
      <c r="AJ64" s="5396"/>
      <c r="AK64" s="5396"/>
    </row>
    <row r="65" spans="15:37" ht="15.75" customHeight="1">
      <c r="O65" s="1499"/>
      <c r="T65" s="5396"/>
      <c r="U65" s="5396"/>
      <c r="V65" s="5396"/>
      <c r="W65" s="5396"/>
      <c r="X65" s="5396"/>
      <c r="Y65" s="5396"/>
      <c r="Z65" s="5396"/>
      <c r="AA65" s="5396"/>
      <c r="AB65" s="5396"/>
      <c r="AC65" s="5396"/>
      <c r="AD65" s="5396"/>
      <c r="AE65" s="5396"/>
      <c r="AF65" s="5396"/>
      <c r="AG65" s="5396"/>
      <c r="AH65" s="5396"/>
      <c r="AI65" s="5396"/>
      <c r="AJ65" s="5396"/>
      <c r="AK65" s="5396"/>
    </row>
    <row r="66" spans="15:37" ht="14.25" customHeight="1">
      <c r="O66" s="1499"/>
    </row>
  </sheetData>
  <sheetProtection insertRows="0" deleteColumns="0" deleteRows="0" sort="0" autoFilter="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4854" hidden="1" customWidth="1"/>
    <col min="2" max="2" width="11" style="4854" hidden="1" customWidth="1"/>
    <col min="3" max="3" width="10.5703125" style="4854" hidden="1"/>
    <col min="4" max="4" width="12.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2" style="4854" hidden="1" customWidth="1"/>
    <col min="10" max="10" width="9.85546875" style="4854" hidden="1" customWidth="1"/>
    <col min="11" max="11" width="11.42578125" style="4854" hidden="1" customWidth="1"/>
    <col min="12" max="12" width="19.140625" style="4879" hidden="1" customWidth="1"/>
    <col min="13" max="14" width="12.28515625" style="4858" hidden="1" customWidth="1"/>
    <col min="15" max="15" width="23.42578125" style="4858" hidden="1" customWidth="1"/>
    <col min="16" max="16" width="3.7109375" style="4858" hidden="1" customWidth="1"/>
    <col min="17" max="17" width="3.7109375" style="4874" hidden="1" customWidth="1"/>
    <col min="18" max="18" width="3.7109375" style="4860" customWidth="1"/>
    <col min="19" max="19" width="12.7109375" style="4861" customWidth="1"/>
    <col min="20" max="20" width="32" style="4862" customWidth="1"/>
    <col min="21" max="21" width="0.140625" style="4862" customWidth="1"/>
    <col min="22" max="25" width="21.7109375" style="4862" hidden="1" customWidth="1"/>
    <col min="26" max="26" width="11.7109375" style="4862" hidden="1" customWidth="1"/>
    <col min="27" max="27" width="3.7109375" style="4862" hidden="1" customWidth="1"/>
    <col min="28" max="28" width="11.7109375" style="4862" hidden="1" customWidth="1"/>
    <col min="29" max="29" width="8.5703125" style="4862" hidden="1" customWidth="1"/>
    <col min="30" max="32" width="3.7109375" style="4862" customWidth="1"/>
    <col min="33" max="33" width="24.7109375" style="4862" customWidth="1"/>
    <col min="34" max="36" width="3.7109375" style="4862" customWidth="1"/>
    <col min="37" max="37" width="24.7109375" style="4862" customWidth="1"/>
    <col min="38" max="40" width="3.7109375" style="4862" customWidth="1"/>
    <col min="41" max="41" width="18.85546875" style="4862" customWidth="1"/>
    <col min="42" max="44" width="3.7109375" style="4862" customWidth="1"/>
    <col min="45" max="45" width="18.85546875" style="4862" customWidth="1"/>
    <col min="46" max="49" width="21.7109375" style="4862" customWidth="1"/>
    <col min="50" max="50" width="11.7109375" style="4862" customWidth="1"/>
    <col min="51" max="51" width="3.7109375" style="4862" customWidth="1"/>
    <col min="52" max="52" width="11.7109375" style="4862" customWidth="1"/>
    <col min="53" max="53" width="8.5703125" style="4862" hidden="1" customWidth="1"/>
    <col min="54" max="54" width="4.7109375" style="4862" customWidth="1"/>
    <col min="55" max="55" width="115.7109375" style="4862" customWidth="1"/>
    <col min="56" max="57" width="10.5703125" style="4856"/>
    <col min="58" max="58" width="11.140625" style="4856" customWidth="1"/>
    <col min="59" max="60" width="10.5703125" style="4856"/>
  </cols>
  <sheetData>
    <row r="1" spans="1:60" ht="14.25" hidden="1" customHeight="1">
      <c r="W1" s="245"/>
      <c r="Y1" s="245"/>
      <c r="Z1" s="245"/>
      <c r="AW1" s="245"/>
      <c r="AX1" s="245"/>
    </row>
    <row r="2" spans="1:60" ht="21" hidden="1" customHeight="1">
      <c r="A2" s="1241"/>
      <c r="B2" s="1241"/>
      <c r="C2" s="1241"/>
      <c r="D2" s="1241"/>
      <c r="E2" s="5376">
        <v>1</v>
      </c>
      <c r="F2" s="1241"/>
      <c r="G2" s="1241"/>
      <c r="H2" s="1241"/>
      <c r="I2" s="1241"/>
      <c r="J2" s="1241"/>
      <c r="K2" s="1241"/>
      <c r="L2" s="1242"/>
      <c r="M2" s="1243"/>
      <c r="N2" s="1243"/>
      <c r="O2" s="1243"/>
      <c r="P2" s="1287"/>
      <c r="Q2" s="768"/>
      <c r="R2" s="272"/>
      <c r="S2" s="1339" t="e">
        <f>INDEX(PT_DIFFERENTIATION_NUM_NTAR,MATCH(A2,PT_DIFFERENTIATION_NTAR_ID,0))</f>
        <v>#N/A</v>
      </c>
      <c r="T2" s="216" t="s">
        <v>141</v>
      </c>
      <c r="U2" s="218"/>
      <c r="V2" s="5363"/>
      <c r="W2" s="5363"/>
      <c r="X2" s="5363"/>
      <c r="Y2" s="5363"/>
      <c r="Z2" s="5363"/>
      <c r="AA2" s="5363"/>
      <c r="AB2" s="5363"/>
      <c r="AC2" s="5364"/>
      <c r="AD2" s="5362" t="e">
        <f>INDEX(PT_DIFFERENTIATION_NTAR,MATCH(A2,PT_DIFFERENTIATION_NTAR_ID,0))</f>
        <v>#N/A</v>
      </c>
      <c r="AE2" s="5363"/>
      <c r="AF2" s="5363"/>
      <c r="AG2" s="5363"/>
      <c r="AH2" s="5363"/>
      <c r="AI2" s="5363"/>
      <c r="AJ2" s="5363"/>
      <c r="AK2" s="5363"/>
      <c r="AL2" s="5363"/>
      <c r="AM2" s="5363"/>
      <c r="AN2" s="5363"/>
      <c r="AO2" s="5363"/>
      <c r="AP2" s="5363"/>
      <c r="AQ2" s="5363"/>
      <c r="AR2" s="5363"/>
      <c r="AS2" s="5363"/>
      <c r="AT2" s="5363"/>
      <c r="AU2" s="5363"/>
      <c r="AV2" s="5363"/>
      <c r="AW2" s="5363"/>
      <c r="AX2" s="5363"/>
      <c r="AY2" s="5363"/>
      <c r="AZ2" s="5363"/>
      <c r="BA2" s="5363"/>
      <c r="BB2" s="5364"/>
      <c r="BC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41"/>
      <c r="B3" s="1241"/>
      <c r="C3" s="1241"/>
      <c r="D3" s="1241"/>
      <c r="E3" s="5377"/>
      <c r="F3" s="5376">
        <v>1</v>
      </c>
      <c r="G3" s="1241"/>
      <c r="H3" s="1241"/>
      <c r="I3" s="1241"/>
      <c r="J3" s="1241"/>
      <c r="K3" s="1241"/>
      <c r="L3" s="1242"/>
      <c r="M3" s="1243"/>
      <c r="N3" s="1243"/>
      <c r="O3" s="1243"/>
      <c r="P3" s="1288"/>
      <c r="Q3" s="1289"/>
      <c r="R3" s="270"/>
      <c r="S3" s="1339" t="e">
        <f>INDEX(PT_DIFFERENTIATION_NUM_TER,MATCH(B3,PT_DIFFERENTIATION_TER_ID,0))</f>
        <v>#N/A</v>
      </c>
      <c r="T3" s="226" t="s">
        <v>475</v>
      </c>
      <c r="U3" s="218"/>
      <c r="V3" s="5363"/>
      <c r="W3" s="5363"/>
      <c r="X3" s="5363"/>
      <c r="Y3" s="5363"/>
      <c r="Z3" s="5363"/>
      <c r="AA3" s="5363"/>
      <c r="AB3" s="5363"/>
      <c r="AC3" s="5364"/>
      <c r="AD3" s="5362" t="e">
        <f>INDEX(PT_DIFFERENTIATION_TER,MATCH(B3,PT_DIFFERENTIATION_TER_ID,0))</f>
        <v>#N/A</v>
      </c>
      <c r="AE3" s="5363"/>
      <c r="AF3" s="5363"/>
      <c r="AG3" s="5363"/>
      <c r="AH3" s="5363"/>
      <c r="AI3" s="5363"/>
      <c r="AJ3" s="5363"/>
      <c r="AK3" s="5363"/>
      <c r="AL3" s="5363"/>
      <c r="AM3" s="5363"/>
      <c r="AN3" s="5363"/>
      <c r="AO3" s="5363"/>
      <c r="AP3" s="5363"/>
      <c r="AQ3" s="5363"/>
      <c r="AR3" s="5363"/>
      <c r="AS3" s="5363"/>
      <c r="AT3" s="5363"/>
      <c r="AU3" s="5363"/>
      <c r="AV3" s="5363"/>
      <c r="AW3" s="5363"/>
      <c r="AX3" s="5363"/>
      <c r="AY3" s="5363"/>
      <c r="AZ3" s="5363"/>
      <c r="BA3" s="5363"/>
      <c r="BB3" s="5364"/>
      <c r="BC3" s="1141" t="s">
        <v>476</v>
      </c>
      <c r="BE3" s="408"/>
      <c r="BF3" s="408" t="str">
        <f t="shared" si="0"/>
        <v>Территория действия тарифа</v>
      </c>
      <c r="BG3" s="408"/>
      <c r="BH3" s="408"/>
    </row>
    <row r="4" spans="1:60" ht="42" hidden="1" customHeight="1">
      <c r="A4" s="1241"/>
      <c r="B4" s="1241"/>
      <c r="C4" s="1241"/>
      <c r="D4" s="1241"/>
      <c r="E4" s="5377"/>
      <c r="F4" s="5377"/>
      <c r="G4" s="5376">
        <v>1</v>
      </c>
      <c r="H4" s="1241"/>
      <c r="I4" s="1241"/>
      <c r="J4" s="1241"/>
      <c r="K4" s="1241"/>
      <c r="L4" s="1242"/>
      <c r="M4" s="1243"/>
      <c r="N4" s="1243"/>
      <c r="O4" s="1243"/>
      <c r="P4" s="1290"/>
      <c r="Q4" s="1289"/>
      <c r="R4" s="270"/>
      <c r="S4" s="1339" t="e">
        <f>INDEX(PT_DIFFERENTIATION_NUM_CS,MATCH(C4,PT_DIFFERENTIATION_CS_ID,0))</f>
        <v>#N/A</v>
      </c>
      <c r="T4" s="227" t="s">
        <v>557</v>
      </c>
      <c r="U4" s="218"/>
      <c r="V4" s="5363"/>
      <c r="W4" s="5363"/>
      <c r="X4" s="5363"/>
      <c r="Y4" s="5363"/>
      <c r="Z4" s="5363"/>
      <c r="AA4" s="5363"/>
      <c r="AB4" s="5363"/>
      <c r="AC4" s="5364"/>
      <c r="AD4" s="5362" t="e">
        <f>INDEX(PT_DIFFERENTIATION_CS,MATCH(C4,PT_DIFFERENTIATION_CS_ID,0))</f>
        <v>#N/A</v>
      </c>
      <c r="AE4" s="5363"/>
      <c r="AF4" s="5363"/>
      <c r="AG4" s="5363"/>
      <c r="AH4" s="5363"/>
      <c r="AI4" s="5363"/>
      <c r="AJ4" s="5363"/>
      <c r="AK4" s="5363"/>
      <c r="AL4" s="5363"/>
      <c r="AM4" s="5363"/>
      <c r="AN4" s="5363"/>
      <c r="AO4" s="5363"/>
      <c r="AP4" s="5363"/>
      <c r="AQ4" s="5363"/>
      <c r="AR4" s="5363"/>
      <c r="AS4" s="5363"/>
      <c r="AT4" s="5363"/>
      <c r="AU4" s="5363"/>
      <c r="AV4" s="5363"/>
      <c r="AW4" s="5363"/>
      <c r="AX4" s="5363"/>
      <c r="AY4" s="5363"/>
      <c r="AZ4" s="5363"/>
      <c r="BA4" s="5363"/>
      <c r="BB4" s="5364"/>
      <c r="BC4" s="1141" t="s">
        <v>558</v>
      </c>
      <c r="BE4" s="408"/>
      <c r="BF4" s="408" t="str">
        <f t="shared" si="0"/>
        <v>Наименование централизованной системы холодного водоснабжения</v>
      </c>
      <c r="BG4" s="408"/>
      <c r="BH4" s="408"/>
    </row>
    <row r="5" spans="1:60" s="4856" customFormat="1" ht="14.25" hidden="1" customHeight="1">
      <c r="A5" s="1222"/>
      <c r="B5" s="1222"/>
      <c r="C5" s="1222"/>
      <c r="D5" s="1222"/>
      <c r="E5" s="5377"/>
      <c r="F5" s="5377"/>
      <c r="G5" s="5377"/>
      <c r="H5" s="5376">
        <v>1</v>
      </c>
      <c r="I5" s="1222"/>
      <c r="J5" s="1222"/>
      <c r="K5" s="1222"/>
      <c r="L5" s="1225"/>
      <c r="M5" s="1195"/>
      <c r="N5" s="1195"/>
      <c r="O5" s="1195"/>
      <c r="P5" s="1369"/>
      <c r="Q5" s="1370"/>
      <c r="R5" s="274"/>
      <c r="S5" s="931"/>
      <c r="T5" s="1371"/>
      <c r="U5" s="1262"/>
      <c r="V5" s="5406"/>
      <c r="W5" s="5406"/>
      <c r="X5" s="5406"/>
      <c r="Y5" s="5406"/>
      <c r="Z5" s="5406"/>
      <c r="AA5" s="5406"/>
      <c r="AB5" s="5406"/>
      <c r="AC5" s="5407"/>
      <c r="AD5" s="5405"/>
      <c r="AE5" s="5406"/>
      <c r="AF5" s="5406"/>
      <c r="AG5" s="5406"/>
      <c r="AH5" s="5406"/>
      <c r="AI5" s="5406"/>
      <c r="AJ5" s="5406"/>
      <c r="AK5" s="5406"/>
      <c r="AL5" s="5406"/>
      <c r="AM5" s="5406"/>
      <c r="AN5" s="5406"/>
      <c r="AO5" s="5406"/>
      <c r="AP5" s="5406"/>
      <c r="AQ5" s="5406"/>
      <c r="AR5" s="5406"/>
      <c r="AS5" s="5406"/>
      <c r="AT5" s="5406"/>
      <c r="AU5" s="5406"/>
      <c r="AV5" s="5406"/>
      <c r="AW5" s="5406"/>
      <c r="AX5" s="5406"/>
      <c r="AY5" s="5406"/>
      <c r="AZ5" s="5406"/>
      <c r="BA5" s="5406"/>
      <c r="BB5" s="5407"/>
      <c r="BC5" s="1263" t="s">
        <v>480</v>
      </c>
      <c r="BE5" s="408"/>
      <c r="BF5" s="408" t="str">
        <f t="shared" si="0"/>
        <v/>
      </c>
      <c r="BG5" s="408"/>
      <c r="BH5" s="408"/>
    </row>
    <row r="6" spans="1:60" s="4856" customFormat="1" ht="14.25" hidden="1" customHeight="1">
      <c r="A6" s="1222"/>
      <c r="B6" s="1222"/>
      <c r="C6" s="1222"/>
      <c r="D6" s="1222"/>
      <c r="E6" s="5377"/>
      <c r="F6" s="5377"/>
      <c r="G6" s="5377"/>
      <c r="H6" s="5377"/>
      <c r="I6" s="5374" t="str">
        <f>S5&amp;".1"</f>
        <v>.1</v>
      </c>
      <c r="J6" s="1222"/>
      <c r="K6" s="1222"/>
      <c r="L6" s="1225" t="s">
        <v>481</v>
      </c>
      <c r="M6" s="418"/>
      <c r="N6" s="418"/>
      <c r="O6" s="418"/>
      <c r="P6" s="5375">
        <v>1</v>
      </c>
      <c r="Q6" s="1336"/>
      <c r="R6" s="273"/>
      <c r="S6" s="931"/>
      <c r="T6" s="1261"/>
      <c r="U6" s="1262"/>
      <c r="V6" s="5406"/>
      <c r="W6" s="5406"/>
      <c r="X6" s="5406"/>
      <c r="Y6" s="5406"/>
      <c r="Z6" s="5406"/>
      <c r="AA6" s="5406"/>
      <c r="AB6" s="5406"/>
      <c r="AC6" s="5407"/>
      <c r="AD6" s="5405"/>
      <c r="AE6" s="5406"/>
      <c r="AF6" s="5406"/>
      <c r="AG6" s="5406"/>
      <c r="AH6" s="5406"/>
      <c r="AI6" s="5406"/>
      <c r="AJ6" s="5406"/>
      <c r="AK6" s="5406"/>
      <c r="AL6" s="5406"/>
      <c r="AM6" s="5406"/>
      <c r="AN6" s="5406"/>
      <c r="AO6" s="5406"/>
      <c r="AP6" s="5406"/>
      <c r="AQ6" s="5406"/>
      <c r="AR6" s="5406"/>
      <c r="AS6" s="5406"/>
      <c r="AT6" s="5406"/>
      <c r="AU6" s="5406"/>
      <c r="AV6" s="5406"/>
      <c r="AW6" s="5406"/>
      <c r="AX6" s="5406"/>
      <c r="AY6" s="5406"/>
      <c r="AZ6" s="5406"/>
      <c r="BA6" s="5406"/>
      <c r="BB6" s="5407"/>
      <c r="BC6" s="1263"/>
      <c r="BE6" s="408"/>
      <c r="BF6" s="408" t="str">
        <f t="shared" si="0"/>
        <v/>
      </c>
      <c r="BG6" s="408"/>
      <c r="BH6" s="408"/>
    </row>
    <row r="7" spans="1:60" s="4856" customFormat="1" ht="14.25" hidden="1" customHeight="1">
      <c r="A7" s="1222"/>
      <c r="B7" s="1222"/>
      <c r="C7" s="1222"/>
      <c r="D7" s="1222"/>
      <c r="E7" s="5377"/>
      <c r="F7" s="5377"/>
      <c r="G7" s="5377"/>
      <c r="H7" s="5377"/>
      <c r="I7" s="5397"/>
      <c r="J7" s="5374" t="str">
        <f>S5&amp;".1"</f>
        <v>.1</v>
      </c>
      <c r="K7" s="1222"/>
      <c r="L7" s="1225"/>
      <c r="M7" s="418"/>
      <c r="N7" s="418"/>
      <c r="O7" s="418"/>
      <c r="P7" s="5375"/>
      <c r="Q7" s="5375">
        <v>1</v>
      </c>
      <c r="R7" s="274"/>
      <c r="S7" s="931"/>
      <c r="T7" s="1277"/>
      <c r="U7" s="1262"/>
      <c r="V7" s="5406"/>
      <c r="W7" s="5406"/>
      <c r="X7" s="5406"/>
      <c r="Y7" s="5406"/>
      <c r="Z7" s="5406"/>
      <c r="AA7" s="5406"/>
      <c r="AB7" s="5406"/>
      <c r="AC7" s="5407"/>
      <c r="AD7" s="5405"/>
      <c r="AE7" s="5406"/>
      <c r="AF7" s="5406"/>
      <c r="AG7" s="5406"/>
      <c r="AH7" s="5406"/>
      <c r="AI7" s="5406"/>
      <c r="AJ7" s="5406"/>
      <c r="AK7" s="5406"/>
      <c r="AL7" s="5406"/>
      <c r="AM7" s="5406"/>
      <c r="AN7" s="5406"/>
      <c r="AO7" s="5406"/>
      <c r="AP7" s="5406"/>
      <c r="AQ7" s="5406"/>
      <c r="AR7" s="5406"/>
      <c r="AS7" s="5406"/>
      <c r="AT7" s="5406"/>
      <c r="AU7" s="5406"/>
      <c r="AV7" s="5406"/>
      <c r="AW7" s="5406"/>
      <c r="AX7" s="5406"/>
      <c r="AY7" s="5406"/>
      <c r="AZ7" s="5406"/>
      <c r="BA7" s="5406"/>
      <c r="BB7" s="5407"/>
      <c r="BC7" s="1263"/>
      <c r="BE7" s="408"/>
      <c r="BF7" s="408" t="str">
        <f t="shared" si="0"/>
        <v/>
      </c>
      <c r="BG7" s="408"/>
      <c r="BH7" s="408"/>
    </row>
    <row r="8" spans="1:60" ht="11.25" hidden="1" customHeight="1">
      <c r="A8" s="1241"/>
      <c r="B8" s="1241"/>
      <c r="C8" s="1241"/>
      <c r="D8" s="1241"/>
      <c r="E8" s="5377"/>
      <c r="F8" s="5377"/>
      <c r="G8" s="5377"/>
      <c r="H8" s="5377"/>
      <c r="I8" s="5397"/>
      <c r="J8" s="5397"/>
      <c r="K8" s="5374" t="e">
        <f>S4&amp;".1"</f>
        <v>#N/A</v>
      </c>
      <c r="L8" s="1242"/>
      <c r="P8" s="5375"/>
      <c r="Q8" s="5375"/>
      <c r="R8" s="5432">
        <v>1</v>
      </c>
      <c r="S8" s="5426" t="e">
        <f>$K8</f>
        <v>#N/A</v>
      </c>
      <c r="T8" s="5445"/>
      <c r="U8" s="218"/>
      <c r="V8" s="650"/>
      <c r="W8" s="1140"/>
      <c r="X8" s="650"/>
      <c r="Y8" s="1140"/>
      <c r="Z8" s="1597"/>
      <c r="AA8" s="1334" t="s">
        <v>64</v>
      </c>
      <c r="AB8" s="1597"/>
      <c r="AC8" s="1334" t="s">
        <v>64</v>
      </c>
      <c r="AD8" s="5296" t="s">
        <v>64</v>
      </c>
      <c r="AE8" s="5412"/>
      <c r="AF8" s="5332">
        <v>1</v>
      </c>
      <c r="AG8" s="5449"/>
      <c r="AH8" s="5225" t="s">
        <v>64</v>
      </c>
      <c r="AI8" s="5412"/>
      <c r="AJ8" s="5332">
        <v>1</v>
      </c>
      <c r="AK8" s="5448" t="s">
        <v>24</v>
      </c>
      <c r="AL8" s="5225" t="s">
        <v>64</v>
      </c>
      <c r="AM8" s="5322"/>
      <c r="AN8" s="5332">
        <v>1</v>
      </c>
      <c r="AO8" s="5442"/>
      <c r="AP8" s="5443" t="s">
        <v>64</v>
      </c>
      <c r="AQ8" s="229"/>
      <c r="AR8" s="1337">
        <v>1</v>
      </c>
      <c r="AS8" s="1340" t="s">
        <v>24</v>
      </c>
      <c r="AT8" s="650"/>
      <c r="AU8" s="1140"/>
      <c r="AV8" s="650"/>
      <c r="AW8" s="1140"/>
      <c r="AX8" s="1597"/>
      <c r="AY8" s="1334" t="s">
        <v>64</v>
      </c>
      <c r="AZ8" s="1597"/>
      <c r="BA8" s="1334" t="s">
        <v>64</v>
      </c>
      <c r="BB8" s="1227"/>
      <c r="BC8" s="5371" t="s">
        <v>577</v>
      </c>
      <c r="BE8" s="408"/>
      <c r="BF8" s="408" t="str">
        <f t="shared" si="0"/>
        <v/>
      </c>
      <c r="BG8" s="408"/>
      <c r="BH8" s="408"/>
    </row>
    <row r="9" spans="1:60" ht="11.25" hidden="1" customHeight="1">
      <c r="A9" s="1241"/>
      <c r="B9" s="1241"/>
      <c r="C9" s="1241"/>
      <c r="D9" s="1241"/>
      <c r="E9" s="5377"/>
      <c r="F9" s="5377"/>
      <c r="G9" s="5377"/>
      <c r="H9" s="5377"/>
      <c r="I9" s="5397"/>
      <c r="J9" s="5397"/>
      <c r="K9" s="5374"/>
      <c r="L9" s="1242"/>
      <c r="P9" s="5375"/>
      <c r="Q9" s="5375"/>
      <c r="R9" s="5432"/>
      <c r="S9" s="5427"/>
      <c r="T9" s="5446"/>
      <c r="U9" s="218"/>
      <c r="V9" s="1271"/>
      <c r="W9" s="1368"/>
      <c r="X9" s="1271"/>
      <c r="Y9" s="1368"/>
      <c r="Z9" s="1271"/>
      <c r="AA9" s="1271"/>
      <c r="AB9" s="1271"/>
      <c r="AC9" s="1271"/>
      <c r="AD9" s="5297"/>
      <c r="AE9" s="5412"/>
      <c r="AF9" s="5332"/>
      <c r="AG9" s="5449"/>
      <c r="AH9" s="5225"/>
      <c r="AI9" s="5412"/>
      <c r="AJ9" s="5332"/>
      <c r="AK9" s="5448"/>
      <c r="AL9" s="5225"/>
      <c r="AM9" s="5327"/>
      <c r="AN9" s="5332"/>
      <c r="AO9" s="5442"/>
      <c r="AP9" s="5444"/>
      <c r="AQ9" s="234"/>
      <c r="AR9" s="332"/>
      <c r="AS9" s="332" t="s">
        <v>578</v>
      </c>
      <c r="AT9" s="1271"/>
      <c r="AU9" s="1368"/>
      <c r="AV9" s="1271"/>
      <c r="AW9" s="1368"/>
      <c r="AX9" s="1271"/>
      <c r="AY9" s="1271"/>
      <c r="AZ9" s="1271"/>
      <c r="BA9" s="1271"/>
      <c r="BB9" s="1275"/>
      <c r="BC9" s="5372"/>
      <c r="BE9" s="408"/>
      <c r="BF9" s="408"/>
      <c r="BG9" s="408"/>
      <c r="BH9" s="408"/>
    </row>
    <row r="10" spans="1:60" ht="11.25" hidden="1" customHeight="1">
      <c r="A10" s="1241"/>
      <c r="B10" s="1241"/>
      <c r="C10" s="1241"/>
      <c r="D10" s="1241"/>
      <c r="E10" s="5377"/>
      <c r="F10" s="5377"/>
      <c r="G10" s="5377"/>
      <c r="H10" s="5377"/>
      <c r="I10" s="5397"/>
      <c r="J10" s="5397"/>
      <c r="K10" s="5374"/>
      <c r="L10" s="1242"/>
      <c r="P10" s="5375"/>
      <c r="Q10" s="5375"/>
      <c r="R10" s="5432"/>
      <c r="S10" s="5427"/>
      <c r="T10" s="5446"/>
      <c r="U10" s="218"/>
      <c r="V10" s="1271"/>
      <c r="W10" s="1368"/>
      <c r="X10" s="1271"/>
      <c r="Y10" s="1368"/>
      <c r="Z10" s="1271"/>
      <c r="AA10" s="1271"/>
      <c r="AB10" s="1271"/>
      <c r="AC10" s="1271"/>
      <c r="AD10" s="5297"/>
      <c r="AE10" s="5412"/>
      <c r="AF10" s="5332"/>
      <c r="AG10" s="5449"/>
      <c r="AH10" s="5225"/>
      <c r="AI10" s="5412"/>
      <c r="AJ10" s="5332"/>
      <c r="AK10" s="5448"/>
      <c r="AL10" s="5225"/>
      <c r="AM10" s="234"/>
      <c r="AN10" s="1372"/>
      <c r="AO10" s="1372" t="s">
        <v>579</v>
      </c>
      <c r="AP10" s="332"/>
      <c r="AQ10" s="332"/>
      <c r="AR10" s="332"/>
      <c r="AS10" s="1271"/>
      <c r="AT10" s="1271"/>
      <c r="AU10" s="1368"/>
      <c r="AV10" s="1271"/>
      <c r="AW10" s="1368"/>
      <c r="AX10" s="1271"/>
      <c r="AY10" s="1271"/>
      <c r="AZ10" s="1271"/>
      <c r="BA10" s="1271"/>
      <c r="BB10" s="1275"/>
      <c r="BC10" s="5372"/>
      <c r="BE10" s="408"/>
      <c r="BF10" s="408"/>
      <c r="BG10" s="408"/>
      <c r="BH10" s="408"/>
    </row>
    <row r="11" spans="1:60" ht="11.25" hidden="1" customHeight="1">
      <c r="A11" s="1241"/>
      <c r="B11" s="1241"/>
      <c r="C11" s="1241"/>
      <c r="D11" s="1241"/>
      <c r="E11" s="5377"/>
      <c r="F11" s="5377"/>
      <c r="G11" s="5377"/>
      <c r="H11" s="5377"/>
      <c r="I11" s="5397"/>
      <c r="J11" s="5397"/>
      <c r="K11" s="5374"/>
      <c r="L11" s="1242"/>
      <c r="P11" s="5375"/>
      <c r="Q11" s="5375"/>
      <c r="R11" s="5432"/>
      <c r="S11" s="5427"/>
      <c r="T11" s="5446"/>
      <c r="U11" s="218"/>
      <c r="V11" s="1271"/>
      <c r="W11" s="1368"/>
      <c r="X11" s="1271"/>
      <c r="Y11" s="1368"/>
      <c r="Z11" s="1271"/>
      <c r="AA11" s="1271"/>
      <c r="AB11" s="1271"/>
      <c r="AC11" s="1271"/>
      <c r="AD11" s="5297"/>
      <c r="AE11" s="5412"/>
      <c r="AF11" s="5332"/>
      <c r="AG11" s="5449"/>
      <c r="AH11" s="5225"/>
      <c r="AI11" s="212"/>
      <c r="AJ11" s="331"/>
      <c r="AK11" s="231" t="s">
        <v>580</v>
      </c>
      <c r="AL11" s="1271"/>
      <c r="AM11" s="1271"/>
      <c r="AN11" s="1271"/>
      <c r="AO11" s="1271"/>
      <c r="AP11" s="1271"/>
      <c r="AQ11" s="1271"/>
      <c r="AR11" s="1271"/>
      <c r="AS11" s="1271"/>
      <c r="AT11" s="1271"/>
      <c r="AU11" s="1368"/>
      <c r="AV11" s="1271"/>
      <c r="AW11" s="1368"/>
      <c r="AX11" s="1271"/>
      <c r="AY11" s="1271"/>
      <c r="AZ11" s="1271"/>
      <c r="BA11" s="1271"/>
      <c r="BB11" s="1275"/>
      <c r="BC11" s="5372"/>
      <c r="BE11" s="408"/>
      <c r="BF11" s="408"/>
      <c r="BG11" s="408"/>
      <c r="BH11" s="408"/>
    </row>
    <row r="12" spans="1:60" ht="11.25" hidden="1" customHeight="1">
      <c r="A12" s="1241"/>
      <c r="B12" s="1241"/>
      <c r="C12" s="1241"/>
      <c r="D12" s="1241"/>
      <c r="E12" s="5377"/>
      <c r="F12" s="5377"/>
      <c r="G12" s="5377"/>
      <c r="H12" s="5377"/>
      <c r="I12" s="5397"/>
      <c r="J12" s="5397"/>
      <c r="K12" s="5374"/>
      <c r="L12" s="1242"/>
      <c r="P12" s="5375"/>
      <c r="Q12" s="5375"/>
      <c r="R12" s="5432"/>
      <c r="S12" s="5428"/>
      <c r="T12" s="5447"/>
      <c r="U12" s="218"/>
      <c r="V12" s="1271"/>
      <c r="W12" s="1272" t="str">
        <f>Z8&amp;"-"&amp;AB8</f>
        <v>-</v>
      </c>
      <c r="X12" s="1271"/>
      <c r="Y12" s="1272" t="str">
        <f>AB8&amp;"-"&amp;AD8</f>
        <v>-да</v>
      </c>
      <c r="Z12" s="1271"/>
      <c r="AA12" s="1271"/>
      <c r="AB12" s="1271"/>
      <c r="AC12" s="1271"/>
      <c r="AD12" s="5230"/>
      <c r="AE12" s="230"/>
      <c r="AF12" s="232"/>
      <c r="AG12" s="332" t="s">
        <v>581</v>
      </c>
      <c r="AH12" s="1271"/>
      <c r="AI12" s="1271"/>
      <c r="AJ12" s="1271"/>
      <c r="AK12" s="1271"/>
      <c r="AL12" s="1271"/>
      <c r="AM12" s="1271"/>
      <c r="AN12" s="1271"/>
      <c r="AO12" s="1271"/>
      <c r="AP12" s="1271"/>
      <c r="AQ12" s="1271"/>
      <c r="AR12" s="1271"/>
      <c r="AS12" s="1271"/>
      <c r="AT12" s="1271"/>
      <c r="AU12" s="1272" t="str">
        <f>AX8&amp;"-"&amp;AZ8</f>
        <v>-</v>
      </c>
      <c r="AV12" s="1271"/>
      <c r="AW12" s="1272" t="str">
        <f>AZ8&amp;"-"&amp;BB8</f>
        <v>-</v>
      </c>
      <c r="AX12" s="1271"/>
      <c r="AY12" s="1271"/>
      <c r="AZ12" s="1271"/>
      <c r="BA12" s="1271"/>
      <c r="BB12" s="1274" t="str">
        <f>BE8&amp;"-"&amp;BG8</f>
        <v>-</v>
      </c>
      <c r="BC12" s="5372"/>
      <c r="BE12" s="408"/>
      <c r="BF12" s="408" t="str">
        <f t="shared" ref="BF12:BF18" si="1">IF(T12="","",T12)</f>
        <v/>
      </c>
      <c r="BG12" s="408"/>
      <c r="BH12" s="408"/>
    </row>
    <row r="13" spans="1:60" ht="11.25" hidden="1" customHeight="1">
      <c r="A13" s="1241"/>
      <c r="B13" s="1241"/>
      <c r="C13" s="1241"/>
      <c r="D13" s="1241"/>
      <c r="E13" s="5377"/>
      <c r="F13" s="5377"/>
      <c r="G13" s="5377"/>
      <c r="H13" s="5377"/>
      <c r="I13" s="5397"/>
      <c r="J13" s="5374"/>
      <c r="K13" s="1241"/>
      <c r="L13" s="1242"/>
      <c r="P13" s="5375"/>
      <c r="Q13" s="5375"/>
      <c r="R13" s="273"/>
      <c r="S13" s="1161"/>
      <c r="T13" s="205" t="s">
        <v>543</v>
      </c>
      <c r="U13" s="283"/>
      <c r="V13" s="283"/>
      <c r="W13" s="283"/>
      <c r="X13" s="283"/>
      <c r="Y13" s="283"/>
      <c r="Z13" s="283"/>
      <c r="AA13" s="283"/>
      <c r="AB13" s="283"/>
      <c r="AC13" s="283"/>
      <c r="AD13" s="1377"/>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5373"/>
      <c r="BE13" s="408"/>
      <c r="BF13" s="408" t="str">
        <f t="shared" si="1"/>
        <v>Добавить строку</v>
      </c>
      <c r="BG13" s="408"/>
      <c r="BH13" s="408"/>
    </row>
    <row r="14" spans="1:60" s="4856" customFormat="1" ht="14.25" hidden="1" customHeight="1">
      <c r="A14" s="1222"/>
      <c r="B14" s="1222"/>
      <c r="C14" s="1222"/>
      <c r="D14" s="1222"/>
      <c r="E14" s="5377"/>
      <c r="F14" s="5377"/>
      <c r="G14" s="5377"/>
      <c r="H14" s="5377"/>
      <c r="I14" s="5374"/>
      <c r="J14" s="1222"/>
      <c r="K14" s="1222"/>
      <c r="L14" s="1225"/>
      <c r="M14" s="418"/>
      <c r="N14" s="418"/>
      <c r="O14" s="418"/>
      <c r="P14" s="5375"/>
      <c r="Q14" s="1336"/>
      <c r="R14" s="273"/>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7"/>
      <c r="BE14" s="408"/>
      <c r="BF14" s="408" t="str">
        <f t="shared" si="1"/>
        <v/>
      </c>
      <c r="BG14" s="408"/>
      <c r="BH14" s="408"/>
    </row>
    <row r="15" spans="1:60" s="4856" customFormat="1" ht="14.25" hidden="1" customHeight="1">
      <c r="A15" s="1222"/>
      <c r="B15" s="1222"/>
      <c r="C15" s="1222"/>
      <c r="D15" s="1222"/>
      <c r="E15" s="5377"/>
      <c r="F15" s="5377"/>
      <c r="G15" s="5377"/>
      <c r="H15" s="5376"/>
      <c r="I15" s="1222"/>
      <c r="J15" s="1222"/>
      <c r="K15" s="1222"/>
      <c r="L15" s="1225"/>
      <c r="M15" s="1195"/>
      <c r="N15" s="1195"/>
      <c r="O15" s="426"/>
      <c r="P15" s="296"/>
      <c r="Q15" s="1223"/>
      <c r="R15" s="1279"/>
      <c r="S15" s="1264"/>
      <c r="T15" s="1265"/>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7"/>
      <c r="BE15" s="408"/>
      <c r="BF15" s="408" t="str">
        <f t="shared" si="1"/>
        <v/>
      </c>
      <c r="BG15" s="408"/>
      <c r="BH15" s="408"/>
    </row>
    <row r="16" spans="1:60" s="4853" customFormat="1" ht="14.25" hidden="1" customHeight="1">
      <c r="A16" s="1222"/>
      <c r="B16" s="1222"/>
      <c r="C16" s="1222"/>
      <c r="D16" s="1194"/>
      <c r="E16" s="5377"/>
      <c r="F16" s="5377"/>
      <c r="G16" s="5376"/>
      <c r="H16" s="1194"/>
      <c r="I16" s="1194"/>
      <c r="J16" s="1194"/>
      <c r="K16" s="1194"/>
      <c r="L16" s="1338"/>
      <c r="M16" s="1195"/>
      <c r="N16" s="1195"/>
      <c r="P16" s="1196"/>
      <c r="Q16" s="1197"/>
      <c r="R16" s="1196"/>
      <c r="S16" s="1202"/>
      <c r="T16" s="1205"/>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E16" s="688"/>
      <c r="BF16" s="688" t="str">
        <f t="shared" si="1"/>
        <v/>
      </c>
      <c r="BG16" s="688"/>
      <c r="BH16" s="688"/>
    </row>
    <row r="17" spans="1:60" s="4853" customFormat="1" ht="14.25" hidden="1" customHeight="1">
      <c r="A17" s="1222"/>
      <c r="B17" s="1222"/>
      <c r="C17" s="1194"/>
      <c r="D17" s="1194"/>
      <c r="E17" s="5377"/>
      <c r="F17" s="5376"/>
      <c r="G17" s="1194"/>
      <c r="H17" s="1194"/>
      <c r="I17" s="1194"/>
      <c r="J17" s="1194"/>
      <c r="K17" s="1194"/>
      <c r="L17" s="1338"/>
      <c r="M17" s="1201"/>
      <c r="N17" s="1201"/>
      <c r="P17" s="1196"/>
      <c r="Q17" s="1197"/>
      <c r="R17" s="1196"/>
      <c r="S17" s="1202"/>
      <c r="T17" s="1205" t="s">
        <v>271</v>
      </c>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E17" s="688"/>
      <c r="BF17" s="688" t="str">
        <f t="shared" si="1"/>
        <v>Добавить централизованную систему для дифференциации</v>
      </c>
      <c r="BG17" s="688"/>
      <c r="BH17" s="688"/>
    </row>
    <row r="18" spans="1:60" s="4856" customFormat="1" ht="14.25" hidden="1" customHeight="1">
      <c r="A18" s="1222"/>
      <c r="B18" s="1222"/>
      <c r="C18" s="1222"/>
      <c r="D18" s="1222"/>
      <c r="E18" s="5376"/>
      <c r="F18" s="1222"/>
      <c r="G18" s="1222"/>
      <c r="H18" s="1222"/>
      <c r="I18" s="1222"/>
      <c r="J18" s="1222"/>
      <c r="K18" s="1222"/>
      <c r="L18" s="1225"/>
      <c r="M18" s="1201"/>
      <c r="N18" s="1201"/>
      <c r="O18" s="426"/>
      <c r="P18" s="296"/>
      <c r="Q18" s="1223"/>
      <c r="R18" s="296"/>
      <c r="S18" s="1202"/>
      <c r="T18" s="1205" t="s">
        <v>330</v>
      </c>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4" t="s">
        <v>54</v>
      </c>
      <c r="AE20" s="1373"/>
      <c r="AF20" s="455">
        <v>1</v>
      </c>
      <c r="AG20" s="1374"/>
      <c r="AH20" s="1204" t="s">
        <v>54</v>
      </c>
      <c r="AI20" s="1373"/>
      <c r="AJ20" s="455">
        <v>1</v>
      </c>
      <c r="AK20" s="1374"/>
      <c r="AL20" s="1204" t="s">
        <v>54</v>
      </c>
      <c r="AM20" s="1375"/>
      <c r="AN20" s="455">
        <v>1</v>
      </c>
      <c r="AO20" s="1376"/>
      <c r="AP20" s="1204" t="s">
        <v>54</v>
      </c>
      <c r="AQ20" s="1375"/>
      <c r="AR20" s="455">
        <v>1</v>
      </c>
      <c r="AS20" s="1376"/>
      <c r="AT20" s="243"/>
      <c r="AU20" s="300"/>
      <c r="AV20" s="243"/>
      <c r="AW20" s="300"/>
      <c r="AX20" s="1599"/>
      <c r="AY20" s="1335" t="s">
        <v>64</v>
      </c>
      <c r="AZ20" s="1599"/>
      <c r="BA20" s="1335" t="s">
        <v>64</v>
      </c>
    </row>
    <row r="21" spans="1:60" ht="14.25" hidden="1" customHeight="1">
      <c r="BD21" s="404"/>
      <c r="BE21" s="404"/>
      <c r="BF21" s="404"/>
      <c r="BG21" s="404"/>
      <c r="BH21" s="404"/>
    </row>
    <row r="22" spans="1:60" ht="14.25" hidden="1" customHeight="1">
      <c r="O22" s="1245" t="s">
        <v>493</v>
      </c>
      <c r="Z22" s="1224"/>
      <c r="AB22" s="1224"/>
      <c r="AC22" s="245"/>
      <c r="AX22" s="1224"/>
      <c r="AZ22" s="1224"/>
      <c r="BA22" s="245"/>
      <c r="BD22" s="404"/>
      <c r="BE22" s="404"/>
      <c r="BF22" s="404"/>
      <c r="BG22" s="404"/>
      <c r="BH22" s="404"/>
    </row>
    <row r="23" spans="1:60" ht="14.25" hidden="1" customHeight="1">
      <c r="AC23" s="245"/>
      <c r="BA23" s="245"/>
      <c r="BD23" s="404"/>
      <c r="BE23" s="404"/>
      <c r="BF23" s="404"/>
      <c r="BG23" s="404"/>
      <c r="BH23" s="404"/>
    </row>
    <row r="24" spans="1:60" s="4873" customFormat="1" ht="14.25" hidden="1" customHeight="1">
      <c r="M24" s="1380"/>
      <c r="N24" s="1380"/>
      <c r="O24" s="1381" t="s">
        <v>494</v>
      </c>
      <c r="P24" s="1380"/>
      <c r="Q24" s="1382"/>
      <c r="R24" s="1382"/>
      <c r="AA24" s="1379" t="s">
        <v>496</v>
      </c>
      <c r="AC24" s="1379" t="s">
        <v>497</v>
      </c>
      <c r="AD24" s="1379" t="s">
        <v>544</v>
      </c>
      <c r="AH24" s="1379" t="s">
        <v>544</v>
      </c>
      <c r="AK24" s="1379" t="s">
        <v>582</v>
      </c>
      <c r="AL24" s="1379" t="s">
        <v>544</v>
      </c>
      <c r="AP24" s="1379" t="s">
        <v>544</v>
      </c>
      <c r="AY24" s="1379" t="s">
        <v>496</v>
      </c>
      <c r="BA24" s="1379" t="s">
        <v>497</v>
      </c>
      <c r="BD24" s="1383"/>
      <c r="BE24" s="1383"/>
      <c r="BF24" s="1383"/>
      <c r="BG24" s="1383"/>
      <c r="BH24" s="1383"/>
    </row>
    <row r="25" spans="1:60" ht="14.25" hidden="1" customHeight="1">
      <c r="O25" s="1242"/>
      <c r="BD25" s="404"/>
      <c r="BE25" s="404"/>
      <c r="BF25" s="404"/>
      <c r="BG25" s="404"/>
      <c r="BH25" s="404"/>
    </row>
    <row r="26" spans="1:60" ht="14.25" hidden="1" customHeight="1">
      <c r="O26" s="1242"/>
      <c r="BD26" s="404"/>
      <c r="BE26" s="404"/>
      <c r="BF26" s="404"/>
      <c r="BG26" s="404"/>
      <c r="BH26" s="404"/>
    </row>
    <row r="27" spans="1:60" ht="14.25" customHeight="1">
      <c r="Q27" s="209"/>
      <c r="R27" s="292"/>
      <c r="S27" s="1158"/>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5360"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5360"/>
      <c r="U28" s="5360"/>
      <c r="V28" s="5360"/>
      <c r="W28" s="5360"/>
      <c r="X28" s="5360"/>
      <c r="Y28" s="5360"/>
      <c r="Z28" s="5360"/>
      <c r="AA28" s="5360"/>
      <c r="AB28" s="5360"/>
      <c r="AC28" s="5360"/>
      <c r="AD28" s="5360"/>
      <c r="AE28" s="5360"/>
      <c r="AF28" s="5360"/>
      <c r="AG28" s="5360"/>
      <c r="AH28" s="5360"/>
      <c r="AI28" s="5360"/>
      <c r="AJ28" s="5360"/>
      <c r="AK28" s="5360"/>
      <c r="AL28" s="5360"/>
      <c r="AM28" s="5360"/>
      <c r="AN28" s="5360"/>
      <c r="AO28" s="5360"/>
      <c r="AP28" s="5360"/>
      <c r="AQ28" s="5360"/>
      <c r="AR28" s="5360"/>
      <c r="AS28" s="5360"/>
      <c r="AT28" s="5360"/>
      <c r="AU28" s="5360"/>
      <c r="AV28" s="5360"/>
      <c r="AW28" s="5360"/>
      <c r="AX28" s="5360"/>
      <c r="AY28" s="5360"/>
      <c r="AZ28" s="5360"/>
      <c r="BA28" s="1126"/>
    </row>
    <row r="29" spans="1:60" ht="14.25" customHeight="1">
      <c r="Q29" s="209"/>
      <c r="R29" s="292"/>
      <c r="S29" s="5308" t="str">
        <f>IF(org=0,"Не определено",org)</f>
        <v>ООО «Газпром теплоэнерго МО»</v>
      </c>
      <c r="T29" s="5308"/>
      <c r="U29" s="5308"/>
      <c r="V29" s="5308"/>
      <c r="W29" s="5308"/>
      <c r="X29" s="5308"/>
      <c r="Y29" s="5308"/>
      <c r="Z29" s="5308"/>
      <c r="AA29" s="5308"/>
      <c r="AB29" s="5308"/>
      <c r="AC29" s="5308"/>
      <c r="AD29" s="5308"/>
      <c r="AE29" s="5308"/>
      <c r="AF29" s="5308"/>
      <c r="AG29" s="5308"/>
      <c r="AH29" s="5308"/>
      <c r="AI29" s="5308"/>
      <c r="AJ29" s="5308"/>
      <c r="AK29" s="5308"/>
      <c r="AL29" s="5308"/>
      <c r="AM29" s="5308"/>
      <c r="AN29" s="5308"/>
      <c r="AO29" s="5308"/>
      <c r="AP29" s="5308"/>
      <c r="AQ29" s="5308"/>
      <c r="AR29" s="5308"/>
      <c r="AS29" s="5308"/>
      <c r="AT29" s="5308"/>
      <c r="AU29" s="5308"/>
      <c r="AV29" s="5308"/>
      <c r="AW29" s="5308"/>
      <c r="AX29" s="5308"/>
      <c r="AY29" s="5308"/>
      <c r="AZ29" s="5308"/>
      <c r="BA29" s="1126"/>
    </row>
    <row r="30" spans="1:60" ht="14.25" customHeight="1">
      <c r="Q30" s="209"/>
      <c r="R30" s="292"/>
      <c r="S30" s="1158"/>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4855" customFormat="1" ht="25.5" customHeight="1">
      <c r="A31" s="1246"/>
      <c r="B31" s="1246"/>
      <c r="C31" s="1246"/>
      <c r="D31" s="1246"/>
      <c r="E31" s="1246"/>
      <c r="F31" s="1246"/>
      <c r="G31" s="1246"/>
      <c r="H31" s="1246"/>
      <c r="I31" s="1246"/>
      <c r="J31" s="1246"/>
      <c r="K31" s="1246"/>
      <c r="L31" s="1247"/>
      <c r="M31" s="1246"/>
      <c r="N31" s="1246"/>
      <c r="O31" s="1246"/>
      <c r="P31" s="1246"/>
      <c r="Q31" s="1246"/>
      <c r="S31" s="5368" t="s">
        <v>38</v>
      </c>
      <c r="T31" s="5368"/>
      <c r="U31" s="1250"/>
      <c r="V31" s="5369" t="str">
        <f>IF(TITLE_NAME_OR_PR_CHANGE="",IF(TITLE_NAME_OR_PR="","",TITLE_NAME_OR_PR),TITLE_NAME_OR_PR_CHANGE)</f>
        <v>Комитет по ценам и тарифам Московской области</v>
      </c>
      <c r="W31" s="5369"/>
      <c r="X31" s="5369"/>
      <c r="Y31" s="5369"/>
      <c r="Z31" s="5369"/>
      <c r="AA31" s="5369"/>
      <c r="AB31" s="5369"/>
      <c r="AC31" s="244"/>
      <c r="AD31" s="5369" t="str">
        <f>IF(TITLE_NAME_OR_PR_CHANGE="",IF(TITLE_NAME_OR_PR="","",TITLE_NAME_OR_PR),TITLE_NAME_OR_PR_CHANGE)</f>
        <v>Комитет по ценам и тарифам Московской области</v>
      </c>
      <c r="AE31" s="5369"/>
      <c r="AF31" s="5369"/>
      <c r="AG31" s="5369"/>
      <c r="AH31" s="5369"/>
      <c r="AI31" s="5369"/>
      <c r="AJ31" s="5369"/>
      <c r="AK31" s="5369"/>
      <c r="AL31" s="5369"/>
      <c r="AM31" s="5369"/>
      <c r="AN31" s="5369"/>
      <c r="AO31" s="5369"/>
      <c r="AP31" s="5369"/>
      <c r="AQ31" s="5369"/>
      <c r="AR31" s="5369"/>
      <c r="AS31" s="5369"/>
      <c r="AT31" s="5369"/>
      <c r="AU31" s="5369"/>
      <c r="AV31" s="5369"/>
      <c r="AW31" s="5369"/>
      <c r="AX31" s="5369"/>
      <c r="AY31" s="5369"/>
      <c r="AZ31" s="5369"/>
      <c r="BA31" s="244"/>
      <c r="BB31" s="244"/>
      <c r="BC31" s="199"/>
      <c r="BD31" s="284"/>
      <c r="BE31" s="284"/>
      <c r="BF31" s="284"/>
      <c r="BG31" s="284"/>
      <c r="BH31" s="284"/>
    </row>
    <row r="32" spans="1:60" s="4855" customFormat="1" ht="18.75" customHeight="1">
      <c r="A32" s="1246"/>
      <c r="B32" s="1246"/>
      <c r="C32" s="1246"/>
      <c r="D32" s="1246"/>
      <c r="E32" s="1246"/>
      <c r="F32" s="1246"/>
      <c r="G32" s="1246"/>
      <c r="H32" s="1246"/>
      <c r="I32" s="1246"/>
      <c r="J32" s="1246"/>
      <c r="K32" s="1246"/>
      <c r="L32" s="1247"/>
      <c r="M32" s="1246"/>
      <c r="N32" s="1246"/>
      <c r="O32" s="1246"/>
      <c r="P32" s="1246"/>
      <c r="Q32" s="1246"/>
      <c r="S32" s="5368" t="s">
        <v>499</v>
      </c>
      <c r="T32" s="5368"/>
      <c r="U32" s="1250"/>
      <c r="V32" s="5378">
        <f>IF(TITLE_DATE_PR_CHANGE="",IF(TITLE_DATE_PR="","",TITLE_DATE_PR),TITLE_DATE_PR_CHANGE)</f>
        <v>45280</v>
      </c>
      <c r="W32" s="5378"/>
      <c r="X32" s="5378"/>
      <c r="Y32" s="5378"/>
      <c r="Z32" s="5378"/>
      <c r="AA32" s="5378"/>
      <c r="AB32" s="5378"/>
      <c r="AC32" s="244"/>
      <c r="AD32" s="5378">
        <f>IF(TITLE_DATE_PR_CHANGE="",IF(TITLE_DATE_PR="","",TITLE_DATE_PR),TITLE_DATE_PR_CHANGE)</f>
        <v>45280</v>
      </c>
      <c r="AE32" s="5378"/>
      <c r="AF32" s="5378"/>
      <c r="AG32" s="5378"/>
      <c r="AH32" s="5378"/>
      <c r="AI32" s="5378"/>
      <c r="AJ32" s="5378"/>
      <c r="AK32" s="5378"/>
      <c r="AL32" s="5378"/>
      <c r="AM32" s="5378"/>
      <c r="AN32" s="5378"/>
      <c r="AO32" s="5378"/>
      <c r="AP32" s="5378"/>
      <c r="AQ32" s="5378"/>
      <c r="AR32" s="5378"/>
      <c r="AS32" s="5378"/>
      <c r="AT32" s="5378"/>
      <c r="AU32" s="5378"/>
      <c r="AV32" s="5378"/>
      <c r="AW32" s="5378"/>
      <c r="AX32" s="5378"/>
      <c r="AY32" s="5378"/>
      <c r="AZ32" s="5378"/>
      <c r="BA32" s="244"/>
      <c r="BB32" s="244"/>
      <c r="BC32" s="199"/>
      <c r="BD32" s="284"/>
      <c r="BE32" s="284"/>
      <c r="BF32" s="284"/>
      <c r="BG32" s="284"/>
      <c r="BH32" s="284"/>
    </row>
    <row r="33" spans="1:60" s="4855" customFormat="1" ht="18.75" customHeight="1">
      <c r="A33" s="1246"/>
      <c r="B33" s="1246"/>
      <c r="C33" s="1246"/>
      <c r="D33" s="1246"/>
      <c r="E33" s="1246"/>
      <c r="F33" s="1246"/>
      <c r="G33" s="1246"/>
      <c r="H33" s="1246"/>
      <c r="I33" s="1246"/>
      <c r="J33" s="1246"/>
      <c r="K33" s="1246"/>
      <c r="L33" s="1247"/>
      <c r="M33" s="1246"/>
      <c r="N33" s="1246"/>
      <c r="O33" s="1246"/>
      <c r="P33" s="1246"/>
      <c r="Q33" s="1246"/>
      <c r="S33" s="5368" t="s">
        <v>500</v>
      </c>
      <c r="T33" s="5368"/>
      <c r="U33" s="1250"/>
      <c r="V33" s="5369" t="str">
        <f>IF(TITLE_NUMBER_PR_CHANGE="",IF(TITLE_NUMBER_PR="","",TITLE_NUMBER_PR),TITLE_NUMBER_PR_CHANGE)</f>
        <v>317-Р</v>
      </c>
      <c r="W33" s="5369"/>
      <c r="X33" s="5369"/>
      <c r="Y33" s="5369"/>
      <c r="Z33" s="5369"/>
      <c r="AA33" s="5369"/>
      <c r="AB33" s="5369"/>
      <c r="AC33" s="244"/>
      <c r="AD33" s="5369" t="str">
        <f>IF(TITLE_NUMBER_PR_CHANGE="",IF(TITLE_NUMBER_PR="","",TITLE_NUMBER_PR),TITLE_NUMBER_PR_CHANGE)</f>
        <v>317-Р</v>
      </c>
      <c r="AE33" s="5369"/>
      <c r="AF33" s="5369"/>
      <c r="AG33" s="5369"/>
      <c r="AH33" s="5369"/>
      <c r="AI33" s="5369"/>
      <c r="AJ33" s="5369"/>
      <c r="AK33" s="5369"/>
      <c r="AL33" s="5369"/>
      <c r="AM33" s="5369"/>
      <c r="AN33" s="5369"/>
      <c r="AO33" s="5369"/>
      <c r="AP33" s="5369"/>
      <c r="AQ33" s="5369"/>
      <c r="AR33" s="5369"/>
      <c r="AS33" s="5369"/>
      <c r="AT33" s="5369"/>
      <c r="AU33" s="5369"/>
      <c r="AV33" s="5369"/>
      <c r="AW33" s="5369"/>
      <c r="AX33" s="5369"/>
      <c r="AY33" s="5369"/>
      <c r="AZ33" s="5369"/>
      <c r="BA33" s="244"/>
      <c r="BB33" s="244"/>
      <c r="BC33" s="199"/>
      <c r="BD33" s="284"/>
      <c r="BE33" s="284"/>
      <c r="BF33" s="284"/>
      <c r="BG33" s="284"/>
      <c r="BH33" s="284"/>
    </row>
    <row r="34" spans="1:60" s="4855" customFormat="1" ht="18.75" customHeight="1">
      <c r="A34" s="1246"/>
      <c r="B34" s="1246"/>
      <c r="C34" s="1246"/>
      <c r="D34" s="1246"/>
      <c r="E34" s="1246"/>
      <c r="F34" s="1246"/>
      <c r="G34" s="1246"/>
      <c r="H34" s="1246"/>
      <c r="I34" s="1246"/>
      <c r="J34" s="1246"/>
      <c r="K34" s="1246"/>
      <c r="L34" s="1247"/>
      <c r="M34" s="1246"/>
      <c r="N34" s="1246"/>
      <c r="O34" s="1246"/>
      <c r="P34" s="1246"/>
      <c r="Q34" s="1246"/>
      <c r="S34" s="5368" t="s">
        <v>40</v>
      </c>
      <c r="T34" s="5368"/>
      <c r="U34" s="1250"/>
      <c r="V34" s="5369" t="str">
        <f>IF(TITLE_IST_PUB_CHANGE="",IF(TITLE_IST_PUB="","",TITLE_IST_PUB),TITLE_IST_PUB_CHANGE)</f>
        <v>https://ktc.mosreg.ru/dokumenty/normotvorchestvo/rasporyazheniya/gosudarstvennoe-regulirovanie-tarifov-na-teplovuyu-energiyu-raspor/29-12-2023-16-47-50-rasporyazhenie-komiteta-po-tsenam-i-tarifam-moskov</v>
      </c>
      <c r="W34" s="5369"/>
      <c r="X34" s="5369"/>
      <c r="Y34" s="5369"/>
      <c r="Z34" s="5369"/>
      <c r="AA34" s="5369"/>
      <c r="AB34" s="5369"/>
      <c r="AC34" s="244"/>
      <c r="AD34" s="5369" t="str">
        <f>IF(TITLE_IST_PUB_CHANGE="",IF(TITLE_IST_PUB="","",TITLE_IST_PUB),TITLE_IST_PUB_CHANGE)</f>
        <v>https://ktc.mosreg.ru/dokumenty/normotvorchestvo/rasporyazheniya/gosudarstvennoe-regulirovanie-tarifov-na-teplovuyu-energiyu-raspor/29-12-2023-16-47-50-rasporyazhenie-komiteta-po-tsenam-i-tarifam-moskov</v>
      </c>
      <c r="AE34" s="5369"/>
      <c r="AF34" s="5369"/>
      <c r="AG34" s="5369"/>
      <c r="AH34" s="5369"/>
      <c r="AI34" s="5369"/>
      <c r="AJ34" s="5369"/>
      <c r="AK34" s="5369"/>
      <c r="AL34" s="5369"/>
      <c r="AM34" s="5369"/>
      <c r="AN34" s="5369"/>
      <c r="AO34" s="5369"/>
      <c r="AP34" s="5369"/>
      <c r="AQ34" s="5369"/>
      <c r="AR34" s="5369"/>
      <c r="AS34" s="5369"/>
      <c r="AT34" s="5369"/>
      <c r="AU34" s="5369"/>
      <c r="AV34" s="5369"/>
      <c r="AW34" s="5369"/>
      <c r="AX34" s="5369"/>
      <c r="AY34" s="5369"/>
      <c r="AZ34" s="5369"/>
      <c r="BA34" s="244"/>
      <c r="BB34" s="244"/>
      <c r="BC34" s="199"/>
      <c r="BD34" s="284"/>
      <c r="BE34" s="284"/>
      <c r="BF34" s="284"/>
      <c r="BG34" s="284"/>
      <c r="BH34" s="284"/>
    </row>
    <row r="35" spans="1:60" ht="14.25" hidden="1" customHeight="1">
      <c r="Q35" s="209"/>
      <c r="R35" s="292"/>
      <c r="S35" s="1158"/>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4855" customFormat="1" ht="18.75" hidden="1" customHeight="1">
      <c r="A36" s="1246"/>
      <c r="B36" s="1246"/>
      <c r="C36" s="1246"/>
      <c r="D36" s="1246"/>
      <c r="E36" s="1246"/>
      <c r="F36" s="1246"/>
      <c r="G36" s="1246"/>
      <c r="H36" s="1246"/>
      <c r="I36" s="1246"/>
      <c r="J36" s="1246"/>
      <c r="K36" s="1246"/>
      <c r="L36" s="1247"/>
      <c r="M36" s="1246"/>
      <c r="N36" s="1246"/>
      <c r="O36" s="1246"/>
      <c r="P36" s="1246"/>
      <c r="Q36" s="1246"/>
      <c r="S36" s="5368" t="s">
        <v>499</v>
      </c>
      <c r="T36" s="5368"/>
      <c r="U36" s="1250"/>
      <c r="V36" s="5378">
        <f>IF(TITLE_DATE_PR_CHANGE="",IF(TITLE_DATE_PR="","",TITLE_DATE_PR),TITLE_DATE_PR_CHANGE)</f>
        <v>45280</v>
      </c>
      <c r="W36" s="5378"/>
      <c r="X36" s="5378"/>
      <c r="Y36" s="5378"/>
      <c r="Z36" s="5378"/>
      <c r="AA36" s="5378"/>
      <c r="AB36" s="5378"/>
      <c r="AC36" s="244"/>
      <c r="AD36" s="5378">
        <f>IF(TITLE_DATE_PR_CHANGE="",IF(TITLE_DATE_PR="","",TITLE_DATE_PR),TITLE_DATE_PR_CHANGE)</f>
        <v>45280</v>
      </c>
      <c r="AE36" s="5378"/>
      <c r="AF36" s="5378"/>
      <c r="AG36" s="5378"/>
      <c r="AH36" s="5378"/>
      <c r="AI36" s="5378"/>
      <c r="AJ36" s="5378"/>
      <c r="AK36" s="5378"/>
      <c r="AL36" s="5378"/>
      <c r="AM36" s="5378"/>
      <c r="AN36" s="5378"/>
      <c r="AO36" s="5378"/>
      <c r="AP36" s="5378"/>
      <c r="AQ36" s="5378"/>
      <c r="AR36" s="5378"/>
      <c r="AS36" s="5378"/>
      <c r="AT36" s="5378"/>
      <c r="AU36" s="5378"/>
      <c r="AV36" s="5378"/>
      <c r="AW36" s="5378"/>
      <c r="AX36" s="5378"/>
      <c r="AY36" s="5378"/>
      <c r="AZ36" s="5378"/>
      <c r="BA36" s="244"/>
      <c r="BB36" s="244"/>
      <c r="BC36" s="199"/>
      <c r="BD36" s="284"/>
      <c r="BE36" s="284"/>
      <c r="BF36" s="284"/>
      <c r="BG36" s="284"/>
      <c r="BH36" s="284"/>
    </row>
    <row r="37" spans="1:60" s="4855" customFormat="1" ht="18.75" hidden="1" customHeight="1">
      <c r="A37" s="1246"/>
      <c r="B37" s="1246"/>
      <c r="C37" s="1246"/>
      <c r="D37" s="1246"/>
      <c r="E37" s="1246"/>
      <c r="F37" s="1246"/>
      <c r="G37" s="1246"/>
      <c r="H37" s="1246"/>
      <c r="I37" s="1246"/>
      <c r="J37" s="1246"/>
      <c r="K37" s="1246"/>
      <c r="L37" s="1247"/>
      <c r="M37" s="1246"/>
      <c r="N37" s="1246"/>
      <c r="O37" s="1246"/>
      <c r="P37" s="1246"/>
      <c r="Q37" s="1246"/>
      <c r="S37" s="5368" t="s">
        <v>500</v>
      </c>
      <c r="T37" s="5368"/>
      <c r="U37" s="1250"/>
      <c r="V37" s="5369" t="str">
        <f>IF(TITLE_NUMBER_PR_CHANGE="",IF(TITLE_NUMBER_PR="","",TITLE_NUMBER_PR),TITLE_NUMBER_PR_CHANGE)</f>
        <v>317-Р</v>
      </c>
      <c r="W37" s="5369"/>
      <c r="X37" s="5369"/>
      <c r="Y37" s="5369"/>
      <c r="Z37" s="5369"/>
      <c r="AA37" s="5369"/>
      <c r="AB37" s="5369"/>
      <c r="AC37" s="244"/>
      <c r="AD37" s="5369" t="str">
        <f>IF(TITLE_NUMBER_PR_CHANGE="",IF(TITLE_NUMBER_PR="","",TITLE_NUMBER_PR),TITLE_NUMBER_PR_CHANGE)</f>
        <v>317-Р</v>
      </c>
      <c r="AE37" s="5369"/>
      <c r="AF37" s="5369"/>
      <c r="AG37" s="5369"/>
      <c r="AH37" s="5369"/>
      <c r="AI37" s="5369"/>
      <c r="AJ37" s="5369"/>
      <c r="AK37" s="5369"/>
      <c r="AL37" s="5369"/>
      <c r="AM37" s="5369"/>
      <c r="AN37" s="5369"/>
      <c r="AO37" s="5369"/>
      <c r="AP37" s="5369"/>
      <c r="AQ37" s="5369"/>
      <c r="AR37" s="5369"/>
      <c r="AS37" s="5369"/>
      <c r="AT37" s="5369"/>
      <c r="AU37" s="5369"/>
      <c r="AV37" s="5369"/>
      <c r="AW37" s="5369"/>
      <c r="AX37" s="5369"/>
      <c r="AY37" s="5369"/>
      <c r="AZ37" s="5369"/>
      <c r="BA37" s="244"/>
      <c r="BB37" s="244"/>
      <c r="BC37" s="199"/>
      <c r="BD37" s="284"/>
      <c r="BE37" s="284"/>
      <c r="BF37" s="284"/>
      <c r="BG37" s="284"/>
      <c r="BH37" s="284"/>
    </row>
    <row r="38" spans="1:60" s="4855" customFormat="1" ht="0" hidden="1" customHeight="1">
      <c r="A38" s="1246"/>
      <c r="B38" s="1246"/>
      <c r="C38" s="1246"/>
      <c r="D38" s="1246"/>
      <c r="E38" s="1246"/>
      <c r="F38" s="1246"/>
      <c r="G38" s="1246"/>
      <c r="H38" s="1246"/>
      <c r="I38" s="1246"/>
      <c r="J38" s="1246"/>
      <c r="K38" s="1246"/>
      <c r="L38" s="1247"/>
      <c r="M38" s="1246"/>
      <c r="N38" s="1246"/>
      <c r="O38" s="1246"/>
      <c r="P38" s="1246"/>
      <c r="Q38" s="1246"/>
      <c r="S38" s="241"/>
      <c r="T38" s="241"/>
      <c r="U38" s="1329"/>
      <c r="V38" s="244"/>
      <c r="W38" s="244"/>
      <c r="X38" s="244"/>
      <c r="Y38" s="244"/>
      <c r="Z38" s="244"/>
      <c r="AA38" s="244"/>
      <c r="AB38" s="244"/>
      <c r="AC38" s="197" t="s">
        <v>503</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503</v>
      </c>
      <c r="BD38" s="284"/>
      <c r="BE38" s="284"/>
      <c r="BF38" s="284"/>
      <c r="BG38" s="284"/>
      <c r="BH38" s="284"/>
    </row>
    <row r="39" spans="1:60" ht="14.25" customHeight="1">
      <c r="Q39" s="209"/>
      <c r="R39" s="292"/>
      <c r="S39" s="1158"/>
      <c r="T39" s="280"/>
      <c r="U39" s="1127"/>
      <c r="V39" s="5370"/>
      <c r="W39" s="5370"/>
      <c r="X39" s="5370"/>
      <c r="Y39" s="5370"/>
      <c r="Z39" s="5370"/>
      <c r="AA39" s="5370"/>
      <c r="AB39" s="5370"/>
      <c r="AC39" s="5370"/>
      <c r="AD39" s="5370"/>
      <c r="AE39" s="5370"/>
      <c r="AF39" s="5370"/>
      <c r="AG39" s="5370"/>
      <c r="AH39" s="5370"/>
      <c r="AI39" s="5370"/>
      <c r="AJ39" s="5370"/>
      <c r="AK39" s="5370"/>
      <c r="AL39" s="5370"/>
      <c r="AM39" s="5370"/>
      <c r="AN39" s="5370"/>
      <c r="AO39" s="5370"/>
      <c r="AP39" s="5370"/>
      <c r="AQ39" s="5370"/>
      <c r="AR39" s="5370"/>
      <c r="AS39" s="5370"/>
      <c r="AT39" s="5370"/>
      <c r="AU39" s="5370"/>
      <c r="AV39" s="5370"/>
      <c r="AW39" s="5370"/>
      <c r="AX39" s="5370"/>
      <c r="AY39" s="5370"/>
      <c r="AZ39" s="5370"/>
      <c r="BA39" s="5370"/>
    </row>
    <row r="40" spans="1:60" ht="14.25" customHeight="1">
      <c r="Q40" s="209"/>
      <c r="R40" s="292"/>
      <c r="S40" s="5244" t="s">
        <v>378</v>
      </c>
      <c r="T40" s="5244"/>
      <c r="U40" s="5244"/>
      <c r="V40" s="5244"/>
      <c r="W40" s="5244"/>
      <c r="X40" s="5244"/>
      <c r="Y40" s="5244"/>
      <c r="Z40" s="5244"/>
      <c r="AA40" s="5244"/>
      <c r="AB40" s="5244"/>
      <c r="AC40" s="5244"/>
      <c r="AD40" s="5244"/>
      <c r="AE40" s="5244"/>
      <c r="AF40" s="5244"/>
      <c r="AG40" s="5244"/>
      <c r="AH40" s="5244"/>
      <c r="AI40" s="5244"/>
      <c r="AJ40" s="5244"/>
      <c r="AK40" s="5244"/>
      <c r="AL40" s="5244"/>
      <c r="AM40" s="5244"/>
      <c r="AN40" s="5244"/>
      <c r="AO40" s="5244"/>
      <c r="AP40" s="5244"/>
      <c r="AQ40" s="5244"/>
      <c r="AR40" s="5244"/>
      <c r="AS40" s="5244"/>
      <c r="AT40" s="5244"/>
      <c r="AU40" s="5244"/>
      <c r="AV40" s="5244"/>
      <c r="AW40" s="5244"/>
      <c r="AX40" s="5244"/>
      <c r="AY40" s="5244"/>
      <c r="AZ40" s="5244"/>
      <c r="BA40" s="5244"/>
      <c r="BB40" s="5244"/>
      <c r="BC40" s="5244" t="s">
        <v>379</v>
      </c>
    </row>
    <row r="41" spans="1:60" ht="14.25" customHeight="1">
      <c r="Q41" s="209"/>
      <c r="R41" s="292"/>
      <c r="S41" s="5384" t="s">
        <v>85</v>
      </c>
      <c r="T41" s="5336" t="s">
        <v>583</v>
      </c>
      <c r="U41" s="219"/>
      <c r="V41" s="5385" t="s">
        <v>505</v>
      </c>
      <c r="W41" s="5386"/>
      <c r="X41" s="5386"/>
      <c r="Y41" s="5386"/>
      <c r="Z41" s="5386"/>
      <c r="AA41" s="5386"/>
      <c r="AB41" s="5387"/>
      <c r="AC41" s="5388" t="s">
        <v>506</v>
      </c>
      <c r="AD41" s="5414" t="s">
        <v>584</v>
      </c>
      <c r="AE41" s="5402"/>
      <c r="AF41" s="5402"/>
      <c r="AG41" s="5415"/>
      <c r="AH41" s="5414" t="s">
        <v>585</v>
      </c>
      <c r="AI41" s="5402"/>
      <c r="AJ41" s="5402"/>
      <c r="AK41" s="5415"/>
      <c r="AL41" s="5414" t="s">
        <v>586</v>
      </c>
      <c r="AM41" s="5402"/>
      <c r="AN41" s="5402"/>
      <c r="AO41" s="5415"/>
      <c r="AP41" s="5414" t="s">
        <v>587</v>
      </c>
      <c r="AQ41" s="5402"/>
      <c r="AR41" s="5402"/>
      <c r="AS41" s="5415"/>
      <c r="AT41" s="5385" t="s">
        <v>505</v>
      </c>
      <c r="AU41" s="5386"/>
      <c r="AV41" s="5386"/>
      <c r="AW41" s="5386"/>
      <c r="AX41" s="5386"/>
      <c r="AY41" s="5386"/>
      <c r="AZ41" s="5387"/>
      <c r="BA41" s="5388" t="s">
        <v>506</v>
      </c>
      <c r="BB41" s="5391" t="s">
        <v>508</v>
      </c>
      <c r="BC41" s="5244"/>
    </row>
    <row r="42" spans="1:60" ht="33.75" customHeight="1">
      <c r="Q42" s="209"/>
      <c r="R42" s="292"/>
      <c r="S42" s="5384"/>
      <c r="T42" s="5336"/>
      <c r="U42" s="920"/>
      <c r="V42" s="5322" t="s">
        <v>588</v>
      </c>
      <c r="W42" s="5323"/>
      <c r="X42" s="5322" t="s">
        <v>589</v>
      </c>
      <c r="Y42" s="5323"/>
      <c r="Z42" s="5322" t="s">
        <v>590</v>
      </c>
      <c r="AA42" s="5409"/>
      <c r="AB42" s="5323"/>
      <c r="AC42" s="5389"/>
      <c r="AD42" s="5416"/>
      <c r="AE42" s="5417"/>
      <c r="AF42" s="5417"/>
      <c r="AG42" s="5418"/>
      <c r="AH42" s="5416"/>
      <c r="AI42" s="5417"/>
      <c r="AJ42" s="5417"/>
      <c r="AK42" s="5418"/>
      <c r="AL42" s="5416"/>
      <c r="AM42" s="5417"/>
      <c r="AN42" s="5417"/>
      <c r="AO42" s="5418"/>
      <c r="AP42" s="5416"/>
      <c r="AQ42" s="5417"/>
      <c r="AR42" s="5417"/>
      <c r="AS42" s="5418"/>
      <c r="AT42" s="5322" t="s">
        <v>588</v>
      </c>
      <c r="AU42" s="5323"/>
      <c r="AV42" s="5322" t="s">
        <v>589</v>
      </c>
      <c r="AW42" s="5323"/>
      <c r="AX42" s="5322" t="s">
        <v>590</v>
      </c>
      <c r="AY42" s="5409"/>
      <c r="AZ42" s="5323"/>
      <c r="BA42" s="5389"/>
      <c r="BB42" s="5392"/>
      <c r="BC42" s="5244"/>
    </row>
    <row r="43" spans="1:60" ht="14.25" customHeight="1">
      <c r="Q43" s="209"/>
      <c r="R43" s="292"/>
      <c r="S43" s="5384"/>
      <c r="T43" s="5336"/>
      <c r="U43" s="920"/>
      <c r="V43" s="5327"/>
      <c r="W43" s="5328"/>
      <c r="X43" s="5327"/>
      <c r="Y43" s="5328"/>
      <c r="Z43" s="5327"/>
      <c r="AA43" s="5410"/>
      <c r="AB43" s="5328"/>
      <c r="AC43" s="5389"/>
      <c r="AD43" s="5416"/>
      <c r="AE43" s="5417"/>
      <c r="AF43" s="5417"/>
      <c r="AG43" s="5418"/>
      <c r="AH43" s="5416"/>
      <c r="AI43" s="5417"/>
      <c r="AJ43" s="5417"/>
      <c r="AK43" s="5418"/>
      <c r="AL43" s="5416"/>
      <c r="AM43" s="5417"/>
      <c r="AN43" s="5417"/>
      <c r="AO43" s="5418"/>
      <c r="AP43" s="5416"/>
      <c r="AQ43" s="5417"/>
      <c r="AR43" s="5417"/>
      <c r="AS43" s="5418"/>
      <c r="AT43" s="5327"/>
      <c r="AU43" s="5328"/>
      <c r="AV43" s="5327"/>
      <c r="AW43" s="5328"/>
      <c r="AX43" s="5327"/>
      <c r="AY43" s="5410"/>
      <c r="AZ43" s="5328"/>
      <c r="BA43" s="5389"/>
      <c r="BB43" s="5392"/>
      <c r="BC43" s="5244"/>
    </row>
    <row r="44" spans="1:60" ht="14.25" customHeight="1">
      <c r="A44" s="1248"/>
      <c r="B44" s="1248" t="s">
        <v>153</v>
      </c>
      <c r="C44" s="1248" t="s">
        <v>154</v>
      </c>
      <c r="D44" s="1248" t="s">
        <v>155</v>
      </c>
      <c r="E44" s="1242" t="s">
        <v>513</v>
      </c>
      <c r="F44" s="1242" t="s">
        <v>514</v>
      </c>
      <c r="G44" s="1242" t="s">
        <v>515</v>
      </c>
      <c r="H44" s="1242" t="s">
        <v>516</v>
      </c>
      <c r="I44" s="1242" t="s">
        <v>517</v>
      </c>
      <c r="J44" s="1242" t="s">
        <v>518</v>
      </c>
      <c r="K44" s="1242" t="s">
        <v>519</v>
      </c>
      <c r="L44" s="1242" t="s">
        <v>494</v>
      </c>
      <c r="Q44" s="209"/>
      <c r="R44" s="292"/>
      <c r="S44" s="5384"/>
      <c r="T44" s="5336"/>
      <c r="U44" s="220"/>
      <c r="V44" s="1323" t="s">
        <v>554</v>
      </c>
      <c r="W44" s="1323" t="s">
        <v>555</v>
      </c>
      <c r="X44" s="1323" t="s">
        <v>554</v>
      </c>
      <c r="Y44" s="1323" t="s">
        <v>555</v>
      </c>
      <c r="Z44" s="1330" t="s">
        <v>522</v>
      </c>
      <c r="AA44" s="5344" t="s">
        <v>523</v>
      </c>
      <c r="AB44" s="5346"/>
      <c r="AC44" s="5390"/>
      <c r="AD44" s="5419"/>
      <c r="AE44" s="5420"/>
      <c r="AF44" s="5420"/>
      <c r="AG44" s="5421"/>
      <c r="AH44" s="5419"/>
      <c r="AI44" s="5420"/>
      <c r="AJ44" s="5420"/>
      <c r="AK44" s="5421"/>
      <c r="AL44" s="5419"/>
      <c r="AM44" s="5420"/>
      <c r="AN44" s="5420"/>
      <c r="AO44" s="5421"/>
      <c r="AP44" s="5419"/>
      <c r="AQ44" s="5420"/>
      <c r="AR44" s="5420"/>
      <c r="AS44" s="5421"/>
      <c r="AT44" s="1323" t="s">
        <v>554</v>
      </c>
      <c r="AU44" s="1323" t="s">
        <v>555</v>
      </c>
      <c r="AV44" s="1323" t="s">
        <v>554</v>
      </c>
      <c r="AW44" s="1323" t="s">
        <v>555</v>
      </c>
      <c r="AX44" s="1330" t="s">
        <v>522</v>
      </c>
      <c r="AY44" s="5344" t="s">
        <v>523</v>
      </c>
      <c r="AZ44" s="5346"/>
      <c r="BA44" s="5390"/>
      <c r="BB44" s="5393"/>
      <c r="BC44" s="5244"/>
    </row>
    <row r="45" spans="1:60" s="4840" customFormat="1" ht="11.25" hidden="1" customHeight="1">
      <c r="A45" s="1248"/>
      <c r="B45" s="1248"/>
      <c r="C45" s="1248"/>
      <c r="D45" s="1248"/>
      <c r="E45" s="1248"/>
      <c r="F45" s="1248"/>
      <c r="G45" s="1248"/>
      <c r="H45" s="1248"/>
      <c r="I45" s="1248"/>
      <c r="J45" s="1248"/>
      <c r="K45" s="1248"/>
      <c r="L45" s="1242"/>
      <c r="M45" s="1240"/>
      <c r="N45" s="1240"/>
      <c r="O45" s="1240"/>
      <c r="P45" s="418"/>
      <c r="Q45" s="1137"/>
      <c r="R45" s="1137">
        <v>1</v>
      </c>
      <c r="S45" s="1160" t="s">
        <v>129</v>
      </c>
      <c r="T45" s="1138" t="s">
        <v>100</v>
      </c>
      <c r="U45" s="1128" t="str">
        <f ca="1">OFFSET(U45,0,-1)</f>
        <v>2</v>
      </c>
      <c r="V45" s="1326">
        <f t="shared" ref="V45:AA45" ca="1" si="2">OFFSET(V45,0,-1)+1</f>
        <v>3</v>
      </c>
      <c r="W45" s="1326">
        <f t="shared" ca="1" si="2"/>
        <v>4</v>
      </c>
      <c r="X45" s="1326">
        <f t="shared" ca="1" si="2"/>
        <v>5</v>
      </c>
      <c r="Y45" s="1326">
        <f t="shared" ca="1" si="2"/>
        <v>6</v>
      </c>
      <c r="Z45" s="1326">
        <f t="shared" ca="1" si="2"/>
        <v>7</v>
      </c>
      <c r="AA45" s="5383">
        <f t="shared" ca="1" si="2"/>
        <v>8</v>
      </c>
      <c r="AB45" s="5383"/>
      <c r="AC45" s="1326">
        <f ca="1">OFFSET(AC45,0,-2)+1</f>
        <v>9</v>
      </c>
      <c r="AD45" s="1326">
        <f ca="1">OFFSET(AD45,0,-1)+1</f>
        <v>10</v>
      </c>
      <c r="AE45" s="1326"/>
      <c r="AF45" s="1326"/>
      <c r="AG45" s="1326"/>
      <c r="AH45" s="1326"/>
      <c r="AI45" s="1326"/>
      <c r="AJ45" s="1326"/>
      <c r="AK45" s="1326"/>
      <c r="AL45" s="1326"/>
      <c r="AM45" s="1326"/>
      <c r="AN45" s="1326"/>
      <c r="AO45" s="1326"/>
      <c r="AP45" s="1326"/>
      <c r="AQ45" s="1326"/>
      <c r="AR45" s="1326"/>
      <c r="AS45" s="1326"/>
      <c r="AT45" s="1326"/>
      <c r="AU45" s="1326"/>
      <c r="AV45" s="1326"/>
      <c r="AW45" s="1326">
        <f ca="1">OFFSET(AW45,0,-1)+1</f>
        <v>1</v>
      </c>
      <c r="AX45" s="1326">
        <f ca="1">OFFSET(AX45,0,-1)+1</f>
        <v>2</v>
      </c>
      <c r="AY45" s="5383">
        <f ca="1">OFFSET(AY45,0,-1)+1</f>
        <v>3</v>
      </c>
      <c r="AZ45" s="5383"/>
      <c r="BA45" s="1326">
        <f ca="1">OFFSET(BA45,0,-2)+1</f>
        <v>4</v>
      </c>
      <c r="BB45" s="1128">
        <f ca="1">OFFSET(BB45,0,-1)</f>
        <v>4</v>
      </c>
      <c r="BC45" s="1326">
        <f ca="1">OFFSET(BC45,0,-1)+1</f>
        <v>5</v>
      </c>
      <c r="BD45" s="419"/>
      <c r="BE45" s="419"/>
      <c r="BF45" s="419"/>
      <c r="BG45" s="419"/>
      <c r="BH45" s="419"/>
    </row>
    <row r="46" spans="1:60" ht="21" customHeight="1">
      <c r="A46" s="1241" t="s">
        <v>261</v>
      </c>
      <c r="B46" s="1241"/>
      <c r="C46" s="1241"/>
      <c r="D46" s="1241"/>
      <c r="E46" s="5376">
        <v>1</v>
      </c>
      <c r="F46" s="1241"/>
      <c r="G46" s="1241"/>
      <c r="H46" s="1241"/>
      <c r="I46" s="1241"/>
      <c r="J46" s="1241"/>
      <c r="K46" s="1241"/>
      <c r="L46" s="1242"/>
      <c r="M46" s="1243"/>
      <c r="N46" s="1243"/>
      <c r="O46" s="1243"/>
      <c r="P46" s="1287"/>
      <c r="Q46" s="768"/>
      <c r="R46" s="272"/>
      <c r="S46" s="1332">
        <f>INDEX(PT_DIFFERENTIATION_NUM_NTAR,MATCH(A46,PT_DIFFERENTIATION_NTAR_ID,0))</f>
        <v>0</v>
      </c>
      <c r="T46" s="216" t="s">
        <v>141</v>
      </c>
      <c r="U46" s="218"/>
      <c r="V46" s="5363"/>
      <c r="W46" s="5363"/>
      <c r="X46" s="5363"/>
      <c r="Y46" s="5363"/>
      <c r="Z46" s="5363"/>
      <c r="AA46" s="5363"/>
      <c r="AB46" s="5363"/>
      <c r="AC46" s="5364"/>
      <c r="AD46" s="5362" t="str">
        <f>INDEX(PT_DIFFERENTIATION_NTAR,MATCH(A46,PT_DIFFERENTIATION_NTAR_ID,0))</f>
        <v/>
      </c>
      <c r="AE46" s="5363"/>
      <c r="AF46" s="5363"/>
      <c r="AG46" s="5363"/>
      <c r="AH46" s="5363"/>
      <c r="AI46" s="5363"/>
      <c r="AJ46" s="5363"/>
      <c r="AK46" s="5363"/>
      <c r="AL46" s="5363"/>
      <c r="AM46" s="5363"/>
      <c r="AN46" s="5363"/>
      <c r="AO46" s="5363"/>
      <c r="AP46" s="5363"/>
      <c r="AQ46" s="5363"/>
      <c r="AR46" s="5363"/>
      <c r="AS46" s="5363"/>
      <c r="AT46" s="5363"/>
      <c r="AU46" s="5363"/>
      <c r="AV46" s="5363"/>
      <c r="AW46" s="5363"/>
      <c r="AX46" s="5363"/>
      <c r="AY46" s="5363"/>
      <c r="AZ46" s="5363"/>
      <c r="BA46" s="5363"/>
      <c r="BB46" s="5364"/>
      <c r="BC46"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41" t="s">
        <v>261</v>
      </c>
      <c r="B47" s="1241" t="s">
        <v>262</v>
      </c>
      <c r="C47" s="1241"/>
      <c r="D47" s="1241"/>
      <c r="E47" s="5377"/>
      <c r="F47" s="5376">
        <v>1</v>
      </c>
      <c r="G47" s="1241"/>
      <c r="H47" s="1241"/>
      <c r="I47" s="1241"/>
      <c r="J47" s="1241"/>
      <c r="K47" s="1241"/>
      <c r="L47" s="1242"/>
      <c r="M47" s="1243"/>
      <c r="N47" s="1243"/>
      <c r="O47" s="1243"/>
      <c r="P47" s="1288"/>
      <c r="Q47" s="1289"/>
      <c r="R47" s="270"/>
      <c r="S47" s="1332" t="str">
        <f>INDEX(PT_DIFFERENTIATION_NUM_TER,MATCH(B47,PT_DIFFERENTIATION_TER_ID,0))</f>
        <v>.</v>
      </c>
      <c r="T47" s="226" t="s">
        <v>475</v>
      </c>
      <c r="U47" s="218"/>
      <c r="V47" s="5363"/>
      <c r="W47" s="5363"/>
      <c r="X47" s="5363"/>
      <c r="Y47" s="5363"/>
      <c r="Z47" s="5363"/>
      <c r="AA47" s="5363"/>
      <c r="AB47" s="5363"/>
      <c r="AC47" s="5364"/>
      <c r="AD47" s="5362" t="str">
        <f>INDEX(PT_DIFFERENTIATION_TER,MATCH(B47,PT_DIFFERENTIATION_TER_ID,0))</f>
        <v/>
      </c>
      <c r="AE47" s="5363"/>
      <c r="AF47" s="5363"/>
      <c r="AG47" s="5363"/>
      <c r="AH47" s="5363"/>
      <c r="AI47" s="5363"/>
      <c r="AJ47" s="5363"/>
      <c r="AK47" s="5363"/>
      <c r="AL47" s="5363"/>
      <c r="AM47" s="5363"/>
      <c r="AN47" s="5363"/>
      <c r="AO47" s="5363"/>
      <c r="AP47" s="5363"/>
      <c r="AQ47" s="5363"/>
      <c r="AR47" s="5363"/>
      <c r="AS47" s="5363"/>
      <c r="AT47" s="5363"/>
      <c r="AU47" s="5363"/>
      <c r="AV47" s="5363"/>
      <c r="AW47" s="5363"/>
      <c r="AX47" s="5363"/>
      <c r="AY47" s="5363"/>
      <c r="AZ47" s="5363"/>
      <c r="BA47" s="5363"/>
      <c r="BB47" s="5364"/>
      <c r="BC47" s="1141" t="s">
        <v>476</v>
      </c>
      <c r="BE47" s="408"/>
      <c r="BF47" s="408" t="str">
        <f t="shared" si="3"/>
        <v>Территория действия тарифа</v>
      </c>
      <c r="BG47" s="408"/>
      <c r="BH47" s="408"/>
    </row>
    <row r="48" spans="1:60" ht="42" customHeight="1">
      <c r="A48" s="1241" t="s">
        <v>261</v>
      </c>
      <c r="B48" s="1241" t="s">
        <v>262</v>
      </c>
      <c r="C48" s="1241" t="s">
        <v>263</v>
      </c>
      <c r="D48" s="1241"/>
      <c r="E48" s="5377"/>
      <c r="F48" s="5377"/>
      <c r="G48" s="5376">
        <v>1</v>
      </c>
      <c r="H48" s="1241"/>
      <c r="I48" s="1241"/>
      <c r="J48" s="1241"/>
      <c r="K48" s="1241"/>
      <c r="L48" s="1242"/>
      <c r="M48" s="1243"/>
      <c r="N48" s="1243"/>
      <c r="O48" s="1243"/>
      <c r="P48" s="1290"/>
      <c r="Q48" s="1289"/>
      <c r="R48" s="270"/>
      <c r="S48" s="1332" t="str">
        <f>INDEX(PT_DIFFERENTIATION_NUM_CS,MATCH(C48,PT_DIFFERENTIATION_CS_ID,0))</f>
        <v>..</v>
      </c>
      <c r="T48" s="227" t="s">
        <v>557</v>
      </c>
      <c r="U48" s="218"/>
      <c r="V48" s="5363"/>
      <c r="W48" s="5363"/>
      <c r="X48" s="5363"/>
      <c r="Y48" s="5363"/>
      <c r="Z48" s="5363"/>
      <c r="AA48" s="5363"/>
      <c r="AB48" s="5363"/>
      <c r="AC48" s="5364"/>
      <c r="AD48" s="5362" t="str">
        <f>INDEX(PT_DIFFERENTIATION_CS,MATCH(C48,PT_DIFFERENTIATION_CS_ID,0))</f>
        <v/>
      </c>
      <c r="AE48" s="5363"/>
      <c r="AF48" s="5363"/>
      <c r="AG48" s="5363"/>
      <c r="AH48" s="5363"/>
      <c r="AI48" s="5363"/>
      <c r="AJ48" s="5363"/>
      <c r="AK48" s="5363"/>
      <c r="AL48" s="5363"/>
      <c r="AM48" s="5363"/>
      <c r="AN48" s="5363"/>
      <c r="AO48" s="5363"/>
      <c r="AP48" s="5363"/>
      <c r="AQ48" s="5363"/>
      <c r="AR48" s="5363"/>
      <c r="AS48" s="5363"/>
      <c r="AT48" s="5363"/>
      <c r="AU48" s="5363"/>
      <c r="AV48" s="5363"/>
      <c r="AW48" s="5363"/>
      <c r="AX48" s="5363"/>
      <c r="AY48" s="5363"/>
      <c r="AZ48" s="5363"/>
      <c r="BA48" s="5363"/>
      <c r="BB48" s="5364"/>
      <c r="BC48" s="1141" t="s">
        <v>558</v>
      </c>
      <c r="BE48" s="408"/>
      <c r="BF48" s="408" t="str">
        <f t="shared" si="3"/>
        <v>Наименование централизованной системы холодного водоснабжения</v>
      </c>
      <c r="BG48" s="408"/>
      <c r="BH48" s="408"/>
    </row>
    <row r="49" spans="1:60" s="4856" customFormat="1" ht="0" hidden="1" customHeight="1">
      <c r="A49" s="1222" t="s">
        <v>261</v>
      </c>
      <c r="B49" s="1222" t="s">
        <v>262</v>
      </c>
      <c r="C49" s="1222" t="s">
        <v>263</v>
      </c>
      <c r="D49" s="1222" t="s">
        <v>591</v>
      </c>
      <c r="E49" s="5377"/>
      <c r="F49" s="5377"/>
      <c r="G49" s="5377"/>
      <c r="H49" s="5376">
        <v>1</v>
      </c>
      <c r="I49" s="1222"/>
      <c r="J49" s="1222"/>
      <c r="K49" s="1222"/>
      <c r="L49" s="1225"/>
      <c r="M49" s="1195"/>
      <c r="N49" s="1195"/>
      <c r="O49" s="1195"/>
      <c r="P49" s="1369"/>
      <c r="Q49" s="1370"/>
      <c r="R49" s="274"/>
      <c r="S49" s="931"/>
      <c r="T49" s="1371"/>
      <c r="U49" s="1262"/>
      <c r="V49" s="5406"/>
      <c r="W49" s="5406"/>
      <c r="X49" s="5406"/>
      <c r="Y49" s="5406"/>
      <c r="Z49" s="5406"/>
      <c r="AA49" s="5406"/>
      <c r="AB49" s="5406"/>
      <c r="AC49" s="5407"/>
      <c r="AD49" s="5405"/>
      <c r="AE49" s="5406"/>
      <c r="AF49" s="5406"/>
      <c r="AG49" s="5406"/>
      <c r="AH49" s="5406"/>
      <c r="AI49" s="5406"/>
      <c r="AJ49" s="5406"/>
      <c r="AK49" s="5406"/>
      <c r="AL49" s="5406"/>
      <c r="AM49" s="5406"/>
      <c r="AN49" s="5406"/>
      <c r="AO49" s="5406"/>
      <c r="AP49" s="5406"/>
      <c r="AQ49" s="5406"/>
      <c r="AR49" s="5406"/>
      <c r="AS49" s="5406"/>
      <c r="AT49" s="5406"/>
      <c r="AU49" s="5406"/>
      <c r="AV49" s="5406"/>
      <c r="AW49" s="5406"/>
      <c r="AX49" s="5406"/>
      <c r="AY49" s="5406"/>
      <c r="AZ49" s="5406"/>
      <c r="BA49" s="5406"/>
      <c r="BB49" s="5407"/>
      <c r="BC49" s="1263" t="s">
        <v>480</v>
      </c>
      <c r="BE49" s="408"/>
      <c r="BF49" s="408" t="str">
        <f t="shared" si="3"/>
        <v/>
      </c>
      <c r="BG49" s="408"/>
      <c r="BH49" s="408"/>
    </row>
    <row r="50" spans="1:60" s="4856" customFormat="1" ht="0" hidden="1" customHeight="1">
      <c r="A50" s="1222" t="s">
        <v>261</v>
      </c>
      <c r="B50" s="1222" t="s">
        <v>262</v>
      </c>
      <c r="C50" s="1222" t="s">
        <v>263</v>
      </c>
      <c r="D50" s="1222" t="s">
        <v>591</v>
      </c>
      <c r="E50" s="5377"/>
      <c r="F50" s="5377"/>
      <c r="G50" s="5377"/>
      <c r="H50" s="5377"/>
      <c r="I50" s="5374" t="str">
        <f>S49&amp;".1"</f>
        <v>.1</v>
      </c>
      <c r="J50" s="1222"/>
      <c r="K50" s="1222"/>
      <c r="L50" s="1225" t="s">
        <v>481</v>
      </c>
      <c r="M50" s="418"/>
      <c r="N50" s="418"/>
      <c r="O50" s="418"/>
      <c r="P50" s="5375">
        <v>1</v>
      </c>
      <c r="Q50" s="1336"/>
      <c r="R50" s="273"/>
      <c r="S50" s="931"/>
      <c r="T50" s="1261"/>
      <c r="U50" s="1262"/>
      <c r="V50" s="5406"/>
      <c r="W50" s="5406"/>
      <c r="X50" s="5406"/>
      <c r="Y50" s="5406"/>
      <c r="Z50" s="5406"/>
      <c r="AA50" s="5406"/>
      <c r="AB50" s="5406"/>
      <c r="AC50" s="5407"/>
      <c r="AD50" s="5405"/>
      <c r="AE50" s="5406"/>
      <c r="AF50" s="5406"/>
      <c r="AG50" s="5406"/>
      <c r="AH50" s="5406"/>
      <c r="AI50" s="5406"/>
      <c r="AJ50" s="5406"/>
      <c r="AK50" s="5406"/>
      <c r="AL50" s="5406"/>
      <c r="AM50" s="5406"/>
      <c r="AN50" s="5406"/>
      <c r="AO50" s="5406"/>
      <c r="AP50" s="5406"/>
      <c r="AQ50" s="5406"/>
      <c r="AR50" s="5406"/>
      <c r="AS50" s="5406"/>
      <c r="AT50" s="5406"/>
      <c r="AU50" s="5406"/>
      <c r="AV50" s="5406"/>
      <c r="AW50" s="5406"/>
      <c r="AX50" s="5406"/>
      <c r="AY50" s="5406"/>
      <c r="AZ50" s="5406"/>
      <c r="BA50" s="5406"/>
      <c r="BB50" s="5407"/>
      <c r="BC50" s="1263"/>
      <c r="BE50" s="408"/>
      <c r="BF50" s="408" t="str">
        <f t="shared" si="3"/>
        <v/>
      </c>
      <c r="BG50" s="408"/>
      <c r="BH50" s="408"/>
    </row>
    <row r="51" spans="1:60" s="4856" customFormat="1" ht="0" hidden="1" customHeight="1">
      <c r="A51" s="1222" t="s">
        <v>261</v>
      </c>
      <c r="B51" s="1222" t="s">
        <v>262</v>
      </c>
      <c r="C51" s="1222" t="s">
        <v>263</v>
      </c>
      <c r="D51" s="1222" t="s">
        <v>591</v>
      </c>
      <c r="E51" s="5377"/>
      <c r="F51" s="5377"/>
      <c r="G51" s="5377"/>
      <c r="H51" s="5377"/>
      <c r="I51" s="5397"/>
      <c r="J51" s="5374" t="str">
        <f>S49&amp;".1"</f>
        <v>.1</v>
      </c>
      <c r="K51" s="1222"/>
      <c r="L51" s="1225"/>
      <c r="M51" s="418"/>
      <c r="N51" s="418"/>
      <c r="O51" s="418"/>
      <c r="P51" s="5375"/>
      <c r="Q51" s="5375">
        <v>1</v>
      </c>
      <c r="R51" s="274"/>
      <c r="S51" s="931"/>
      <c r="T51" s="1277"/>
      <c r="U51" s="1262"/>
      <c r="V51" s="5406"/>
      <c r="W51" s="5406"/>
      <c r="X51" s="5406"/>
      <c r="Y51" s="5406"/>
      <c r="Z51" s="5406"/>
      <c r="AA51" s="5406"/>
      <c r="AB51" s="5406"/>
      <c r="AC51" s="5407"/>
      <c r="AD51" s="5405"/>
      <c r="AE51" s="5406"/>
      <c r="AF51" s="5406"/>
      <c r="AG51" s="5406"/>
      <c r="AH51" s="5406"/>
      <c r="AI51" s="5406"/>
      <c r="AJ51" s="5406"/>
      <c r="AK51" s="5406"/>
      <c r="AL51" s="5406"/>
      <c r="AM51" s="5406"/>
      <c r="AN51" s="5450"/>
      <c r="AO51" s="5450"/>
      <c r="AP51" s="5406"/>
      <c r="AQ51" s="5406"/>
      <c r="AR51" s="5406"/>
      <c r="AS51" s="5406"/>
      <c r="AT51" s="5406"/>
      <c r="AU51" s="5406"/>
      <c r="AV51" s="5406"/>
      <c r="AW51" s="5406"/>
      <c r="AX51" s="5406"/>
      <c r="AY51" s="5406"/>
      <c r="AZ51" s="5406"/>
      <c r="BA51" s="5406"/>
      <c r="BB51" s="5407"/>
      <c r="BC51" s="1263"/>
      <c r="BE51" s="408"/>
      <c r="BF51" s="408" t="str">
        <f t="shared" si="3"/>
        <v/>
      </c>
      <c r="BG51" s="408"/>
      <c r="BH51" s="408"/>
    </row>
    <row r="52" spans="1:60" ht="11.25" customHeight="1">
      <c r="A52" s="1241" t="s">
        <v>261</v>
      </c>
      <c r="B52" s="1241" t="s">
        <v>262</v>
      </c>
      <c r="C52" s="1241" t="s">
        <v>263</v>
      </c>
      <c r="D52" s="1241" t="s">
        <v>591</v>
      </c>
      <c r="E52" s="5377"/>
      <c r="F52" s="5377"/>
      <c r="G52" s="5377"/>
      <c r="H52" s="5377"/>
      <c r="I52" s="5397"/>
      <c r="J52" s="5397"/>
      <c r="K52" s="5374" t="str">
        <f>S48&amp;".1"</f>
        <v>...1</v>
      </c>
      <c r="L52" s="1242"/>
      <c r="P52" s="5375"/>
      <c r="Q52" s="5375"/>
      <c r="R52" s="274">
        <v>1</v>
      </c>
      <c r="S52" s="5426" t="str">
        <f>$K52</f>
        <v>...1</v>
      </c>
      <c r="T52" s="5445"/>
      <c r="U52" s="218"/>
      <c r="V52" s="650"/>
      <c r="W52" s="1140"/>
      <c r="X52" s="650"/>
      <c r="Y52" s="1140"/>
      <c r="Z52" s="1597"/>
      <c r="AA52" s="1334" t="s">
        <v>64</v>
      </c>
      <c r="AB52" s="1597"/>
      <c r="AC52" s="1334" t="s">
        <v>64</v>
      </c>
      <c r="AD52" s="5296" t="s">
        <v>64</v>
      </c>
      <c r="AE52" s="5412"/>
      <c r="AF52" s="5332">
        <v>1</v>
      </c>
      <c r="AG52" s="5449"/>
      <c r="AH52" s="5225" t="s">
        <v>64</v>
      </c>
      <c r="AI52" s="5412"/>
      <c r="AJ52" s="5332">
        <v>1</v>
      </c>
      <c r="AK52" s="5448" t="s">
        <v>24</v>
      </c>
      <c r="AL52" s="5225" t="s">
        <v>64</v>
      </c>
      <c r="AM52" s="5322"/>
      <c r="AN52" s="5332">
        <v>1</v>
      </c>
      <c r="AO52" s="5442"/>
      <c r="AP52" s="5443" t="s">
        <v>64</v>
      </c>
      <c r="AQ52" s="229"/>
      <c r="AR52" s="1337">
        <v>1</v>
      </c>
      <c r="AS52" s="1340" t="s">
        <v>24</v>
      </c>
      <c r="AT52" s="650"/>
      <c r="AU52" s="1140"/>
      <c r="AV52" s="650"/>
      <c r="AW52" s="1140"/>
      <c r="AX52" s="1597"/>
      <c r="AY52" s="1334" t="s">
        <v>64</v>
      </c>
      <c r="AZ52" s="1597"/>
      <c r="BA52" s="1334" t="s">
        <v>64</v>
      </c>
      <c r="BB52" s="1227"/>
      <c r="BC52" s="5371" t="s">
        <v>577</v>
      </c>
      <c r="BE52" s="408"/>
      <c r="BF52" s="408" t="str">
        <f t="shared" si="3"/>
        <v/>
      </c>
      <c r="BG52" s="408"/>
      <c r="BH52" s="408"/>
    </row>
    <row r="53" spans="1:60" ht="11.25" customHeight="1">
      <c r="A53" s="1241"/>
      <c r="B53" s="1241"/>
      <c r="C53" s="1241"/>
      <c r="D53" s="1241"/>
      <c r="E53" s="5377"/>
      <c r="F53" s="5377"/>
      <c r="G53" s="5377"/>
      <c r="H53" s="5377"/>
      <c r="I53" s="5397"/>
      <c r="J53" s="5397"/>
      <c r="K53" s="5374"/>
      <c r="L53" s="1242"/>
      <c r="P53" s="5375"/>
      <c r="Q53" s="5375"/>
      <c r="R53" s="274"/>
      <c r="S53" s="5427"/>
      <c r="T53" s="5446"/>
      <c r="U53" s="218"/>
      <c r="V53" s="1271"/>
      <c r="W53" s="1368"/>
      <c r="X53" s="1271"/>
      <c r="Y53" s="1368"/>
      <c r="Z53" s="1271"/>
      <c r="AA53" s="1271"/>
      <c r="AB53" s="1271"/>
      <c r="AC53" s="1271"/>
      <c r="AD53" s="5297"/>
      <c r="AE53" s="5412"/>
      <c r="AF53" s="5332"/>
      <c r="AG53" s="5449"/>
      <c r="AH53" s="5225"/>
      <c r="AI53" s="5412"/>
      <c r="AJ53" s="5332"/>
      <c r="AK53" s="5448"/>
      <c r="AL53" s="5225"/>
      <c r="AM53" s="5327"/>
      <c r="AN53" s="5332"/>
      <c r="AO53" s="5442"/>
      <c r="AP53" s="5444"/>
      <c r="AQ53" s="234"/>
      <c r="AR53" s="332"/>
      <c r="AS53" s="332" t="s">
        <v>578</v>
      </c>
      <c r="AT53" s="1271"/>
      <c r="AU53" s="1368"/>
      <c r="AV53" s="1271"/>
      <c r="AW53" s="1368"/>
      <c r="AX53" s="1271"/>
      <c r="AY53" s="1271"/>
      <c r="AZ53" s="1271"/>
      <c r="BA53" s="1271"/>
      <c r="BB53" s="1275"/>
      <c r="BC53" s="5372"/>
      <c r="BE53" s="408"/>
      <c r="BF53" s="408"/>
      <c r="BG53" s="408"/>
      <c r="BH53" s="408"/>
    </row>
    <row r="54" spans="1:60" ht="11.25" customHeight="1">
      <c r="A54" s="1241" t="s">
        <v>261</v>
      </c>
      <c r="B54" s="1241"/>
      <c r="C54" s="1241"/>
      <c r="D54" s="1241"/>
      <c r="E54" s="5377"/>
      <c r="F54" s="5377"/>
      <c r="G54" s="5377"/>
      <c r="H54" s="5377"/>
      <c r="I54" s="5397"/>
      <c r="J54" s="5397"/>
      <c r="K54" s="5374"/>
      <c r="L54" s="1242"/>
      <c r="P54" s="5375"/>
      <c r="Q54" s="5375"/>
      <c r="R54" s="274"/>
      <c r="S54" s="5427"/>
      <c r="T54" s="5446"/>
      <c r="U54" s="218"/>
      <c r="V54" s="1271"/>
      <c r="W54" s="1368"/>
      <c r="X54" s="1271"/>
      <c r="Y54" s="1368"/>
      <c r="Z54" s="1271"/>
      <c r="AA54" s="1271"/>
      <c r="AB54" s="1271"/>
      <c r="AC54" s="1271"/>
      <c r="AD54" s="5297"/>
      <c r="AE54" s="5412"/>
      <c r="AF54" s="5332"/>
      <c r="AG54" s="5449"/>
      <c r="AH54" s="5225"/>
      <c r="AI54" s="5412"/>
      <c r="AJ54" s="5332"/>
      <c r="AK54" s="5448"/>
      <c r="AL54" s="5225"/>
      <c r="AM54" s="234"/>
      <c r="AN54" s="1372"/>
      <c r="AO54" s="1372" t="s">
        <v>579</v>
      </c>
      <c r="AP54" s="332"/>
      <c r="AQ54" s="332"/>
      <c r="AR54" s="332"/>
      <c r="AS54" s="1271"/>
      <c r="AT54" s="1271"/>
      <c r="AU54" s="1368"/>
      <c r="AV54" s="1271"/>
      <c r="AW54" s="1368"/>
      <c r="AX54" s="1271"/>
      <c r="AY54" s="1271"/>
      <c r="AZ54" s="1271"/>
      <c r="BA54" s="1271"/>
      <c r="BB54" s="1275"/>
      <c r="BC54" s="5372"/>
      <c r="BE54" s="408"/>
      <c r="BF54" s="408"/>
      <c r="BG54" s="408"/>
      <c r="BH54" s="408"/>
    </row>
    <row r="55" spans="1:60" ht="11.25" customHeight="1">
      <c r="A55" s="1241" t="s">
        <v>261</v>
      </c>
      <c r="B55" s="1241"/>
      <c r="C55" s="1241"/>
      <c r="D55" s="1241"/>
      <c r="E55" s="5377"/>
      <c r="F55" s="5377"/>
      <c r="G55" s="5377"/>
      <c r="H55" s="5377"/>
      <c r="I55" s="5397"/>
      <c r="J55" s="5397"/>
      <c r="K55" s="5374"/>
      <c r="L55" s="1242"/>
      <c r="P55" s="5375"/>
      <c r="Q55" s="5375"/>
      <c r="R55" s="274"/>
      <c r="S55" s="5427"/>
      <c r="T55" s="5446"/>
      <c r="U55" s="218"/>
      <c r="V55" s="1271"/>
      <c r="W55" s="1368"/>
      <c r="X55" s="1271"/>
      <c r="Y55" s="1368"/>
      <c r="Z55" s="1271"/>
      <c r="AA55" s="1271"/>
      <c r="AB55" s="1271"/>
      <c r="AC55" s="1271"/>
      <c r="AD55" s="5297"/>
      <c r="AE55" s="5412"/>
      <c r="AF55" s="5332"/>
      <c r="AG55" s="5449"/>
      <c r="AH55" s="5225"/>
      <c r="AI55" s="212"/>
      <c r="AJ55" s="331"/>
      <c r="AK55" s="231" t="s">
        <v>580</v>
      </c>
      <c r="AL55" s="1271"/>
      <c r="AM55" s="1271"/>
      <c r="AN55" s="1271"/>
      <c r="AO55" s="1271"/>
      <c r="AP55" s="1271"/>
      <c r="AQ55" s="1271"/>
      <c r="AR55" s="1271"/>
      <c r="AS55" s="1271"/>
      <c r="AT55" s="1271"/>
      <c r="AU55" s="1368"/>
      <c r="AV55" s="1271"/>
      <c r="AW55" s="1368"/>
      <c r="AX55" s="1271"/>
      <c r="AY55" s="1271"/>
      <c r="AZ55" s="1271"/>
      <c r="BA55" s="1271"/>
      <c r="BB55" s="1275"/>
      <c r="BC55" s="5372"/>
      <c r="BE55" s="408"/>
      <c r="BF55" s="408"/>
      <c r="BG55" s="408"/>
      <c r="BH55" s="408"/>
    </row>
    <row r="56" spans="1:60" ht="11.25" customHeight="1">
      <c r="A56" s="1241" t="s">
        <v>261</v>
      </c>
      <c r="B56" s="1241" t="s">
        <v>262</v>
      </c>
      <c r="C56" s="1241" t="s">
        <v>263</v>
      </c>
      <c r="D56" s="1241" t="s">
        <v>591</v>
      </c>
      <c r="E56" s="5377"/>
      <c r="F56" s="5377"/>
      <c r="G56" s="5377"/>
      <c r="H56" s="5377"/>
      <c r="I56" s="5397"/>
      <c r="J56" s="5397"/>
      <c r="K56" s="5374"/>
      <c r="L56" s="1242"/>
      <c r="P56" s="5375"/>
      <c r="Q56" s="5375"/>
      <c r="R56" s="274"/>
      <c r="S56" s="5428"/>
      <c r="T56" s="5447"/>
      <c r="U56" s="218"/>
      <c r="V56" s="1271"/>
      <c r="W56" s="1272" t="str">
        <f>Z52&amp;"-"&amp;AB52</f>
        <v>-</v>
      </c>
      <c r="X56" s="1271"/>
      <c r="Y56" s="1272" t="str">
        <f>AB52&amp;"-"&amp;AD52</f>
        <v>-да</v>
      </c>
      <c r="Z56" s="1271"/>
      <c r="AA56" s="1271"/>
      <c r="AB56" s="1271"/>
      <c r="AC56" s="1271"/>
      <c r="AD56" s="5230"/>
      <c r="AE56" s="230"/>
      <c r="AF56" s="232"/>
      <c r="AG56" s="332" t="s">
        <v>581</v>
      </c>
      <c r="AH56" s="1271"/>
      <c r="AI56" s="1271"/>
      <c r="AJ56" s="1271"/>
      <c r="AK56" s="1271"/>
      <c r="AL56" s="1271"/>
      <c r="AM56" s="1271"/>
      <c r="AN56" s="1271"/>
      <c r="AO56" s="1271"/>
      <c r="AP56" s="1271"/>
      <c r="AQ56" s="1271"/>
      <c r="AR56" s="1271"/>
      <c r="AS56" s="1271"/>
      <c r="AT56" s="1271"/>
      <c r="AU56" s="1272" t="str">
        <f>AX52&amp;"-"&amp;AZ52</f>
        <v>-</v>
      </c>
      <c r="AV56" s="1271"/>
      <c r="AW56" s="1272" t="str">
        <f>AZ52&amp;"-"&amp;BB52</f>
        <v>-</v>
      </c>
      <c r="AX56" s="1271"/>
      <c r="AY56" s="1271"/>
      <c r="AZ56" s="1271"/>
      <c r="BA56" s="1271"/>
      <c r="BB56" s="1274" t="str">
        <f>BE52&amp;"-"&amp;BG52</f>
        <v>-</v>
      </c>
      <c r="BC56" s="5372"/>
      <c r="BE56" s="408"/>
      <c r="BF56" s="408" t="str">
        <f t="shared" ref="BF56:BF63" si="4">IF(T56="","",T56)</f>
        <v/>
      </c>
      <c r="BG56" s="408"/>
      <c r="BH56" s="408"/>
    </row>
    <row r="57" spans="1:60" ht="11.25" customHeight="1">
      <c r="A57" s="1241" t="s">
        <v>261</v>
      </c>
      <c r="B57" s="1241" t="s">
        <v>262</v>
      </c>
      <c r="C57" s="1241" t="s">
        <v>263</v>
      </c>
      <c r="D57" s="1241" t="s">
        <v>591</v>
      </c>
      <c r="E57" s="5377"/>
      <c r="F57" s="5377"/>
      <c r="G57" s="5377"/>
      <c r="H57" s="5377"/>
      <c r="I57" s="5397"/>
      <c r="J57" s="5374"/>
      <c r="K57" s="1241"/>
      <c r="L57" s="1242"/>
      <c r="P57" s="5375"/>
      <c r="Q57" s="5375"/>
      <c r="R57" s="273"/>
      <c r="S57" s="1161"/>
      <c r="T57" s="205" t="s">
        <v>543</v>
      </c>
      <c r="U57" s="283"/>
      <c r="V57" s="283"/>
      <c r="W57" s="283"/>
      <c r="X57" s="283"/>
      <c r="Y57" s="283"/>
      <c r="Z57" s="283"/>
      <c r="AA57" s="283"/>
      <c r="AB57" s="283"/>
      <c r="AC57" s="242"/>
      <c r="AD57" s="1377"/>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5373"/>
      <c r="BE57" s="408"/>
      <c r="BF57" s="408" t="str">
        <f t="shared" si="4"/>
        <v>Добавить строку</v>
      </c>
      <c r="BG57" s="408"/>
      <c r="BH57" s="408"/>
    </row>
    <row r="58" spans="1:60" s="4856" customFormat="1" ht="0" hidden="1" customHeight="1">
      <c r="A58" s="1222" t="s">
        <v>261</v>
      </c>
      <c r="B58" s="1222" t="s">
        <v>262</v>
      </c>
      <c r="C58" s="1222" t="s">
        <v>263</v>
      </c>
      <c r="D58" s="1222" t="s">
        <v>591</v>
      </c>
      <c r="E58" s="5377"/>
      <c r="F58" s="5377"/>
      <c r="G58" s="5377"/>
      <c r="H58" s="5377"/>
      <c r="I58" s="5374"/>
      <c r="J58" s="1222"/>
      <c r="K58" s="1222"/>
      <c r="L58" s="1225"/>
      <c r="M58" s="418"/>
      <c r="N58" s="418"/>
      <c r="O58" s="418"/>
      <c r="P58" s="5375"/>
      <c r="Q58" s="1336"/>
      <c r="R58" s="273"/>
      <c r="S58" s="1264"/>
      <c r="T58" s="1265"/>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7"/>
      <c r="BE58" s="408"/>
      <c r="BF58" s="408" t="str">
        <f t="shared" si="4"/>
        <v/>
      </c>
      <c r="BG58" s="408"/>
      <c r="BH58" s="408"/>
    </row>
    <row r="59" spans="1:60" s="4856" customFormat="1" ht="0" hidden="1" customHeight="1">
      <c r="A59" s="1222" t="s">
        <v>261</v>
      </c>
      <c r="B59" s="1222" t="s">
        <v>262</v>
      </c>
      <c r="C59" s="1222" t="s">
        <v>263</v>
      </c>
      <c r="D59" s="1222" t="s">
        <v>591</v>
      </c>
      <c r="E59" s="5377"/>
      <c r="F59" s="5377"/>
      <c r="G59" s="5377"/>
      <c r="H59" s="5376"/>
      <c r="I59" s="1222"/>
      <c r="J59" s="1222"/>
      <c r="K59" s="1222"/>
      <c r="L59" s="1225"/>
      <c r="M59" s="1195"/>
      <c r="N59" s="1195"/>
      <c r="O59" s="426"/>
      <c r="P59" s="296"/>
      <c r="Q59" s="1223"/>
      <c r="R59" s="1279"/>
      <c r="S59" s="1264"/>
      <c r="T59" s="1265"/>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7"/>
      <c r="BE59" s="408"/>
      <c r="BF59" s="408" t="str">
        <f t="shared" si="4"/>
        <v/>
      </c>
      <c r="BG59" s="408"/>
      <c r="BH59" s="408"/>
    </row>
    <row r="60" spans="1:60" s="4853" customFormat="1" ht="0" hidden="1" customHeight="1">
      <c r="A60" s="1222" t="s">
        <v>261</v>
      </c>
      <c r="B60" s="1222" t="s">
        <v>262</v>
      </c>
      <c r="C60" s="1222" t="s">
        <v>263</v>
      </c>
      <c r="D60" s="1194"/>
      <c r="E60" s="5377"/>
      <c r="F60" s="5377"/>
      <c r="G60" s="5376"/>
      <c r="H60" s="1194"/>
      <c r="I60" s="1194"/>
      <c r="J60" s="1194"/>
      <c r="K60" s="1194"/>
      <c r="L60" s="1338"/>
      <c r="M60" s="1195"/>
      <c r="N60" s="1195"/>
      <c r="P60" s="1196"/>
      <c r="Q60" s="1197"/>
      <c r="R60" s="1196"/>
      <c r="S60" s="1202"/>
      <c r="T60" s="1205"/>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V60" s="1204"/>
      <c r="AW60" s="1204"/>
      <c r="AX60" s="1204"/>
      <c r="AY60" s="1204"/>
      <c r="AZ60" s="1204"/>
      <c r="BA60" s="1204"/>
      <c r="BB60" s="1204"/>
      <c r="BC60" s="1204"/>
      <c r="BE60" s="688"/>
      <c r="BF60" s="688" t="str">
        <f t="shared" si="4"/>
        <v/>
      </c>
      <c r="BG60" s="688"/>
      <c r="BH60" s="688"/>
    </row>
    <row r="61" spans="1:60" s="4853" customFormat="1" ht="0" hidden="1" customHeight="1">
      <c r="A61" s="1222" t="s">
        <v>261</v>
      </c>
      <c r="B61" s="1222" t="s">
        <v>262</v>
      </c>
      <c r="C61" s="1194"/>
      <c r="D61" s="1194"/>
      <c r="E61" s="5377"/>
      <c r="F61" s="5376"/>
      <c r="G61" s="1194"/>
      <c r="H61" s="1194"/>
      <c r="I61" s="1194"/>
      <c r="J61" s="1194"/>
      <c r="K61" s="1194"/>
      <c r="L61" s="1338"/>
      <c r="M61" s="1201"/>
      <c r="N61" s="1201"/>
      <c r="P61" s="1196"/>
      <c r="Q61" s="1197"/>
      <c r="R61" s="1196"/>
      <c r="S61" s="1202"/>
      <c r="T61" s="1205" t="s">
        <v>271</v>
      </c>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1204"/>
      <c r="AV61" s="1204"/>
      <c r="AW61" s="1204"/>
      <c r="AX61" s="1204"/>
      <c r="AY61" s="1204"/>
      <c r="AZ61" s="1204"/>
      <c r="BA61" s="1204"/>
      <c r="BB61" s="1204"/>
      <c r="BC61" s="1204"/>
      <c r="BE61" s="688"/>
      <c r="BF61" s="688" t="str">
        <f t="shared" si="4"/>
        <v>Добавить централизованную систему для дифференциации</v>
      </c>
      <c r="BG61" s="688"/>
      <c r="BH61" s="688"/>
    </row>
    <row r="62" spans="1:60" s="4856" customFormat="1" ht="0" hidden="1" customHeight="1">
      <c r="A62" s="1222" t="s">
        <v>261</v>
      </c>
      <c r="B62" s="1222"/>
      <c r="C62" s="1222"/>
      <c r="D62" s="1222"/>
      <c r="E62" s="5376"/>
      <c r="F62" s="1222"/>
      <c r="G62" s="1222"/>
      <c r="H62" s="1222"/>
      <c r="I62" s="1222"/>
      <c r="J62" s="1222"/>
      <c r="K62" s="1222"/>
      <c r="L62" s="1225"/>
      <c r="M62" s="1201"/>
      <c r="N62" s="1201"/>
      <c r="O62" s="426"/>
      <c r="P62" s="296"/>
      <c r="Q62" s="1223"/>
      <c r="R62" s="296"/>
      <c r="S62" s="1202"/>
      <c r="T62" s="1205" t="s">
        <v>330</v>
      </c>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V62" s="1204"/>
      <c r="AW62" s="1204"/>
      <c r="AX62" s="1204"/>
      <c r="AY62" s="1204"/>
      <c r="AZ62" s="1204"/>
      <c r="BA62" s="1204"/>
      <c r="BB62" s="1204"/>
      <c r="BC62" s="1204"/>
      <c r="BE62" s="408"/>
      <c r="BF62" s="408" t="str">
        <f t="shared" si="4"/>
        <v>Добавить территорию для дифференциации</v>
      </c>
      <c r="BG62" s="408"/>
      <c r="BH62" s="408"/>
    </row>
    <row r="63" spans="1:60" s="4853" customFormat="1" ht="0" hidden="1" customHeight="1">
      <c r="A63" s="1194"/>
      <c r="B63" s="1194"/>
      <c r="C63" s="1194"/>
      <c r="D63" s="1194"/>
      <c r="E63" s="1222"/>
      <c r="F63" s="1194"/>
      <c r="G63" s="1194"/>
      <c r="H63" s="1194"/>
      <c r="I63" s="1194"/>
      <c r="J63" s="1194"/>
      <c r="K63" s="1194"/>
      <c r="L63" s="1338"/>
      <c r="M63" s="1201"/>
      <c r="N63" s="1201"/>
      <c r="P63" s="1196"/>
      <c r="Q63" s="1197"/>
      <c r="R63" s="1196"/>
      <c r="S63" s="1202"/>
      <c r="T63" s="1205" t="s">
        <v>331</v>
      </c>
      <c r="U63" s="1204"/>
      <c r="V63" s="1204"/>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R63" s="1204"/>
      <c r="AS63" s="1204"/>
      <c r="AT63" s="1204"/>
      <c r="AU63" s="1204"/>
      <c r="AV63" s="1204"/>
      <c r="AW63" s="1204"/>
      <c r="AX63" s="1204"/>
      <c r="AY63" s="1204"/>
      <c r="AZ63" s="1204"/>
      <c r="BA63" s="1204"/>
      <c r="BB63" s="1204"/>
      <c r="BC63" s="1204"/>
      <c r="BE63" s="688"/>
      <c r="BF63" s="688" t="str">
        <f t="shared" si="4"/>
        <v>Добавить наименование тарифа</v>
      </c>
      <c r="BG63" s="688"/>
      <c r="BH63" s="688"/>
    </row>
    <row r="64" spans="1:60" ht="11.25" customHeight="1">
      <c r="M64" s="1042"/>
      <c r="N64" s="1042"/>
      <c r="O64" s="444"/>
      <c r="P64" s="1042"/>
      <c r="Q64" s="1042"/>
      <c r="R64" s="1037"/>
      <c r="S64" s="1037"/>
      <c r="BD64" s="1037"/>
      <c r="BE64" s="1037"/>
      <c r="BF64" s="1037"/>
      <c r="BG64" s="1037"/>
      <c r="BH64" s="1037"/>
    </row>
    <row r="65" spans="15:55" ht="18.75" customHeight="1">
      <c r="O65" s="444"/>
      <c r="S65" s="1136"/>
      <c r="T65" s="5396"/>
      <c r="U65" s="5396"/>
      <c r="V65" s="5396"/>
      <c r="W65" s="5396"/>
      <c r="X65" s="5396"/>
      <c r="Y65" s="5396"/>
      <c r="Z65" s="5396"/>
      <c r="AA65" s="5396"/>
      <c r="AB65" s="5396"/>
      <c r="AC65" s="5396"/>
      <c r="AD65" s="5396"/>
      <c r="AE65" s="5396"/>
      <c r="AF65" s="5396"/>
      <c r="AG65" s="5396"/>
      <c r="AH65" s="5396"/>
      <c r="AI65" s="5396"/>
      <c r="AJ65" s="5396"/>
      <c r="AK65" s="5396"/>
      <c r="AL65" s="5396"/>
      <c r="AM65" s="5396"/>
      <c r="AN65" s="5396"/>
      <c r="AO65" s="5396"/>
      <c r="AP65" s="5396"/>
      <c r="AQ65" s="5396"/>
      <c r="AR65" s="5396"/>
      <c r="AS65" s="5396"/>
      <c r="AT65" s="5396"/>
      <c r="AU65" s="5396"/>
      <c r="AV65" s="5396"/>
      <c r="AW65" s="5396"/>
      <c r="AX65" s="5396"/>
      <c r="AY65" s="5396"/>
      <c r="AZ65" s="5396"/>
      <c r="BA65" s="5396"/>
      <c r="BB65" s="5396"/>
      <c r="BC65" s="5396"/>
    </row>
    <row r="66" spans="15:55" ht="14.25" customHeight="1">
      <c r="O66" s="444"/>
      <c r="T66" s="1324"/>
      <c r="U66" s="1324"/>
      <c r="V66" s="1324"/>
      <c r="W66" s="1324"/>
      <c r="X66" s="1324"/>
      <c r="Y66" s="1324"/>
      <c r="Z66" s="1324"/>
      <c r="AA66" s="1324"/>
      <c r="AB66" s="1324"/>
      <c r="AC66" s="1324"/>
      <c r="AD66" s="1324"/>
      <c r="AE66" s="1324"/>
      <c r="AF66" s="1324"/>
      <c r="AG66" s="1324"/>
      <c r="AH66" s="1324"/>
      <c r="AI66" s="1324"/>
      <c r="AJ66" s="1324"/>
      <c r="AK66" s="1324"/>
      <c r="AL66" s="1324"/>
      <c r="AM66" s="1324"/>
      <c r="AN66" s="1324"/>
      <c r="AO66" s="1324"/>
      <c r="AP66" s="1324"/>
      <c r="AQ66" s="1324"/>
      <c r="AR66" s="1324"/>
      <c r="AS66" s="1324"/>
      <c r="AT66" s="1324"/>
      <c r="AU66" s="1324"/>
      <c r="AV66" s="1324"/>
      <c r="AW66" s="1324"/>
      <c r="AX66" s="1324"/>
      <c r="AY66" s="1324"/>
      <c r="AZ66" s="1324"/>
      <c r="BA66" s="1324"/>
      <c r="BB66" s="1324"/>
      <c r="BC66" s="1324"/>
    </row>
    <row r="67" spans="15:55" ht="18.75" customHeight="1">
      <c r="O67" s="444"/>
      <c r="S67" s="1136"/>
      <c r="T67" s="5396"/>
      <c r="U67" s="5396"/>
      <c r="V67" s="5396"/>
      <c r="W67" s="5396"/>
      <c r="X67" s="5396"/>
      <c r="Y67" s="5396"/>
      <c r="Z67" s="5396"/>
      <c r="AA67" s="5396"/>
      <c r="AB67" s="5396"/>
      <c r="AC67" s="5396"/>
      <c r="AD67" s="5396"/>
      <c r="AE67" s="5396"/>
      <c r="AF67" s="5396"/>
      <c r="AG67" s="5396"/>
      <c r="AH67" s="5396"/>
      <c r="AI67" s="5396"/>
      <c r="AJ67" s="5396"/>
      <c r="AK67" s="5396"/>
      <c r="AL67" s="5396"/>
      <c r="AM67" s="5396"/>
      <c r="AN67" s="5396"/>
      <c r="AO67" s="5396"/>
      <c r="AP67" s="5396"/>
      <c r="AQ67" s="5396"/>
      <c r="AR67" s="5396"/>
      <c r="AS67" s="5396"/>
      <c r="AT67" s="5396"/>
      <c r="AU67" s="5396"/>
      <c r="AV67" s="5396"/>
      <c r="AW67" s="5396"/>
      <c r="AX67" s="5396"/>
      <c r="AY67" s="5396"/>
      <c r="AZ67" s="5396"/>
      <c r="BA67" s="5396"/>
      <c r="BB67" s="5396"/>
      <c r="BC67" s="5396"/>
    </row>
    <row r="68" spans="15:55" ht="14.25" customHeight="1">
      <c r="O68" s="444"/>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4.140625" style="4854" hidden="1" customWidth="1"/>
    <col min="10" max="10" width="9.85546875" style="4854" hidden="1" customWidth="1"/>
    <col min="11" max="11" width="14.7109375" style="4854" hidden="1" customWidth="1"/>
    <col min="12" max="12" width="19.140625" style="4880" hidden="1" customWidth="1"/>
    <col min="13" max="14" width="12.28515625" style="4858" hidden="1" customWidth="1"/>
    <col min="15" max="15" width="23.42578125" style="4858" hidden="1" customWidth="1"/>
    <col min="16" max="16" width="3.7109375" style="4881" customWidth="1"/>
    <col min="17" max="18" width="3.7109375" style="4860" customWidth="1"/>
    <col min="19" max="19" width="12.7109375" style="4861" customWidth="1"/>
    <col min="20" max="20" width="35.7109375" style="4862" customWidth="1"/>
    <col min="21" max="21" width="0.140625" style="4862" customWidth="1"/>
    <col min="22" max="24" width="24.7109375" style="4862" hidden="1" customWidth="1"/>
    <col min="25" max="25" width="11.7109375" style="4862" hidden="1" customWidth="1"/>
    <col min="26" max="26" width="3.7109375" style="4862" hidden="1" customWidth="1"/>
    <col min="27" max="27" width="11.7109375" style="4862" hidden="1" customWidth="1"/>
    <col min="28" max="28" width="8.5703125" style="4862" hidden="1" customWidth="1"/>
    <col min="29" max="31" width="24.7109375" style="4862" customWidth="1"/>
    <col min="32" max="32" width="11.7109375" style="4862" customWidth="1"/>
    <col min="33" max="33" width="3.7109375" style="4862" customWidth="1"/>
    <col min="34" max="34" width="11.7109375" style="4862" customWidth="1"/>
    <col min="35" max="35" width="8.5703125" style="4862" hidden="1" customWidth="1"/>
    <col min="36" max="36" width="4.7109375" style="4862" customWidth="1"/>
    <col min="37" max="37" width="115.7109375" style="4862" customWidth="1"/>
    <col min="38" max="39" width="10.5703125" style="4856"/>
    <col min="40" max="40" width="11.140625" style="4856" customWidth="1"/>
    <col min="41" max="42" width="10.5703125" style="4856"/>
  </cols>
  <sheetData>
    <row r="1" spans="1:42" ht="14.25" hidden="1" customHeight="1">
      <c r="X1" s="245"/>
      <c r="Y1" s="245"/>
      <c r="AE1" s="245"/>
      <c r="AF1" s="245"/>
    </row>
    <row r="2" spans="1:42" ht="23.25" hidden="1" customHeight="1">
      <c r="A2" s="1241"/>
      <c r="B2" s="1241"/>
      <c r="C2" s="1241"/>
      <c r="D2" s="1241"/>
      <c r="E2" s="5376">
        <v>1</v>
      </c>
      <c r="F2" s="1241"/>
      <c r="G2" s="1241"/>
      <c r="H2" s="1241"/>
      <c r="I2" s="1241"/>
      <c r="J2" s="1241"/>
      <c r="K2" s="1241"/>
      <c r="L2" s="1242"/>
      <c r="M2" s="1243"/>
      <c r="N2" s="1243"/>
      <c r="O2" s="1243"/>
      <c r="P2" s="278"/>
      <c r="Q2" s="277"/>
      <c r="R2" s="272"/>
      <c r="S2" s="1365" t="e">
        <f>INDEX(PT_DIFFERENTIATION_NUM_NTAR,MATCH(A2,PT_DIFFERENTIATION_NTAR_ID,0))</f>
        <v>#N/A</v>
      </c>
      <c r="T2" s="216" t="s">
        <v>141</v>
      </c>
      <c r="U2" s="218"/>
      <c r="V2" s="5362"/>
      <c r="W2" s="5363"/>
      <c r="X2" s="5363"/>
      <c r="Y2" s="5363"/>
      <c r="Z2" s="5363"/>
      <c r="AA2" s="5363"/>
      <c r="AB2" s="5364"/>
      <c r="AC2" s="5362" t="e">
        <f>INDEX(PT_DIFFERENTIATION_NTAR,MATCH(A2,PT_DIFFERENTIATION_NTAR_ID,0))</f>
        <v>#N/A</v>
      </c>
      <c r="AD2" s="5363"/>
      <c r="AE2" s="5363"/>
      <c r="AF2" s="5363"/>
      <c r="AG2" s="5363"/>
      <c r="AH2" s="5363"/>
      <c r="AI2" s="5363"/>
      <c r="AJ2" s="5364"/>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1"/>
      <c r="B3" s="1241"/>
      <c r="C3" s="1241"/>
      <c r="D3" s="1241"/>
      <c r="E3" s="5377"/>
      <c r="F3" s="5376">
        <v>1</v>
      </c>
      <c r="G3" s="1241"/>
      <c r="H3" s="1241"/>
      <c r="I3" s="1241"/>
      <c r="J3" s="1241"/>
      <c r="K3" s="1241"/>
      <c r="L3" s="1242"/>
      <c r="M3" s="1243"/>
      <c r="N3" s="1243"/>
      <c r="O3" s="1243"/>
      <c r="P3" s="1359"/>
      <c r="Q3" s="269"/>
      <c r="R3" s="270"/>
      <c r="S3" s="1365" t="e">
        <f>INDEX(PT_DIFFERENTIATION_NUM_TER,MATCH(B3,PT_DIFFERENTIATION_TER_ID,0))</f>
        <v>#N/A</v>
      </c>
      <c r="T3" s="226" t="s">
        <v>475</v>
      </c>
      <c r="U3" s="218"/>
      <c r="V3" s="5362"/>
      <c r="W3" s="5363"/>
      <c r="X3" s="5363"/>
      <c r="Y3" s="5363"/>
      <c r="Z3" s="5363"/>
      <c r="AA3" s="5363"/>
      <c r="AB3" s="5364"/>
      <c r="AC3" s="5362" t="e">
        <f>INDEX(PT_DIFFERENTIATION_TER,MATCH(B3,PT_DIFFERENTIATION_TER_ID,0))</f>
        <v>#N/A</v>
      </c>
      <c r="AD3" s="5363"/>
      <c r="AE3" s="5363"/>
      <c r="AF3" s="5363"/>
      <c r="AG3" s="5363"/>
      <c r="AH3" s="5363"/>
      <c r="AI3" s="5363"/>
      <c r="AJ3" s="5364"/>
      <c r="AK3" s="1141" t="s">
        <v>476</v>
      </c>
      <c r="AM3" s="408"/>
      <c r="AN3" s="408" t="str">
        <f t="shared" si="0"/>
        <v>Территория действия тарифа</v>
      </c>
      <c r="AO3" s="408"/>
      <c r="AP3" s="408"/>
    </row>
    <row r="4" spans="1:42" ht="23.25" hidden="1" customHeight="1">
      <c r="A4" s="1241"/>
      <c r="B4" s="1241"/>
      <c r="C4" s="1241"/>
      <c r="D4" s="1241"/>
      <c r="E4" s="5377"/>
      <c r="F4" s="5377"/>
      <c r="G4" s="5376">
        <v>1</v>
      </c>
      <c r="H4" s="1241"/>
      <c r="I4" s="1241"/>
      <c r="J4" s="1241"/>
      <c r="K4" s="1241"/>
      <c r="L4" s="1242"/>
      <c r="M4" s="1243"/>
      <c r="N4" s="1243"/>
      <c r="O4" s="1243"/>
      <c r="P4" s="271"/>
      <c r="Q4" s="269"/>
      <c r="R4" s="270"/>
      <c r="S4" s="1365" t="e">
        <f>INDEX(PT_DIFFERENTIATION_NUM_CS,MATCH(C4,PT_DIFFERENTIATION_CS_ID,0))</f>
        <v>#N/A</v>
      </c>
      <c r="T4" s="227" t="s">
        <v>592</v>
      </c>
      <c r="U4" s="218"/>
      <c r="V4" s="5362"/>
      <c r="W4" s="5363"/>
      <c r="X4" s="5363"/>
      <c r="Y4" s="5363"/>
      <c r="Z4" s="5363"/>
      <c r="AA4" s="5363"/>
      <c r="AB4" s="5364"/>
      <c r="AC4" s="5362" t="e">
        <f>INDEX(PT_DIFFERENTIATION_CS,MATCH(C4,PT_DIFFERENTIATION_CS_ID,0))</f>
        <v>#N/A</v>
      </c>
      <c r="AD4" s="5363"/>
      <c r="AE4" s="5363"/>
      <c r="AF4" s="5363"/>
      <c r="AG4" s="5363"/>
      <c r="AH4" s="5363"/>
      <c r="AI4" s="5363"/>
      <c r="AJ4" s="5364"/>
      <c r="AK4" s="1141" t="s">
        <v>593</v>
      </c>
      <c r="AM4" s="408"/>
      <c r="AN4" s="408" t="str">
        <f t="shared" si="0"/>
        <v>Наименование централизованной системы водоотведения</v>
      </c>
      <c r="AO4" s="408"/>
      <c r="AP4" s="408"/>
    </row>
    <row r="5" spans="1:42" ht="23.25" hidden="1" customHeight="1">
      <c r="A5" s="1241"/>
      <c r="B5" s="1241"/>
      <c r="C5" s="1241"/>
      <c r="D5" s="1241"/>
      <c r="E5" s="5377"/>
      <c r="F5" s="5377"/>
      <c r="G5" s="5377"/>
      <c r="H5" s="5377"/>
      <c r="I5" s="5374" t="e">
        <f>S4&amp;".1"</f>
        <v>#N/A</v>
      </c>
      <c r="J5" s="1241"/>
      <c r="K5" s="1241"/>
      <c r="L5" s="1242"/>
      <c r="P5" s="5375">
        <v>1</v>
      </c>
      <c r="Q5" s="1353"/>
      <c r="R5" s="273"/>
      <c r="S5" s="1365" t="e">
        <f>$I5</f>
        <v>#N/A</v>
      </c>
      <c r="T5" s="203" t="s">
        <v>559</v>
      </c>
      <c r="U5" s="218"/>
      <c r="V5" s="5435"/>
      <c r="W5" s="5436"/>
      <c r="X5" s="5436"/>
      <c r="Y5" s="5436"/>
      <c r="Z5" s="5436"/>
      <c r="AA5" s="5436"/>
      <c r="AB5" s="5437"/>
      <c r="AC5" s="5438"/>
      <c r="AD5" s="5439"/>
      <c r="AE5" s="5439"/>
      <c r="AF5" s="5439"/>
      <c r="AG5" s="5439"/>
      <c r="AH5" s="5439"/>
      <c r="AI5" s="5439"/>
      <c r="AJ5" s="5440"/>
      <c r="AK5" s="1141" t="s">
        <v>560</v>
      </c>
      <c r="AM5" s="408"/>
      <c r="AN5" s="408" t="str">
        <f t="shared" si="0"/>
        <v>Наименование признака дифференциации</v>
      </c>
      <c r="AO5" s="408"/>
      <c r="AP5" s="408"/>
    </row>
    <row r="6" spans="1:42" ht="23.25" hidden="1" customHeight="1">
      <c r="A6" s="1241"/>
      <c r="B6" s="1241"/>
      <c r="C6" s="1241"/>
      <c r="D6" s="1241"/>
      <c r="E6" s="5377"/>
      <c r="F6" s="5377"/>
      <c r="G6" s="5377"/>
      <c r="H6" s="5377"/>
      <c r="I6" s="5397"/>
      <c r="J6" s="5374" t="e">
        <f>I5&amp;".1"</f>
        <v>#N/A</v>
      </c>
      <c r="K6" s="1241"/>
      <c r="L6" s="1242" t="s">
        <v>484</v>
      </c>
      <c r="P6" s="5375"/>
      <c r="Q6" s="5375">
        <v>1</v>
      </c>
      <c r="R6" s="274"/>
      <c r="S6" s="1365" t="e">
        <f>$J6</f>
        <v>#N/A</v>
      </c>
      <c r="T6" s="204" t="s">
        <v>485</v>
      </c>
      <c r="U6" s="218"/>
      <c r="V6" s="5365"/>
      <c r="W6" s="5366"/>
      <c r="X6" s="5366"/>
      <c r="Y6" s="5366"/>
      <c r="Z6" s="5366"/>
      <c r="AA6" s="5366"/>
      <c r="AB6" s="5367"/>
      <c r="AC6" s="5365"/>
      <c r="AD6" s="5366"/>
      <c r="AE6" s="5366"/>
      <c r="AF6" s="5366"/>
      <c r="AG6" s="5366"/>
      <c r="AH6" s="5366"/>
      <c r="AI6" s="5366"/>
      <c r="AJ6" s="5367"/>
      <c r="AK6" s="1188" t="s">
        <v>561</v>
      </c>
      <c r="AM6" s="408"/>
      <c r="AN6" s="408" t="str">
        <f t="shared" si="0"/>
        <v>Группа потребителей</v>
      </c>
      <c r="AO6" s="408"/>
      <c r="AP6" s="408"/>
    </row>
    <row r="7" spans="1:42" ht="23.25" hidden="1" customHeight="1">
      <c r="A7" s="1241"/>
      <c r="B7" s="1241"/>
      <c r="C7" s="1241"/>
      <c r="D7" s="1241"/>
      <c r="E7" s="5377"/>
      <c r="F7" s="5377"/>
      <c r="G7" s="5377"/>
      <c r="H7" s="5377"/>
      <c r="I7" s="5397"/>
      <c r="J7" s="5397"/>
      <c r="K7" s="5374" t="e">
        <f>J6&amp;".1"</f>
        <v>#N/A</v>
      </c>
      <c r="L7" s="1242"/>
      <c r="P7" s="5375"/>
      <c r="Q7" s="5375"/>
      <c r="R7" s="274">
        <v>1</v>
      </c>
      <c r="S7" s="1365" t="e">
        <f>$K7</f>
        <v>#N/A</v>
      </c>
      <c r="T7" s="1314"/>
      <c r="U7" s="218"/>
      <c r="V7" s="650"/>
      <c r="W7" s="650"/>
      <c r="X7" s="1140"/>
      <c r="Y7" s="5379"/>
      <c r="Z7" s="5225" t="s">
        <v>64</v>
      </c>
      <c r="AA7" s="5379"/>
      <c r="AB7" s="5225" t="s">
        <v>64</v>
      </c>
      <c r="AC7" s="650"/>
      <c r="AD7" s="650"/>
      <c r="AE7" s="1140"/>
      <c r="AF7" s="5379"/>
      <c r="AG7" s="5225" t="s">
        <v>64</v>
      </c>
      <c r="AH7" s="5398"/>
      <c r="AI7" s="5225" t="s">
        <v>64</v>
      </c>
      <c r="AJ7" s="1315"/>
      <c r="AK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1"/>
      <c r="B8" s="1241"/>
      <c r="C8" s="1241"/>
      <c r="D8" s="1241"/>
      <c r="E8" s="5377"/>
      <c r="F8" s="5377"/>
      <c r="G8" s="5377"/>
      <c r="H8" s="5377"/>
      <c r="I8" s="5397"/>
      <c r="J8" s="5397"/>
      <c r="K8" s="5374"/>
      <c r="L8" s="1242"/>
      <c r="P8" s="5375"/>
      <c r="Q8" s="5375"/>
      <c r="R8" s="274"/>
      <c r="S8" s="1362"/>
      <c r="T8" s="218"/>
      <c r="U8" s="218"/>
      <c r="V8" s="243"/>
      <c r="W8" s="243"/>
      <c r="X8" s="246" t="str">
        <f>Y7&amp;"-"&amp;AA7</f>
        <v>-</v>
      </c>
      <c r="Y8" s="5380"/>
      <c r="Z8" s="5225"/>
      <c r="AA8" s="5380"/>
      <c r="AB8" s="5225"/>
      <c r="AC8" s="243"/>
      <c r="AD8" s="243"/>
      <c r="AE8" s="246" t="str">
        <f>AF7&amp;"-"&amp;AH7</f>
        <v>-</v>
      </c>
      <c r="AF8" s="5380"/>
      <c r="AG8" s="5225"/>
      <c r="AH8" s="5399"/>
      <c r="AI8" s="5225"/>
      <c r="AJ8" s="1316"/>
      <c r="AK8" s="5434"/>
      <c r="AM8" s="408"/>
      <c r="AN8" s="408" t="str">
        <f t="shared" si="0"/>
        <v/>
      </c>
      <c r="AO8" s="408"/>
      <c r="AP8" s="408"/>
    </row>
    <row r="9" spans="1:42" ht="21" hidden="1" customHeight="1">
      <c r="A9" s="1241"/>
      <c r="B9" s="1241"/>
      <c r="C9" s="1241"/>
      <c r="D9" s="1241"/>
      <c r="E9" s="5377"/>
      <c r="F9" s="5377"/>
      <c r="G9" s="5377"/>
      <c r="H9" s="5377"/>
      <c r="I9" s="5397"/>
      <c r="J9" s="5374"/>
      <c r="K9" s="1241"/>
      <c r="L9" s="1242"/>
      <c r="P9" s="5375"/>
      <c r="Q9" s="5375"/>
      <c r="R9" s="273"/>
      <c r="S9" s="1161"/>
      <c r="T9" s="205" t="s">
        <v>562</v>
      </c>
      <c r="U9" s="283"/>
      <c r="V9" s="283"/>
      <c r="W9" s="283"/>
      <c r="X9" s="283"/>
      <c r="Y9" s="283"/>
      <c r="Z9" s="283"/>
      <c r="AA9" s="283"/>
      <c r="AB9" s="283"/>
      <c r="AC9" s="283"/>
      <c r="AD9" s="283"/>
      <c r="AE9" s="283"/>
      <c r="AF9" s="283"/>
      <c r="AG9" s="283"/>
      <c r="AH9" s="283"/>
      <c r="AI9" s="283"/>
      <c r="AJ9" s="283"/>
      <c r="AK9" s="1141" t="s">
        <v>563</v>
      </c>
      <c r="AM9" s="408"/>
      <c r="AN9" s="408" t="str">
        <f t="shared" si="0"/>
        <v>Добавить значение признака дифференциации</v>
      </c>
      <c r="AO9" s="408"/>
      <c r="AP9" s="408"/>
    </row>
    <row r="10" spans="1:42" ht="21" hidden="1" customHeight="1">
      <c r="A10" s="1241"/>
      <c r="B10" s="1241"/>
      <c r="C10" s="1241"/>
      <c r="D10" s="1241"/>
      <c r="E10" s="5377"/>
      <c r="F10" s="5377"/>
      <c r="G10" s="5377"/>
      <c r="H10" s="5377"/>
      <c r="I10" s="5374"/>
      <c r="J10" s="1241"/>
      <c r="K10" s="1241"/>
      <c r="L10" s="1242"/>
      <c r="P10" s="5375"/>
      <c r="Q10" s="1353"/>
      <c r="R10" s="273"/>
      <c r="S10" s="1161"/>
      <c r="T10" s="281" t="s">
        <v>490</v>
      </c>
      <c r="U10" s="283"/>
      <c r="V10" s="283"/>
      <c r="W10" s="283"/>
      <c r="X10" s="283"/>
      <c r="Y10" s="283"/>
      <c r="Z10" s="283"/>
      <c r="AA10" s="283"/>
      <c r="AB10" s="282"/>
      <c r="AC10" s="283"/>
      <c r="AD10" s="283"/>
      <c r="AE10" s="283"/>
      <c r="AF10" s="283"/>
      <c r="AG10" s="283"/>
      <c r="AH10" s="283"/>
      <c r="AI10" s="282"/>
      <c r="AJ10" s="283"/>
      <c r="AK10" s="1317"/>
      <c r="AM10" s="408"/>
      <c r="AN10" s="408" t="str">
        <f t="shared" si="0"/>
        <v>Добавить группу потребителей</v>
      </c>
      <c r="AO10" s="408"/>
      <c r="AP10" s="408"/>
    </row>
    <row r="11" spans="1:42" ht="21" hidden="1" customHeight="1">
      <c r="A11" s="1241"/>
      <c r="B11" s="1241"/>
      <c r="C11" s="1241"/>
      <c r="D11" s="1241"/>
      <c r="E11" s="5377"/>
      <c r="F11" s="5377"/>
      <c r="G11" s="5377"/>
      <c r="H11" s="5376"/>
      <c r="I11" s="1241"/>
      <c r="J11" s="1241"/>
      <c r="K11" s="1241"/>
      <c r="L11" s="1242"/>
      <c r="M11" s="1243"/>
      <c r="N11" s="1243"/>
      <c r="O11" s="444"/>
      <c r="P11" s="277"/>
      <c r="Q11" s="291"/>
      <c r="R11" s="272"/>
      <c r="S11" s="1161"/>
      <c r="T11" s="288" t="s">
        <v>564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4853" customFormat="1" ht="14.25" hidden="1" customHeight="1">
      <c r="A12" s="1222"/>
      <c r="B12" s="1222"/>
      <c r="C12" s="1194"/>
      <c r="D12" s="1194"/>
      <c r="E12" s="5377"/>
      <c r="F12" s="5376"/>
      <c r="G12" s="1194"/>
      <c r="H12" s="1194"/>
      <c r="I12" s="1194"/>
      <c r="J12" s="1194"/>
      <c r="K12" s="1194"/>
      <c r="L12" s="1366"/>
      <c r="M12" s="1201"/>
      <c r="N12" s="1201"/>
      <c r="P12" s="1196"/>
      <c r="Q12" s="1197"/>
      <c r="R12" s="1196"/>
      <c r="S12" s="1202"/>
      <c r="T12" s="1205" t="s">
        <v>271</v>
      </c>
      <c r="U12" s="1204"/>
      <c r="V12" s="1204"/>
      <c r="W12" s="1204"/>
      <c r="X12" s="1204"/>
      <c r="Y12" s="1204"/>
      <c r="Z12" s="1204"/>
      <c r="AA12" s="1204"/>
      <c r="AB12" s="1204"/>
      <c r="AC12" s="1204"/>
      <c r="AD12" s="1204"/>
      <c r="AE12" s="1204"/>
      <c r="AF12" s="1204"/>
      <c r="AG12" s="1204"/>
      <c r="AH12" s="1204"/>
      <c r="AI12" s="1204"/>
      <c r="AJ12" s="1204"/>
      <c r="AK12" s="1204"/>
      <c r="AM12" s="688"/>
      <c r="AN12" s="688" t="str">
        <f t="shared" si="0"/>
        <v>Добавить централизованную систему для дифференциации</v>
      </c>
      <c r="AO12" s="688"/>
      <c r="AP12" s="688"/>
    </row>
    <row r="13" spans="1:42" s="4856" customFormat="1" ht="14.25" hidden="1" customHeight="1">
      <c r="A13" s="1222"/>
      <c r="B13" s="1222"/>
      <c r="C13" s="1222"/>
      <c r="D13" s="1222"/>
      <c r="E13" s="5376"/>
      <c r="F13" s="1222"/>
      <c r="G13" s="1222"/>
      <c r="H13" s="1222"/>
      <c r="I13" s="1222"/>
      <c r="J13" s="1222"/>
      <c r="K13" s="1222"/>
      <c r="L13" s="1225"/>
      <c r="M13" s="1201"/>
      <c r="N13" s="1201"/>
      <c r="O13" s="426"/>
      <c r="P13" s="296"/>
      <c r="Q13" s="1223"/>
      <c r="R13" s="296"/>
      <c r="S13" s="1202"/>
      <c r="T13" s="1205" t="s">
        <v>330</v>
      </c>
      <c r="U13" s="1204"/>
      <c r="V13" s="1204"/>
      <c r="W13" s="1204"/>
      <c r="X13" s="1204"/>
      <c r="Y13" s="1204"/>
      <c r="Z13" s="1204"/>
      <c r="AA13" s="1204"/>
      <c r="AB13" s="1204"/>
      <c r="AC13" s="1204"/>
      <c r="AD13" s="1204"/>
      <c r="AE13" s="1204"/>
      <c r="AF13" s="1204"/>
      <c r="AG13" s="1204"/>
      <c r="AH13" s="1204"/>
      <c r="AI13" s="1204"/>
      <c r="AJ13" s="1204"/>
      <c r="AK13" s="1204"/>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8"/>
      <c r="AD15" s="1238"/>
      <c r="AE15" s="1239"/>
      <c r="AF15" s="5381"/>
      <c r="AG15" s="5382" t="s">
        <v>64</v>
      </c>
      <c r="AH15" s="5381"/>
      <c r="AI15" s="5382" t="s">
        <v>64</v>
      </c>
    </row>
    <row r="16" spans="1:42" ht="14.25" hidden="1" customHeight="1">
      <c r="AC16" s="1238"/>
      <c r="AD16" s="1238"/>
      <c r="AE16" s="246" t="str">
        <f>AF15&amp;"-"&amp;AH15</f>
        <v>-</v>
      </c>
      <c r="AF16" s="5382"/>
      <c r="AG16" s="5382"/>
      <c r="AH16" s="5382"/>
      <c r="AI16" s="5382"/>
    </row>
    <row r="17" spans="1:42" ht="14.25" hidden="1" customHeight="1">
      <c r="AI17" s="245"/>
    </row>
    <row r="18" spans="1:42" s="4854" customFormat="1" ht="22.5" hidden="1" customHeight="1">
      <c r="L18" s="1350"/>
      <c r="M18" s="1240"/>
      <c r="N18" s="1240"/>
      <c r="O18" s="1245" t="s">
        <v>493</v>
      </c>
      <c r="P18" s="1240"/>
      <c r="Q18" s="1249"/>
      <c r="R18" s="1249"/>
      <c r="S18" s="630"/>
      <c r="Y18" s="1245"/>
      <c r="AA18" s="1245"/>
      <c r="AB18" s="1244"/>
      <c r="AF18" s="1245"/>
      <c r="AH18" s="1245"/>
      <c r="AI18" s="1244"/>
      <c r="AL18" s="419"/>
      <c r="AM18" s="419"/>
      <c r="AN18" s="419"/>
      <c r="AO18" s="419"/>
      <c r="AP18" s="419"/>
    </row>
    <row r="19" spans="1:42" s="4854" customFormat="1" ht="14.25" hidden="1" customHeight="1">
      <c r="L19" s="1350"/>
      <c r="M19" s="1240"/>
      <c r="N19" s="1240"/>
      <c r="O19" s="1240"/>
      <c r="P19" s="1240"/>
      <c r="Q19" s="1249"/>
      <c r="R19" s="1249"/>
      <c r="S19" s="630"/>
      <c r="AB19" s="1244"/>
      <c r="AI19" s="1244"/>
      <c r="AL19" s="419"/>
      <c r="AM19" s="419"/>
      <c r="AN19" s="419"/>
      <c r="AO19" s="419"/>
      <c r="AP19" s="419"/>
    </row>
    <row r="20" spans="1:42" s="4854" customFormat="1" ht="12" hidden="1" customHeight="1">
      <c r="L20" s="1350"/>
      <c r="M20" s="1240"/>
      <c r="N20" s="1240"/>
      <c r="O20" s="1242" t="s">
        <v>494</v>
      </c>
      <c r="P20" s="1240"/>
      <c r="Q20" s="1318"/>
      <c r="R20" s="1318"/>
      <c r="S20" s="630"/>
      <c r="T20" s="1042" t="s">
        <v>495</v>
      </c>
      <c r="Z20" s="108" t="s">
        <v>496</v>
      </c>
      <c r="AB20" s="108" t="s">
        <v>497</v>
      </c>
      <c r="AC20" s="1042" t="s">
        <v>495</v>
      </c>
      <c r="AG20" s="108" t="s">
        <v>498</v>
      </c>
      <c r="AI20" s="108" t="s">
        <v>497</v>
      </c>
    </row>
    <row r="21" spans="1:42" ht="14.25" hidden="1" customHeight="1">
      <c r="O21" s="1242"/>
    </row>
    <row r="22" spans="1:42" ht="14.25" hidden="1" customHeight="1">
      <c r="O22" s="1242"/>
    </row>
    <row r="23" spans="1:42" ht="14.25" customHeight="1">
      <c r="Q23" s="292"/>
      <c r="R23" s="292"/>
      <c r="S23" s="1158"/>
      <c r="T23" s="280"/>
      <c r="U23" s="280"/>
      <c r="V23" s="417"/>
      <c r="W23" s="417"/>
      <c r="X23" s="417"/>
      <c r="Y23" s="417"/>
      <c r="Z23" s="417"/>
      <c r="AA23" s="417"/>
      <c r="AB23" s="417"/>
      <c r="AC23" s="417"/>
      <c r="AD23" s="417"/>
      <c r="AE23" s="417"/>
      <c r="AF23" s="417"/>
      <c r="AG23" s="417"/>
      <c r="AH23" s="417"/>
      <c r="AI23" s="417"/>
    </row>
    <row r="24" spans="1:42" ht="14.25" customHeight="1">
      <c r="Q24" s="292"/>
      <c r="R24" s="292"/>
      <c r="S24" s="536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360"/>
      <c r="U24" s="5360"/>
      <c r="V24" s="5360"/>
      <c r="W24" s="5360"/>
      <c r="X24" s="5360"/>
      <c r="Y24" s="5360"/>
      <c r="Z24" s="5360"/>
      <c r="AA24" s="5360"/>
      <c r="AB24" s="5360"/>
      <c r="AC24" s="5360"/>
      <c r="AD24" s="5360"/>
      <c r="AE24" s="5360"/>
      <c r="AF24" s="5360"/>
      <c r="AG24" s="5360"/>
      <c r="AH24" s="5360"/>
      <c r="AI24" s="1126"/>
    </row>
    <row r="25" spans="1:42" ht="14.25" customHeight="1">
      <c r="Q25" s="292"/>
      <c r="R25" s="292"/>
      <c r="S25" s="5308" t="str">
        <f>IF(org=0,"Не определено",org)</f>
        <v>ООО «Газпром теплоэнерго МО»</v>
      </c>
      <c r="T25" s="5308"/>
      <c r="U25" s="5308"/>
      <c r="V25" s="5308"/>
      <c r="W25" s="5308"/>
      <c r="X25" s="5308"/>
      <c r="Y25" s="5308"/>
      <c r="Z25" s="5308"/>
      <c r="AA25" s="5308"/>
      <c r="AB25" s="5308"/>
      <c r="AC25" s="5308"/>
      <c r="AD25" s="5308"/>
      <c r="AE25" s="5308"/>
      <c r="AF25" s="5308"/>
      <c r="AG25" s="5308"/>
      <c r="AH25" s="5308"/>
      <c r="AI25" s="1126"/>
    </row>
    <row r="26" spans="1:42" ht="14.25" customHeight="1">
      <c r="Q26" s="292"/>
      <c r="R26" s="292"/>
      <c r="S26" s="1158"/>
      <c r="T26" s="280"/>
      <c r="U26" s="280"/>
      <c r="V26" s="240"/>
      <c r="W26" s="240"/>
      <c r="X26" s="240"/>
      <c r="Y26" s="240"/>
      <c r="Z26" s="240"/>
      <c r="AA26" s="240"/>
      <c r="AB26" s="240"/>
      <c r="AC26" s="240"/>
      <c r="AD26" s="240"/>
      <c r="AE26" s="240"/>
      <c r="AF26" s="240"/>
      <c r="AG26" s="240"/>
      <c r="AH26" s="240"/>
      <c r="AI26" s="240"/>
      <c r="AJ26" s="417"/>
    </row>
    <row r="27" spans="1:42" s="4855" customFormat="1" ht="25.5" customHeight="1">
      <c r="A27" s="1246"/>
      <c r="B27" s="1246"/>
      <c r="C27" s="1246"/>
      <c r="D27" s="1246"/>
      <c r="E27" s="1246"/>
      <c r="F27" s="1246"/>
      <c r="G27" s="1246"/>
      <c r="H27" s="1246"/>
      <c r="I27" s="1246"/>
      <c r="J27" s="1246"/>
      <c r="K27" s="1246"/>
      <c r="L27" s="1247"/>
      <c r="M27" s="1246"/>
      <c r="N27" s="1246"/>
      <c r="O27" s="1246"/>
      <c r="S27" s="5368" t="s">
        <v>38</v>
      </c>
      <c r="T27" s="5368"/>
      <c r="U27" s="1250"/>
      <c r="V27" s="5369" t="str">
        <f>IF(TITLE_NAME_OR_PR_CHANGE="",IF(TITLE_NAME_OR_PR="","",TITLE_NAME_OR_PR),TITLE_NAME_OR_PR_CHANGE)</f>
        <v>Комитет по ценам и тарифам Московской области</v>
      </c>
      <c r="W27" s="5369"/>
      <c r="X27" s="5369"/>
      <c r="Y27" s="5369"/>
      <c r="Z27" s="5369"/>
      <c r="AA27" s="5369"/>
      <c r="AB27" s="244"/>
      <c r="AC27" s="5369" t="str">
        <f>IF(TITLE_NAME_OR_PR_CHANGE="",IF(TITLE_NAME_OR_PR="","",TITLE_NAME_OR_PR),TITLE_NAME_OR_PR_CHANGE)</f>
        <v>Комитет по ценам и тарифам Московской области</v>
      </c>
      <c r="AD27" s="5369"/>
      <c r="AE27" s="5369"/>
      <c r="AF27" s="5369"/>
      <c r="AG27" s="5369"/>
      <c r="AH27" s="5369"/>
      <c r="AI27" s="244"/>
      <c r="AJ27" s="244"/>
      <c r="AK27" s="199"/>
      <c r="AL27" s="284"/>
      <c r="AM27" s="284"/>
      <c r="AN27" s="284"/>
      <c r="AO27" s="284"/>
      <c r="AP27" s="284"/>
    </row>
    <row r="28" spans="1:42" s="4855" customFormat="1" ht="18.75" customHeight="1">
      <c r="A28" s="1246"/>
      <c r="B28" s="1246"/>
      <c r="C28" s="1246"/>
      <c r="D28" s="1246"/>
      <c r="E28" s="1246"/>
      <c r="F28" s="1246"/>
      <c r="G28" s="1246"/>
      <c r="H28" s="1246"/>
      <c r="I28" s="1246"/>
      <c r="J28" s="1246"/>
      <c r="K28" s="1246"/>
      <c r="L28" s="1247"/>
      <c r="M28" s="1246"/>
      <c r="N28" s="1246"/>
      <c r="O28" s="1246"/>
      <c r="S28" s="5368" t="s">
        <v>499</v>
      </c>
      <c r="T28" s="5368"/>
      <c r="U28" s="1250"/>
      <c r="V28" s="5378">
        <f>IF(TITLE_DATE_PR_CHANGE="",IF(TITLE_DATE_PR="","",TITLE_DATE_PR),TITLE_DATE_PR_CHANGE)</f>
        <v>45280</v>
      </c>
      <c r="W28" s="5378"/>
      <c r="X28" s="5378"/>
      <c r="Y28" s="5378"/>
      <c r="Z28" s="5378"/>
      <c r="AA28" s="5378"/>
      <c r="AB28" s="244"/>
      <c r="AC28" s="5378">
        <f>IF(TITLE_DATE_PR_CHANGE="",IF(TITLE_DATE_PR="","",TITLE_DATE_PR),TITLE_DATE_PR_CHANGE)</f>
        <v>45280</v>
      </c>
      <c r="AD28" s="5378"/>
      <c r="AE28" s="5378"/>
      <c r="AF28" s="5378"/>
      <c r="AG28" s="5378"/>
      <c r="AH28" s="5378"/>
      <c r="AI28" s="244"/>
      <c r="AJ28" s="244"/>
      <c r="AK28" s="199"/>
      <c r="AL28" s="284"/>
      <c r="AM28" s="284"/>
      <c r="AN28" s="284"/>
      <c r="AO28" s="284"/>
      <c r="AP28" s="284"/>
    </row>
    <row r="29" spans="1:42" s="4855" customFormat="1" ht="18.75" customHeight="1">
      <c r="A29" s="1246"/>
      <c r="B29" s="1246"/>
      <c r="C29" s="1246"/>
      <c r="D29" s="1246"/>
      <c r="E29" s="1246"/>
      <c r="F29" s="1246"/>
      <c r="G29" s="1246"/>
      <c r="H29" s="1246"/>
      <c r="I29" s="1246"/>
      <c r="J29" s="1246"/>
      <c r="K29" s="1246"/>
      <c r="L29" s="1247"/>
      <c r="M29" s="1246"/>
      <c r="N29" s="1246"/>
      <c r="O29" s="1246"/>
      <c r="S29" s="5368" t="s">
        <v>500</v>
      </c>
      <c r="T29" s="5368"/>
      <c r="U29" s="1250"/>
      <c r="V29" s="5369" t="str">
        <f>IF(TITLE_NUMBER_PR_CHANGE="",IF(TITLE_NUMBER_PR="","",TITLE_NUMBER_PR),TITLE_NUMBER_PR_CHANGE)</f>
        <v>317-Р</v>
      </c>
      <c r="W29" s="5369"/>
      <c r="X29" s="5369"/>
      <c r="Y29" s="5369"/>
      <c r="Z29" s="5369"/>
      <c r="AA29" s="5369"/>
      <c r="AB29" s="244"/>
      <c r="AC29" s="5369" t="str">
        <f>IF(TITLE_NUMBER_PR_CHANGE="",IF(TITLE_NUMBER_PR="","",TITLE_NUMBER_PR),TITLE_NUMBER_PR_CHANGE)</f>
        <v>317-Р</v>
      </c>
      <c r="AD29" s="5369"/>
      <c r="AE29" s="5369"/>
      <c r="AF29" s="5369"/>
      <c r="AG29" s="5369"/>
      <c r="AH29" s="5369"/>
      <c r="AI29" s="244"/>
      <c r="AJ29" s="244"/>
      <c r="AK29" s="199"/>
      <c r="AL29" s="284"/>
      <c r="AM29" s="284"/>
      <c r="AN29" s="284"/>
      <c r="AO29" s="284"/>
      <c r="AP29" s="284"/>
    </row>
    <row r="30" spans="1:42" s="4855" customFormat="1" ht="18.75" customHeight="1">
      <c r="A30" s="1246"/>
      <c r="B30" s="1246"/>
      <c r="C30" s="1246"/>
      <c r="D30" s="1246"/>
      <c r="E30" s="1246"/>
      <c r="F30" s="1246"/>
      <c r="G30" s="1246"/>
      <c r="H30" s="1246"/>
      <c r="I30" s="1246"/>
      <c r="J30" s="1246"/>
      <c r="K30" s="1246"/>
      <c r="L30" s="1247"/>
      <c r="M30" s="1246"/>
      <c r="N30" s="1246"/>
      <c r="O30" s="1246"/>
      <c r="S30" s="5368" t="s">
        <v>40</v>
      </c>
      <c r="T30" s="5368"/>
      <c r="U30" s="1250"/>
      <c r="V30" s="5369" t="str">
        <f>IF(TITLE_IST_PUB_CHANGE="",IF(TITLE_IST_PUB="","",TITLE_IST_PUB),TITLE_IST_PUB_CHANGE)</f>
        <v>https://ktc.mosreg.ru/dokumenty/normotvorchestvo/rasporyazheniya/gosudarstvennoe-regulirovanie-tarifov-na-teplovuyu-energiyu-raspor/29-12-2023-16-47-50-rasporyazhenie-komiteta-po-tsenam-i-tarifam-moskov</v>
      </c>
      <c r="W30" s="5369"/>
      <c r="X30" s="5369"/>
      <c r="Y30" s="5369"/>
      <c r="Z30" s="5369"/>
      <c r="AA30" s="5369"/>
      <c r="AB30" s="244"/>
      <c r="AC30" s="5369" t="str">
        <f>IF(TITLE_IST_PUB_CHANGE="",IF(TITLE_IST_PUB="","",TITLE_IST_PUB),TITLE_IST_PUB_CHANGE)</f>
        <v>https://ktc.mosreg.ru/dokumenty/normotvorchestvo/rasporyazheniya/gosudarstvennoe-regulirovanie-tarifov-na-teplovuyu-energiyu-raspor/29-12-2023-16-47-50-rasporyazhenie-komiteta-po-tsenam-i-tarifam-moskov</v>
      </c>
      <c r="AD30" s="5369"/>
      <c r="AE30" s="5369"/>
      <c r="AF30" s="5369"/>
      <c r="AG30" s="5369"/>
      <c r="AH30" s="5369"/>
      <c r="AI30" s="244"/>
      <c r="AJ30" s="244"/>
      <c r="AK30" s="199"/>
      <c r="AL30" s="284"/>
      <c r="AM30" s="284"/>
      <c r="AN30" s="284"/>
      <c r="AO30" s="284"/>
      <c r="AP30" s="284"/>
    </row>
    <row r="31" spans="1:42" ht="14.25" hidden="1" customHeight="1">
      <c r="Q31" s="292"/>
      <c r="R31" s="292"/>
      <c r="S31" s="1158"/>
      <c r="T31" s="280"/>
      <c r="U31" s="280"/>
      <c r="V31" s="240"/>
      <c r="W31" s="240"/>
      <c r="X31" s="240"/>
      <c r="Y31" s="240"/>
      <c r="Z31" s="240"/>
      <c r="AA31" s="240"/>
      <c r="AB31" s="240"/>
      <c r="AC31" s="240"/>
      <c r="AD31" s="240"/>
      <c r="AE31" s="240"/>
      <c r="AF31" s="240"/>
      <c r="AG31" s="240"/>
      <c r="AH31" s="240"/>
      <c r="AI31" s="240"/>
      <c r="AJ31" s="417"/>
    </row>
    <row r="32" spans="1:42" s="4855" customFormat="1" ht="18.75" hidden="1" customHeight="1">
      <c r="A32" s="1246"/>
      <c r="B32" s="1246"/>
      <c r="C32" s="1246"/>
      <c r="D32" s="1246"/>
      <c r="E32" s="1246"/>
      <c r="F32" s="1246"/>
      <c r="G32" s="1246"/>
      <c r="H32" s="1246"/>
      <c r="I32" s="1246"/>
      <c r="J32" s="1246"/>
      <c r="K32" s="1246"/>
      <c r="L32" s="1247"/>
      <c r="M32" s="1246"/>
      <c r="N32" s="1246"/>
      <c r="O32" s="1246"/>
      <c r="S32" s="5368" t="s">
        <v>501</v>
      </c>
      <c r="T32" s="5368"/>
      <c r="U32" s="1250"/>
      <c r="V32" s="5378">
        <f>IF(TITLE_DATE_PR_CHANGE="",IF(TITLE_DATE_PR="","",TITLE_DATE_PR),TITLE_DATE_PR_CHANGE)</f>
        <v>45280</v>
      </c>
      <c r="W32" s="5378"/>
      <c r="X32" s="5378"/>
      <c r="Y32" s="5378"/>
      <c r="Z32" s="5378"/>
      <c r="AA32" s="5378"/>
      <c r="AB32" s="244"/>
      <c r="AC32" s="5378">
        <f>IF(TITLE_DATE_PR_CHANGE="",IF(TITLE_DATE_PR="","",TITLE_DATE_PR),TITLE_DATE_PR_CHANGE)</f>
        <v>45280</v>
      </c>
      <c r="AD32" s="5378"/>
      <c r="AE32" s="5378"/>
      <c r="AF32" s="5378"/>
      <c r="AG32" s="5378"/>
      <c r="AH32" s="5378"/>
      <c r="AI32" s="244"/>
      <c r="AJ32" s="244"/>
      <c r="AK32" s="199"/>
      <c r="AL32" s="284"/>
      <c r="AM32" s="284"/>
      <c r="AN32" s="284"/>
      <c r="AO32" s="284"/>
      <c r="AP32" s="284"/>
    </row>
    <row r="33" spans="1:42" s="4855" customFormat="1" ht="18.75" hidden="1" customHeight="1">
      <c r="A33" s="1246"/>
      <c r="B33" s="1246"/>
      <c r="C33" s="1246"/>
      <c r="D33" s="1246"/>
      <c r="E33" s="1246"/>
      <c r="F33" s="1246"/>
      <c r="G33" s="1246"/>
      <c r="H33" s="1246"/>
      <c r="I33" s="1246"/>
      <c r="J33" s="1246"/>
      <c r="K33" s="1246"/>
      <c r="L33" s="1247"/>
      <c r="M33" s="1246"/>
      <c r="N33" s="1246"/>
      <c r="O33" s="1246"/>
      <c r="S33" s="5368" t="s">
        <v>502</v>
      </c>
      <c r="T33" s="5368"/>
      <c r="U33" s="1250"/>
      <c r="V33" s="5369" t="str">
        <f>IF(TITLE_NUMBER_PR_CHANGE="",IF(TITLE_NUMBER_PR="","",TITLE_NUMBER_PR),TITLE_NUMBER_PR_CHANGE)</f>
        <v>317-Р</v>
      </c>
      <c r="W33" s="5369"/>
      <c r="X33" s="5369"/>
      <c r="Y33" s="5369"/>
      <c r="Z33" s="5369"/>
      <c r="AA33" s="5369"/>
      <c r="AB33" s="244"/>
      <c r="AC33" s="5369" t="str">
        <f>IF(TITLE_NUMBER_PR_CHANGE="",IF(TITLE_NUMBER_PR="","",TITLE_NUMBER_PR),TITLE_NUMBER_PR_CHANGE)</f>
        <v>317-Р</v>
      </c>
      <c r="AD33" s="5369"/>
      <c r="AE33" s="5369"/>
      <c r="AF33" s="5369"/>
      <c r="AG33" s="5369"/>
      <c r="AH33" s="5369"/>
      <c r="AI33" s="244"/>
      <c r="AJ33" s="244"/>
      <c r="AK33" s="199"/>
      <c r="AL33" s="284"/>
      <c r="AM33" s="284"/>
      <c r="AN33" s="284"/>
      <c r="AO33" s="284"/>
      <c r="AP33" s="284"/>
    </row>
    <row r="34" spans="1:42" s="4855" customFormat="1" ht="0.75" customHeight="1">
      <c r="A34" s="1246"/>
      <c r="B34" s="1246"/>
      <c r="C34" s="1246"/>
      <c r="D34" s="1246"/>
      <c r="E34" s="1246"/>
      <c r="F34" s="1246"/>
      <c r="G34" s="1246"/>
      <c r="H34" s="1246"/>
      <c r="I34" s="1246"/>
      <c r="J34" s="1246"/>
      <c r="K34" s="1246"/>
      <c r="L34" s="1247"/>
      <c r="M34" s="1246"/>
      <c r="N34" s="1246"/>
      <c r="O34" s="1246"/>
      <c r="S34" s="241"/>
      <c r="T34" s="241"/>
      <c r="U34" s="1360"/>
      <c r="V34" s="244"/>
      <c r="W34" s="244"/>
      <c r="X34" s="244"/>
      <c r="Y34" s="244"/>
      <c r="Z34" s="244"/>
      <c r="AA34" s="244"/>
      <c r="AB34" s="197" t="s">
        <v>503</v>
      </c>
      <c r="AC34" s="244"/>
      <c r="AD34" s="244"/>
      <c r="AE34" s="244"/>
      <c r="AF34" s="244"/>
      <c r="AG34" s="244"/>
      <c r="AH34" s="244"/>
      <c r="AI34" s="197" t="s">
        <v>503</v>
      </c>
      <c r="AL34" s="284"/>
      <c r="AM34" s="284"/>
      <c r="AN34" s="284"/>
      <c r="AO34" s="284"/>
      <c r="AP34" s="284"/>
    </row>
    <row r="35" spans="1:42" ht="14.25" customHeight="1">
      <c r="Q35" s="292"/>
      <c r="R35" s="292"/>
      <c r="S35" s="1158"/>
      <c r="T35" s="280"/>
      <c r="U35" s="1127"/>
      <c r="V35" s="5370"/>
      <c r="W35" s="5370"/>
      <c r="X35" s="5370"/>
      <c r="Y35" s="5370"/>
      <c r="Z35" s="5370"/>
      <c r="AA35" s="5370"/>
      <c r="AB35" s="5370"/>
      <c r="AC35" s="5370"/>
      <c r="AD35" s="5370"/>
      <c r="AE35" s="5370"/>
      <c r="AF35" s="5370"/>
      <c r="AG35" s="5370"/>
      <c r="AH35" s="5370"/>
      <c r="AI35" s="5370"/>
    </row>
    <row r="36" spans="1:42" ht="14.25" customHeight="1">
      <c r="Q36" s="292"/>
      <c r="R36" s="292"/>
      <c r="S36" s="5244" t="s">
        <v>378</v>
      </c>
      <c r="T36" s="5244"/>
      <c r="U36" s="5244"/>
      <c r="V36" s="5244"/>
      <c r="W36" s="5244"/>
      <c r="X36" s="5244"/>
      <c r="Y36" s="5244"/>
      <c r="Z36" s="5244"/>
      <c r="AA36" s="5244"/>
      <c r="AB36" s="5244"/>
      <c r="AC36" s="5244"/>
      <c r="AD36" s="5244"/>
      <c r="AE36" s="5244"/>
      <c r="AF36" s="5244"/>
      <c r="AG36" s="5244"/>
      <c r="AH36" s="5244"/>
      <c r="AI36" s="5244"/>
      <c r="AJ36" s="5244"/>
      <c r="AK36" s="5244" t="s">
        <v>379</v>
      </c>
    </row>
    <row r="37" spans="1:42" ht="14.25" customHeight="1">
      <c r="Q37" s="292"/>
      <c r="R37" s="292"/>
      <c r="S37" s="5384" t="s">
        <v>85</v>
      </c>
      <c r="T37" s="5336" t="s">
        <v>504</v>
      </c>
      <c r="U37" s="219"/>
      <c r="V37" s="5385" t="s">
        <v>505</v>
      </c>
      <c r="W37" s="5386"/>
      <c r="X37" s="5386"/>
      <c r="Y37" s="5386"/>
      <c r="Z37" s="5386"/>
      <c r="AA37" s="5387"/>
      <c r="AB37" s="5388" t="s">
        <v>506</v>
      </c>
      <c r="AC37" s="5385" t="s">
        <v>505</v>
      </c>
      <c r="AD37" s="5386"/>
      <c r="AE37" s="5386"/>
      <c r="AF37" s="5386"/>
      <c r="AG37" s="5386"/>
      <c r="AH37" s="5387"/>
      <c r="AI37" s="5388" t="s">
        <v>507</v>
      </c>
      <c r="AJ37" s="5391" t="s">
        <v>508</v>
      </c>
      <c r="AK37" s="5244"/>
    </row>
    <row r="38" spans="1:42" ht="33.75" customHeight="1">
      <c r="Q38" s="292"/>
      <c r="R38" s="292"/>
      <c r="S38" s="5384"/>
      <c r="T38" s="5336"/>
      <c r="U38" s="920"/>
      <c r="V38" s="1355" t="s">
        <v>565</v>
      </c>
      <c r="W38" s="5215" t="s">
        <v>511</v>
      </c>
      <c r="X38" s="5214"/>
      <c r="Y38" s="5215" t="s">
        <v>512</v>
      </c>
      <c r="Z38" s="5220"/>
      <c r="AA38" s="5214"/>
      <c r="AB38" s="5389"/>
      <c r="AC38" s="1355" t="s">
        <v>565</v>
      </c>
      <c r="AD38" s="5215" t="s">
        <v>511</v>
      </c>
      <c r="AE38" s="5214"/>
      <c r="AF38" s="5215" t="s">
        <v>512</v>
      </c>
      <c r="AG38" s="5220"/>
      <c r="AH38" s="5214"/>
      <c r="AI38" s="5389"/>
      <c r="AJ38" s="5392"/>
      <c r="AK38" s="5244"/>
    </row>
    <row r="39" spans="1:42" ht="86.25" customHeight="1">
      <c r="A39" s="1248"/>
      <c r="B39" s="1248" t="s">
        <v>153</v>
      </c>
      <c r="C39" s="1248" t="s">
        <v>154</v>
      </c>
      <c r="D39" s="1248" t="s">
        <v>155</v>
      </c>
      <c r="E39" s="1242" t="s">
        <v>513</v>
      </c>
      <c r="F39" s="1242" t="s">
        <v>514</v>
      </c>
      <c r="G39" s="1242" t="s">
        <v>515</v>
      </c>
      <c r="H39" s="1242"/>
      <c r="I39" s="1242" t="s">
        <v>566</v>
      </c>
      <c r="J39" s="1242" t="s">
        <v>518</v>
      </c>
      <c r="K39" s="1242" t="s">
        <v>567</v>
      </c>
      <c r="L39" s="1242" t="s">
        <v>494</v>
      </c>
      <c r="Q39" s="292"/>
      <c r="R39" s="292"/>
      <c r="S39" s="5384"/>
      <c r="T39" s="5336"/>
      <c r="U39" s="220"/>
      <c r="V39" s="1355" t="s">
        <v>594</v>
      </c>
      <c r="W39" s="1105" t="s">
        <v>595</v>
      </c>
      <c r="X39" s="1105" t="s">
        <v>570</v>
      </c>
      <c r="Y39" s="1361" t="s">
        <v>522</v>
      </c>
      <c r="Z39" s="5344" t="s">
        <v>523</v>
      </c>
      <c r="AA39" s="5346"/>
      <c r="AB39" s="5390"/>
      <c r="AC39" s="1355" t="s">
        <v>594</v>
      </c>
      <c r="AD39" s="1105" t="s">
        <v>595</v>
      </c>
      <c r="AE39" s="1105" t="s">
        <v>570</v>
      </c>
      <c r="AF39" s="1361" t="s">
        <v>522</v>
      </c>
      <c r="AG39" s="5344" t="s">
        <v>523</v>
      </c>
      <c r="AH39" s="5346"/>
      <c r="AI39" s="5390"/>
      <c r="AJ39" s="5393"/>
      <c r="AK39" s="5244"/>
    </row>
    <row r="40" spans="1:42" s="4840" customFormat="1" ht="11.25"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129</v>
      </c>
      <c r="T40" s="1138" t="s">
        <v>100</v>
      </c>
      <c r="U40" s="1128" t="str">
        <f ca="1">OFFSET(U40,0,-1)</f>
        <v>2</v>
      </c>
      <c r="V40" s="1354">
        <f ca="1">OFFSET(V40,0,-1)+1</f>
        <v>3</v>
      </c>
      <c r="W40" s="1354">
        <f ca="1">OFFSET(W40,0,-1)+1</f>
        <v>4</v>
      </c>
      <c r="X40" s="1354">
        <f ca="1">OFFSET(X40,0,-1)+1</f>
        <v>5</v>
      </c>
      <c r="Y40" s="1354">
        <f ca="1">OFFSET(Y40,0,-1)+1</f>
        <v>6</v>
      </c>
      <c r="Z40" s="5383">
        <f ca="1">OFFSET(Z40,0,-1)+1</f>
        <v>7</v>
      </c>
      <c r="AA40" s="5383"/>
      <c r="AB40" s="1354">
        <f ca="1">OFFSET(AB40,0,-2)+1</f>
        <v>8</v>
      </c>
      <c r="AC40" s="1354">
        <f ca="1">OFFSET(AC40,0,-1)+1</f>
        <v>9</v>
      </c>
      <c r="AD40" s="1354">
        <f ca="1">OFFSET(AD40,0,-1)+1</f>
        <v>10</v>
      </c>
      <c r="AE40" s="1354">
        <f ca="1">OFFSET(AE40,0,-1)+1</f>
        <v>11</v>
      </c>
      <c r="AF40" s="1354">
        <f ca="1">OFFSET(AF40,0,-1)+1</f>
        <v>12</v>
      </c>
      <c r="AG40" s="5383">
        <f ca="1">OFFSET(AG40,0,-1)+1</f>
        <v>13</v>
      </c>
      <c r="AH40" s="5383"/>
      <c r="AI40" s="1354">
        <f ca="1">OFFSET(AI40,0,-2)+1</f>
        <v>14</v>
      </c>
      <c r="AJ40" s="1128">
        <f ca="1">OFFSET(AJ40,0,-1)</f>
        <v>14</v>
      </c>
      <c r="AK40" s="1354">
        <f ca="1">OFFSET(AK40,0,-1)+1</f>
        <v>15</v>
      </c>
      <c r="AL40" s="419"/>
      <c r="AM40" s="419"/>
      <c r="AN40" s="419"/>
      <c r="AO40" s="419"/>
      <c r="AP40" s="419"/>
    </row>
    <row r="41" spans="1:42" ht="23.25" customHeight="1">
      <c r="A41" s="1241" t="s">
        <v>344</v>
      </c>
      <c r="B41" s="1241"/>
      <c r="C41" s="1241"/>
      <c r="D41" s="1241"/>
      <c r="E41" s="5376">
        <v>1</v>
      </c>
      <c r="F41" s="1241"/>
      <c r="G41" s="1241"/>
      <c r="H41" s="1241"/>
      <c r="I41" s="1241"/>
      <c r="J41" s="1241"/>
      <c r="K41" s="1241"/>
      <c r="L41" s="1242"/>
      <c r="M41" s="1243"/>
      <c r="N41" s="1243"/>
      <c r="O41" s="1243"/>
      <c r="P41" s="278"/>
      <c r="Q41" s="277"/>
      <c r="R41" s="272"/>
      <c r="S41" s="1365">
        <f>INDEX(PT_DIFFERENTIATION_NUM_NTAR,MATCH(A41,PT_DIFFERENTIATION_NTAR_ID,0))</f>
        <v>0</v>
      </c>
      <c r="T41" s="216" t="s">
        <v>141</v>
      </c>
      <c r="U41" s="218"/>
      <c r="V41" s="5362"/>
      <c r="W41" s="5363"/>
      <c r="X41" s="5363"/>
      <c r="Y41" s="5363"/>
      <c r="Z41" s="5363"/>
      <c r="AA41" s="5363"/>
      <c r="AB41" s="5364"/>
      <c r="AC41" s="5362" t="str">
        <f>INDEX(PT_DIFFERENTIATION_NTAR,MATCH(A41,PT_DIFFERENTIATION_NTAR_ID,0))</f>
        <v/>
      </c>
      <c r="AD41" s="5363"/>
      <c r="AE41" s="5363"/>
      <c r="AF41" s="5363"/>
      <c r="AG41" s="5363"/>
      <c r="AH41" s="5363"/>
      <c r="AI41" s="5363"/>
      <c r="AJ41" s="5364"/>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1" t="s">
        <v>344</v>
      </c>
      <c r="B42" s="1241" t="s">
        <v>345</v>
      </c>
      <c r="C42" s="1241"/>
      <c r="D42" s="1241"/>
      <c r="E42" s="5377"/>
      <c r="F42" s="5376">
        <v>1</v>
      </c>
      <c r="G42" s="1241"/>
      <c r="H42" s="1241"/>
      <c r="I42" s="1241"/>
      <c r="J42" s="1241"/>
      <c r="K42" s="1241"/>
      <c r="L42" s="1242"/>
      <c r="M42" s="1243"/>
      <c r="N42" s="1243"/>
      <c r="O42" s="1243"/>
      <c r="P42" s="1359"/>
      <c r="Q42" s="269"/>
      <c r="R42" s="270"/>
      <c r="S42" s="1365" t="str">
        <f>INDEX(PT_DIFFERENTIATION_NUM_TER,MATCH(B42,PT_DIFFERENTIATION_TER_ID,0))</f>
        <v>.</v>
      </c>
      <c r="T42" s="226" t="s">
        <v>475</v>
      </c>
      <c r="U42" s="218"/>
      <c r="V42" s="5362"/>
      <c r="W42" s="5363"/>
      <c r="X42" s="5363"/>
      <c r="Y42" s="5363"/>
      <c r="Z42" s="5363"/>
      <c r="AA42" s="5363"/>
      <c r="AB42" s="5364"/>
      <c r="AC42" s="5362" t="str">
        <f>INDEX(PT_DIFFERENTIATION_TER,MATCH(B42,PT_DIFFERENTIATION_TER_ID,0))</f>
        <v/>
      </c>
      <c r="AD42" s="5363"/>
      <c r="AE42" s="5363"/>
      <c r="AF42" s="5363"/>
      <c r="AG42" s="5363"/>
      <c r="AH42" s="5363"/>
      <c r="AI42" s="5363"/>
      <c r="AJ42" s="5364"/>
      <c r="AK42" s="1141" t="s">
        <v>476</v>
      </c>
      <c r="AM42" s="408"/>
      <c r="AN42" s="408" t="str">
        <f t="shared" si="1"/>
        <v>Территория действия тарифа</v>
      </c>
      <c r="AO42" s="408"/>
      <c r="AP42" s="408"/>
    </row>
    <row r="43" spans="1:42" ht="23.25" customHeight="1">
      <c r="A43" s="1241" t="s">
        <v>344</v>
      </c>
      <c r="B43" s="1241" t="s">
        <v>345</v>
      </c>
      <c r="C43" s="1241" t="s">
        <v>346</v>
      </c>
      <c r="D43" s="1241"/>
      <c r="E43" s="5377"/>
      <c r="F43" s="5377"/>
      <c r="G43" s="5376">
        <v>1</v>
      </c>
      <c r="H43" s="1241"/>
      <c r="I43" s="1241"/>
      <c r="J43" s="1241"/>
      <c r="K43" s="1241"/>
      <c r="L43" s="1242"/>
      <c r="M43" s="1243"/>
      <c r="N43" s="1243"/>
      <c r="O43" s="1243"/>
      <c r="P43" s="271"/>
      <c r="Q43" s="269"/>
      <c r="R43" s="270"/>
      <c r="S43" s="1365" t="str">
        <f>INDEX(PT_DIFFERENTIATION_NUM_CS,MATCH(C43,PT_DIFFERENTIATION_CS_ID,0))</f>
        <v>..</v>
      </c>
      <c r="T43" s="227" t="s">
        <v>592</v>
      </c>
      <c r="U43" s="218"/>
      <c r="V43" s="5362"/>
      <c r="W43" s="5363"/>
      <c r="X43" s="5363"/>
      <c r="Y43" s="5363"/>
      <c r="Z43" s="5363"/>
      <c r="AA43" s="5363"/>
      <c r="AB43" s="5364"/>
      <c r="AC43" s="5362" t="str">
        <f>INDEX(PT_DIFFERENTIATION_CS,MATCH(C43,PT_DIFFERENTIATION_CS_ID,0))</f>
        <v/>
      </c>
      <c r="AD43" s="5363"/>
      <c r="AE43" s="5363"/>
      <c r="AF43" s="5363"/>
      <c r="AG43" s="5363"/>
      <c r="AH43" s="5363"/>
      <c r="AI43" s="5363"/>
      <c r="AJ43" s="5364"/>
      <c r="AK43" s="1141" t="s">
        <v>593</v>
      </c>
      <c r="AM43" s="408"/>
      <c r="AN43" s="408" t="str">
        <f t="shared" si="1"/>
        <v>Наименование централизованной системы водоотведения</v>
      </c>
      <c r="AO43" s="408"/>
      <c r="AP43" s="408"/>
    </row>
    <row r="44" spans="1:42" ht="23.25" customHeight="1">
      <c r="A44" s="1241" t="s">
        <v>344</v>
      </c>
      <c r="B44" s="1241" t="s">
        <v>345</v>
      </c>
      <c r="C44" s="1241" t="s">
        <v>346</v>
      </c>
      <c r="D44" s="1241" t="s">
        <v>596</v>
      </c>
      <c r="E44" s="5377"/>
      <c r="F44" s="5377"/>
      <c r="G44" s="5377"/>
      <c r="H44" s="5377"/>
      <c r="I44" s="5374" t="str">
        <f>S43&amp;".1"</f>
        <v>...1</v>
      </c>
      <c r="J44" s="1241"/>
      <c r="K44" s="1241"/>
      <c r="L44" s="1242"/>
      <c r="P44" s="5375">
        <v>1</v>
      </c>
      <c r="Q44" s="1353"/>
      <c r="R44" s="273"/>
      <c r="S44" s="1365" t="str">
        <f>$I44</f>
        <v>...1</v>
      </c>
      <c r="T44" s="203" t="s">
        <v>559</v>
      </c>
      <c r="U44" s="218"/>
      <c r="V44" s="5435"/>
      <c r="W44" s="5436"/>
      <c r="X44" s="5436"/>
      <c r="Y44" s="5436"/>
      <c r="Z44" s="5436"/>
      <c r="AA44" s="5436"/>
      <c r="AB44" s="5437"/>
      <c r="AC44" s="5438"/>
      <c r="AD44" s="5439"/>
      <c r="AE44" s="5439"/>
      <c r="AF44" s="5439"/>
      <c r="AG44" s="5439"/>
      <c r="AH44" s="5439"/>
      <c r="AI44" s="5439"/>
      <c r="AJ44" s="5440"/>
      <c r="AK44" s="1141" t="s">
        <v>560</v>
      </c>
      <c r="AM44" s="408"/>
      <c r="AN44" s="408" t="str">
        <f t="shared" si="1"/>
        <v>Наименование признака дифференциации</v>
      </c>
      <c r="AO44" s="408"/>
      <c r="AP44" s="408"/>
    </row>
    <row r="45" spans="1:42" ht="23.25" customHeight="1">
      <c r="A45" s="1241" t="s">
        <v>344</v>
      </c>
      <c r="B45" s="1241" t="s">
        <v>345</v>
      </c>
      <c r="C45" s="1241" t="s">
        <v>346</v>
      </c>
      <c r="D45" s="1241" t="s">
        <v>596</v>
      </c>
      <c r="E45" s="5377"/>
      <c r="F45" s="5377"/>
      <c r="G45" s="5377"/>
      <c r="H45" s="5377"/>
      <c r="I45" s="5397"/>
      <c r="J45" s="5374" t="str">
        <f>I44&amp;".1"</f>
        <v>...1.1</v>
      </c>
      <c r="K45" s="1241"/>
      <c r="L45" s="1242" t="s">
        <v>484</v>
      </c>
      <c r="P45" s="5375"/>
      <c r="Q45" s="5375">
        <v>1</v>
      </c>
      <c r="R45" s="274"/>
      <c r="S45" s="1365" t="str">
        <f>$J45</f>
        <v>...1.1</v>
      </c>
      <c r="T45" s="204" t="s">
        <v>485</v>
      </c>
      <c r="U45" s="218"/>
      <c r="V45" s="5365"/>
      <c r="W45" s="5366"/>
      <c r="X45" s="5366"/>
      <c r="Y45" s="5366"/>
      <c r="Z45" s="5366"/>
      <c r="AA45" s="5366"/>
      <c r="AB45" s="5367"/>
      <c r="AC45" s="5365"/>
      <c r="AD45" s="5366"/>
      <c r="AE45" s="5366"/>
      <c r="AF45" s="5366"/>
      <c r="AG45" s="5366"/>
      <c r="AH45" s="5366"/>
      <c r="AI45" s="5366"/>
      <c r="AJ45" s="5367"/>
      <c r="AK45" s="1188" t="s">
        <v>561</v>
      </c>
      <c r="AM45" s="408"/>
      <c r="AN45" s="408" t="str">
        <f t="shared" si="1"/>
        <v>Группа потребителей</v>
      </c>
      <c r="AO45" s="408"/>
      <c r="AP45" s="408"/>
    </row>
    <row r="46" spans="1:42" ht="23.25" customHeight="1">
      <c r="A46" s="1241" t="s">
        <v>344</v>
      </c>
      <c r="B46" s="1241" t="s">
        <v>345</v>
      </c>
      <c r="C46" s="1241" t="s">
        <v>346</v>
      </c>
      <c r="D46" s="1241" t="s">
        <v>596</v>
      </c>
      <c r="E46" s="5377"/>
      <c r="F46" s="5377"/>
      <c r="G46" s="5377"/>
      <c r="H46" s="5377"/>
      <c r="I46" s="5397"/>
      <c r="J46" s="5397"/>
      <c r="K46" s="5374" t="str">
        <f>J45&amp;".1"</f>
        <v>...1.1.1</v>
      </c>
      <c r="L46" s="1242"/>
      <c r="P46" s="5375"/>
      <c r="Q46" s="5375"/>
      <c r="R46" s="274">
        <v>1</v>
      </c>
      <c r="S46" s="1365" t="str">
        <f>$K46</f>
        <v>...1.1.1</v>
      </c>
      <c r="T46" s="1314"/>
      <c r="U46" s="218"/>
      <c r="V46" s="1238"/>
      <c r="W46" s="1238"/>
      <c r="X46" s="1239"/>
      <c r="Y46" s="5381"/>
      <c r="Z46" s="5382" t="s">
        <v>64</v>
      </c>
      <c r="AA46" s="5381"/>
      <c r="AB46" s="5382" t="s">
        <v>64</v>
      </c>
      <c r="AC46" s="650"/>
      <c r="AD46" s="650"/>
      <c r="AE46" s="1140"/>
      <c r="AF46" s="5379"/>
      <c r="AG46" s="5225" t="s">
        <v>64</v>
      </c>
      <c r="AH46" s="5398"/>
      <c r="AI46" s="5225" t="s">
        <v>54</v>
      </c>
      <c r="AJ46" s="1315"/>
      <c r="AK46"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1" t="s">
        <v>344</v>
      </c>
      <c r="B47" s="1241" t="s">
        <v>345</v>
      </c>
      <c r="C47" s="1241" t="s">
        <v>346</v>
      </c>
      <c r="D47" s="1241" t="s">
        <v>596</v>
      </c>
      <c r="E47" s="5377"/>
      <c r="F47" s="5377"/>
      <c r="G47" s="5377"/>
      <c r="H47" s="5377"/>
      <c r="I47" s="5397"/>
      <c r="J47" s="5397"/>
      <c r="K47" s="5374"/>
      <c r="L47" s="1242"/>
      <c r="P47" s="5375"/>
      <c r="Q47" s="5375"/>
      <c r="R47" s="274"/>
      <c r="S47" s="1362"/>
      <c r="T47" s="218"/>
      <c r="U47" s="218"/>
      <c r="V47" s="1238"/>
      <c r="W47" s="1238"/>
      <c r="X47" s="246" t="str">
        <f>Y46&amp;"-"&amp;AA46</f>
        <v>-</v>
      </c>
      <c r="Y47" s="5382"/>
      <c r="Z47" s="5382"/>
      <c r="AA47" s="5382"/>
      <c r="AB47" s="5382"/>
      <c r="AC47" s="243"/>
      <c r="AD47" s="243"/>
      <c r="AE47" s="246" t="str">
        <f>AF46&amp;"-"&amp;AH46</f>
        <v>-</v>
      </c>
      <c r="AF47" s="5380"/>
      <c r="AG47" s="5225"/>
      <c r="AH47" s="5399"/>
      <c r="AI47" s="5225"/>
      <c r="AJ47" s="1316"/>
      <c r="AK47" s="5434"/>
      <c r="AM47" s="408"/>
      <c r="AN47" s="408" t="str">
        <f t="shared" si="1"/>
        <v/>
      </c>
      <c r="AO47" s="408"/>
      <c r="AP47" s="408"/>
    </row>
    <row r="48" spans="1:42" ht="21" customHeight="1">
      <c r="A48" s="1241" t="s">
        <v>344</v>
      </c>
      <c r="B48" s="1241" t="s">
        <v>345</v>
      </c>
      <c r="C48" s="1241" t="s">
        <v>346</v>
      </c>
      <c r="D48" s="1241" t="s">
        <v>596</v>
      </c>
      <c r="E48" s="5377"/>
      <c r="F48" s="5377"/>
      <c r="G48" s="5377"/>
      <c r="H48" s="5377"/>
      <c r="I48" s="5397"/>
      <c r="J48" s="5374"/>
      <c r="K48" s="1241"/>
      <c r="L48" s="1242"/>
      <c r="P48" s="5375"/>
      <c r="Q48" s="5375"/>
      <c r="R48" s="273"/>
      <c r="S48" s="1161"/>
      <c r="T48" s="205" t="s">
        <v>562</v>
      </c>
      <c r="U48" s="283"/>
      <c r="V48" s="283"/>
      <c r="W48" s="283"/>
      <c r="X48" s="283"/>
      <c r="Y48" s="283"/>
      <c r="Z48" s="283"/>
      <c r="AA48" s="283"/>
      <c r="AB48" s="283"/>
      <c r="AC48" s="283"/>
      <c r="AD48" s="283"/>
      <c r="AE48" s="283"/>
      <c r="AF48" s="283"/>
      <c r="AG48" s="283"/>
      <c r="AH48" s="283"/>
      <c r="AI48" s="283"/>
      <c r="AJ48" s="283"/>
      <c r="AK48" s="1141" t="s">
        <v>563</v>
      </c>
      <c r="AM48" s="408"/>
      <c r="AN48" s="408" t="str">
        <f t="shared" si="1"/>
        <v>Добавить значение признака дифференциации</v>
      </c>
      <c r="AO48" s="408"/>
      <c r="AP48" s="408"/>
    </row>
    <row r="49" spans="1:42" ht="21" customHeight="1">
      <c r="A49" s="1241" t="s">
        <v>344</v>
      </c>
      <c r="B49" s="1241" t="s">
        <v>345</v>
      </c>
      <c r="C49" s="1241" t="s">
        <v>346</v>
      </c>
      <c r="D49" s="1241" t="s">
        <v>596</v>
      </c>
      <c r="E49" s="5377"/>
      <c r="F49" s="5377"/>
      <c r="G49" s="5377"/>
      <c r="H49" s="5377"/>
      <c r="I49" s="5374"/>
      <c r="J49" s="1241"/>
      <c r="K49" s="1241"/>
      <c r="L49" s="1242"/>
      <c r="P49" s="5375"/>
      <c r="Q49" s="1353"/>
      <c r="R49" s="273"/>
      <c r="S49" s="1161"/>
      <c r="T49" s="281" t="s">
        <v>490</v>
      </c>
      <c r="U49" s="283"/>
      <c r="V49" s="283"/>
      <c r="W49" s="283"/>
      <c r="X49" s="283"/>
      <c r="Y49" s="283"/>
      <c r="Z49" s="283"/>
      <c r="AA49" s="283"/>
      <c r="AB49" s="282"/>
      <c r="AC49" s="283"/>
      <c r="AD49" s="283"/>
      <c r="AE49" s="283"/>
      <c r="AF49" s="283"/>
      <c r="AG49" s="283"/>
      <c r="AH49" s="283"/>
      <c r="AI49" s="282"/>
      <c r="AJ49" s="283"/>
      <c r="AK49" s="1317"/>
      <c r="AM49" s="408"/>
      <c r="AN49" s="408" t="str">
        <f t="shared" si="1"/>
        <v>Добавить группу потребителей</v>
      </c>
      <c r="AO49" s="408"/>
      <c r="AP49" s="408"/>
    </row>
    <row r="50" spans="1:42" ht="21" customHeight="1">
      <c r="A50" s="1241" t="s">
        <v>344</v>
      </c>
      <c r="B50" s="1241" t="s">
        <v>345</v>
      </c>
      <c r="C50" s="1241" t="s">
        <v>346</v>
      </c>
      <c r="D50" s="1241" t="s">
        <v>596</v>
      </c>
      <c r="E50" s="5377"/>
      <c r="F50" s="5377"/>
      <c r="G50" s="5377"/>
      <c r="H50" s="5376"/>
      <c r="I50" s="1241"/>
      <c r="J50" s="1241"/>
      <c r="K50" s="1241"/>
      <c r="L50" s="1242"/>
      <c r="M50" s="1243"/>
      <c r="N50" s="1243"/>
      <c r="O50" s="444"/>
      <c r="P50" s="277"/>
      <c r="Q50" s="291"/>
      <c r="R50" s="272"/>
      <c r="S50" s="1161"/>
      <c r="T50" s="288" t="s">
        <v>564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4853" customFormat="1" ht="0" hidden="1" customHeight="1">
      <c r="A51" s="1222" t="s">
        <v>344</v>
      </c>
      <c r="B51" s="1222" t="s">
        <v>345</v>
      </c>
      <c r="C51" s="1194"/>
      <c r="D51" s="1194"/>
      <c r="E51" s="5377"/>
      <c r="F51" s="5376"/>
      <c r="G51" s="1194"/>
      <c r="H51" s="1194"/>
      <c r="I51" s="1194"/>
      <c r="J51" s="1194"/>
      <c r="K51" s="1194"/>
      <c r="L51" s="1366"/>
      <c r="M51" s="1201"/>
      <c r="N51" s="1201"/>
      <c r="P51" s="1196"/>
      <c r="Q51" s="1197"/>
      <c r="R51" s="1196"/>
      <c r="S51" s="1202"/>
      <c r="T51" s="1205" t="s">
        <v>271</v>
      </c>
      <c r="U51" s="1204"/>
      <c r="V51" s="1204"/>
      <c r="W51" s="1204"/>
      <c r="X51" s="1204"/>
      <c r="Y51" s="1204"/>
      <c r="Z51" s="1204"/>
      <c r="AA51" s="1204"/>
      <c r="AB51" s="1204"/>
      <c r="AC51" s="1204"/>
      <c r="AD51" s="1204"/>
      <c r="AE51" s="1204"/>
      <c r="AF51" s="1204"/>
      <c r="AG51" s="1204"/>
      <c r="AH51" s="1204"/>
      <c r="AI51" s="1204"/>
      <c r="AJ51" s="1204"/>
      <c r="AK51" s="1204"/>
      <c r="AM51" s="688"/>
      <c r="AN51" s="688" t="str">
        <f t="shared" si="1"/>
        <v>Добавить централизованную систему для дифференциации</v>
      </c>
      <c r="AO51" s="688"/>
      <c r="AP51" s="688"/>
    </row>
    <row r="52" spans="1:42" s="4856" customFormat="1" ht="0" hidden="1" customHeight="1">
      <c r="A52" s="1222" t="s">
        <v>344</v>
      </c>
      <c r="B52" s="1222"/>
      <c r="C52" s="1222"/>
      <c r="D52" s="1222"/>
      <c r="E52" s="5376"/>
      <c r="F52" s="1222"/>
      <c r="G52" s="1222"/>
      <c r="H52" s="1222"/>
      <c r="I52" s="1222"/>
      <c r="J52" s="1222"/>
      <c r="K52" s="1222"/>
      <c r="L52" s="1225"/>
      <c r="M52" s="1201"/>
      <c r="N52" s="1201"/>
      <c r="O52" s="426"/>
      <c r="P52" s="296"/>
      <c r="Q52" s="1223"/>
      <c r="R52" s="296"/>
      <c r="S52" s="1202"/>
      <c r="T52" s="1205" t="s">
        <v>330</v>
      </c>
      <c r="U52" s="1204"/>
      <c r="V52" s="1204"/>
      <c r="W52" s="1204"/>
      <c r="X52" s="1204"/>
      <c r="Y52" s="1204"/>
      <c r="Z52" s="1204"/>
      <c r="AA52" s="1204"/>
      <c r="AB52" s="1204"/>
      <c r="AC52" s="1204"/>
      <c r="AD52" s="1204"/>
      <c r="AE52" s="1204"/>
      <c r="AF52" s="1204"/>
      <c r="AG52" s="1204"/>
      <c r="AH52" s="1204"/>
      <c r="AI52" s="1204"/>
      <c r="AJ52" s="1204"/>
      <c r="AK52" s="1204"/>
      <c r="AM52" s="408"/>
      <c r="AN52" s="408" t="str">
        <f t="shared" si="1"/>
        <v>Добавить территорию для дифференциации</v>
      </c>
      <c r="AO52" s="408"/>
      <c r="AP52" s="408"/>
    </row>
    <row r="53" spans="1:42" s="4853" customFormat="1" ht="0" hidden="1" customHeight="1">
      <c r="A53" s="1194"/>
      <c r="B53" s="1194"/>
      <c r="C53" s="1194"/>
      <c r="D53" s="1194"/>
      <c r="E53" s="1222"/>
      <c r="F53" s="1194"/>
      <c r="G53" s="1194"/>
      <c r="H53" s="1194"/>
      <c r="I53" s="1194"/>
      <c r="J53" s="1194"/>
      <c r="K53" s="1194"/>
      <c r="L53" s="1366"/>
      <c r="M53" s="1201"/>
      <c r="N53" s="1201"/>
      <c r="P53" s="1196"/>
      <c r="Q53" s="1197"/>
      <c r="R53" s="1196"/>
      <c r="S53" s="1202"/>
      <c r="T53" s="1205" t="s">
        <v>331</v>
      </c>
      <c r="U53" s="1204"/>
      <c r="V53" s="1204"/>
      <c r="W53" s="1204"/>
      <c r="X53" s="1204"/>
      <c r="Y53" s="1204"/>
      <c r="Z53" s="1204"/>
      <c r="AA53" s="1204"/>
      <c r="AB53" s="1204"/>
      <c r="AC53" s="1204"/>
      <c r="AD53" s="1204"/>
      <c r="AE53" s="1204"/>
      <c r="AF53" s="1204"/>
      <c r="AG53" s="1204"/>
      <c r="AH53" s="1204"/>
      <c r="AI53" s="1204"/>
      <c r="AJ53" s="1204"/>
      <c r="AK53" s="1204"/>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6"/>
      <c r="T55" s="5396"/>
      <c r="U55" s="5396"/>
      <c r="V55" s="5396"/>
      <c r="W55" s="5396"/>
      <c r="X55" s="5396"/>
      <c r="Y55" s="5396"/>
      <c r="Z55" s="5396"/>
      <c r="AA55" s="5396"/>
      <c r="AB55" s="5396"/>
      <c r="AC55" s="5396"/>
      <c r="AD55" s="5396"/>
      <c r="AE55" s="5396"/>
      <c r="AF55" s="5396"/>
      <c r="AG55" s="5396"/>
      <c r="AH55" s="5396"/>
      <c r="AI55" s="5396"/>
      <c r="AJ55" s="5396"/>
      <c r="AK55" s="5396"/>
    </row>
    <row r="56" spans="1:42" ht="14.25" customHeight="1">
      <c r="O56" s="444"/>
    </row>
    <row r="57" spans="1:42" ht="14.25" customHeight="1">
      <c r="O57" s="444"/>
      <c r="S57" s="1136"/>
      <c r="T57" s="5396"/>
      <c r="U57" s="5396"/>
      <c r="V57" s="5396"/>
      <c r="W57" s="5396"/>
      <c r="X57" s="5396"/>
      <c r="Y57" s="5396"/>
      <c r="Z57" s="5396"/>
      <c r="AA57" s="5396"/>
      <c r="AB57" s="5396"/>
      <c r="AC57" s="5396"/>
      <c r="AD57" s="5396"/>
      <c r="AE57" s="5396"/>
      <c r="AF57" s="5396"/>
      <c r="AG57" s="5396"/>
      <c r="AH57" s="5396"/>
      <c r="AI57" s="5396"/>
      <c r="AJ57" s="5396"/>
      <c r="AK57" s="539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4.140625" style="4854" hidden="1" customWidth="1"/>
    <col min="10" max="10" width="9.85546875" style="4854" hidden="1" customWidth="1"/>
    <col min="11" max="11" width="14.7109375" style="4854" hidden="1" customWidth="1"/>
    <col min="12" max="12" width="19.140625" style="4880" hidden="1" customWidth="1"/>
    <col min="13" max="14" width="12.28515625" style="4858" hidden="1" customWidth="1"/>
    <col min="15" max="15" width="23.42578125" style="4858" hidden="1" customWidth="1"/>
    <col min="16" max="16" width="3.7109375" style="4881" customWidth="1"/>
    <col min="17" max="18" width="3.7109375" style="4860" customWidth="1"/>
    <col min="19" max="19" width="12.7109375" style="4861" customWidth="1"/>
    <col min="20" max="20" width="35.7109375" style="4862" customWidth="1"/>
    <col min="21" max="21" width="0.140625" style="4862" customWidth="1"/>
    <col min="22" max="24" width="24.7109375" style="4862" hidden="1" customWidth="1"/>
    <col min="25" max="25" width="11.7109375" style="4862" hidden="1" customWidth="1"/>
    <col min="26" max="26" width="3.7109375" style="4862" hidden="1" customWidth="1"/>
    <col min="27" max="27" width="11.7109375" style="4862" hidden="1" customWidth="1"/>
    <col min="28" max="28" width="8.5703125" style="4862" hidden="1" customWidth="1"/>
    <col min="29" max="31" width="24.7109375" style="4862" customWidth="1"/>
    <col min="32" max="32" width="11.7109375" style="4862" customWidth="1"/>
    <col min="33" max="33" width="3.7109375" style="4862" customWidth="1"/>
    <col min="34" max="34" width="11.7109375" style="4862" customWidth="1"/>
    <col min="35" max="35" width="8.5703125" style="4862" hidden="1" customWidth="1"/>
    <col min="36" max="36" width="4.7109375" style="4862" customWidth="1"/>
    <col min="37" max="37" width="115.7109375" style="4862" customWidth="1"/>
    <col min="38" max="39" width="10.5703125" style="4856"/>
    <col min="40" max="40" width="11.140625" style="4856" customWidth="1"/>
    <col min="41" max="42" width="10.5703125" style="4856"/>
  </cols>
  <sheetData>
    <row r="1" spans="1:42" ht="14.25" hidden="1" customHeight="1">
      <c r="X1" s="245"/>
      <c r="Y1" s="245"/>
      <c r="AE1" s="245"/>
      <c r="AF1" s="245"/>
    </row>
    <row r="2" spans="1:42" ht="23.25" hidden="1" customHeight="1">
      <c r="A2" s="1241"/>
      <c r="B2" s="1241"/>
      <c r="C2" s="1241"/>
      <c r="D2" s="1241"/>
      <c r="E2" s="5376">
        <v>1</v>
      </c>
      <c r="F2" s="1241"/>
      <c r="G2" s="1241"/>
      <c r="H2" s="1241"/>
      <c r="I2" s="1241"/>
      <c r="J2" s="1241"/>
      <c r="K2" s="1241"/>
      <c r="L2" s="1242"/>
      <c r="M2" s="1243"/>
      <c r="N2" s="1243"/>
      <c r="O2" s="1243"/>
      <c r="P2" s="278"/>
      <c r="Q2" s="277"/>
      <c r="R2" s="272"/>
      <c r="S2" s="1365" t="e">
        <f>INDEX(PT_DIFFERENTIATION_NUM_NTAR,MATCH(A2,PT_DIFFERENTIATION_NTAR_ID,0))</f>
        <v>#N/A</v>
      </c>
      <c r="T2" s="216" t="s">
        <v>141</v>
      </c>
      <c r="U2" s="218"/>
      <c r="V2" s="5362"/>
      <c r="W2" s="5363"/>
      <c r="X2" s="5363"/>
      <c r="Y2" s="5363"/>
      <c r="Z2" s="5363"/>
      <c r="AA2" s="5363"/>
      <c r="AB2" s="5364"/>
      <c r="AC2" s="5362" t="e">
        <f>INDEX(PT_DIFFERENTIATION_NTAR,MATCH(A2,PT_DIFFERENTIATION_NTAR_ID,0))</f>
        <v>#N/A</v>
      </c>
      <c r="AD2" s="5363"/>
      <c r="AE2" s="5363"/>
      <c r="AF2" s="5363"/>
      <c r="AG2" s="5363"/>
      <c r="AH2" s="5363"/>
      <c r="AI2" s="5363"/>
      <c r="AJ2" s="5364"/>
      <c r="AK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8"/>
      <c r="AN2" s="408" t="str">
        <f t="shared" ref="AN2:AN13" si="0">IF(T2="","",T2)</f>
        <v>Наименование тарифа</v>
      </c>
      <c r="AO2" s="408"/>
      <c r="AP2" s="408"/>
    </row>
    <row r="3" spans="1:42" ht="23.25" hidden="1" customHeight="1">
      <c r="A3" s="1241"/>
      <c r="B3" s="1241"/>
      <c r="C3" s="1241"/>
      <c r="D3" s="1241"/>
      <c r="E3" s="5377"/>
      <c r="F3" s="5376">
        <v>1</v>
      </c>
      <c r="G3" s="1241"/>
      <c r="H3" s="1241"/>
      <c r="I3" s="1241"/>
      <c r="J3" s="1241"/>
      <c r="K3" s="1241"/>
      <c r="L3" s="1242"/>
      <c r="M3" s="1243"/>
      <c r="N3" s="1243"/>
      <c r="O3" s="1243"/>
      <c r="P3" s="1359"/>
      <c r="Q3" s="269"/>
      <c r="R3" s="270"/>
      <c r="S3" s="1365" t="e">
        <f>INDEX(PT_DIFFERENTIATION_NUM_TER,MATCH(B3,PT_DIFFERENTIATION_TER_ID,0))</f>
        <v>#N/A</v>
      </c>
      <c r="T3" s="226" t="s">
        <v>475</v>
      </c>
      <c r="U3" s="218"/>
      <c r="V3" s="5362"/>
      <c r="W3" s="5363"/>
      <c r="X3" s="5363"/>
      <c r="Y3" s="5363"/>
      <c r="Z3" s="5363"/>
      <c r="AA3" s="5363"/>
      <c r="AB3" s="5364"/>
      <c r="AC3" s="5362" t="e">
        <f>INDEX(PT_DIFFERENTIATION_TER,MATCH(B3,PT_DIFFERENTIATION_TER_ID,0))</f>
        <v>#N/A</v>
      </c>
      <c r="AD3" s="5363"/>
      <c r="AE3" s="5363"/>
      <c r="AF3" s="5363"/>
      <c r="AG3" s="5363"/>
      <c r="AH3" s="5363"/>
      <c r="AI3" s="5363"/>
      <c r="AJ3" s="5364"/>
      <c r="AK3" s="1141" t="s">
        <v>476</v>
      </c>
      <c r="AM3" s="408"/>
      <c r="AN3" s="408" t="str">
        <f t="shared" si="0"/>
        <v>Территория действия тарифа</v>
      </c>
      <c r="AO3" s="408"/>
      <c r="AP3" s="408"/>
    </row>
    <row r="4" spans="1:42" ht="23.25" hidden="1" customHeight="1">
      <c r="A4" s="1241"/>
      <c r="B4" s="1241"/>
      <c r="C4" s="1241"/>
      <c r="D4" s="1241"/>
      <c r="E4" s="5377"/>
      <c r="F4" s="5377"/>
      <c r="G4" s="5376">
        <v>1</v>
      </c>
      <c r="H4" s="1241"/>
      <c r="I4" s="1241"/>
      <c r="J4" s="1241"/>
      <c r="K4" s="1241"/>
      <c r="L4" s="1242"/>
      <c r="M4" s="1243"/>
      <c r="N4" s="1243"/>
      <c r="O4" s="1243"/>
      <c r="P4" s="271"/>
      <c r="Q4" s="269"/>
      <c r="R4" s="270"/>
      <c r="S4" s="1365" t="e">
        <f>INDEX(PT_DIFFERENTIATION_NUM_CS,MATCH(C4,PT_DIFFERENTIATION_CS_ID,0))</f>
        <v>#N/A</v>
      </c>
      <c r="T4" s="227" t="s">
        <v>592</v>
      </c>
      <c r="U4" s="218"/>
      <c r="V4" s="5362"/>
      <c r="W4" s="5363"/>
      <c r="X4" s="5363"/>
      <c r="Y4" s="5363"/>
      <c r="Z4" s="5363"/>
      <c r="AA4" s="5363"/>
      <c r="AB4" s="5364"/>
      <c r="AC4" s="5362" t="e">
        <f>INDEX(PT_DIFFERENTIATION_CS,MATCH(C4,PT_DIFFERENTIATION_CS_ID,0))</f>
        <v>#N/A</v>
      </c>
      <c r="AD4" s="5363"/>
      <c r="AE4" s="5363"/>
      <c r="AF4" s="5363"/>
      <c r="AG4" s="5363"/>
      <c r="AH4" s="5363"/>
      <c r="AI4" s="5363"/>
      <c r="AJ4" s="5364"/>
      <c r="AK4" s="1141" t="s">
        <v>593</v>
      </c>
      <c r="AM4" s="408"/>
      <c r="AN4" s="408" t="str">
        <f t="shared" si="0"/>
        <v>Наименование централизованной системы водоотведения</v>
      </c>
      <c r="AO4" s="408"/>
      <c r="AP4" s="408"/>
    </row>
    <row r="5" spans="1:42" ht="23.25" hidden="1" customHeight="1">
      <c r="A5" s="1241"/>
      <c r="B5" s="1241"/>
      <c r="C5" s="1241"/>
      <c r="D5" s="1241"/>
      <c r="E5" s="5377"/>
      <c r="F5" s="5377"/>
      <c r="G5" s="5377"/>
      <c r="H5" s="5377"/>
      <c r="I5" s="5374" t="e">
        <f>S4&amp;".1"</f>
        <v>#N/A</v>
      </c>
      <c r="J5" s="1241"/>
      <c r="K5" s="1241"/>
      <c r="L5" s="1242"/>
      <c r="P5" s="5375">
        <v>1</v>
      </c>
      <c r="Q5" s="1353"/>
      <c r="R5" s="273"/>
      <c r="S5" s="1365" t="e">
        <f>$I5</f>
        <v>#N/A</v>
      </c>
      <c r="T5" s="203" t="s">
        <v>559</v>
      </c>
      <c r="U5" s="218"/>
      <c r="V5" s="5435"/>
      <c r="W5" s="5436"/>
      <c r="X5" s="5436"/>
      <c r="Y5" s="5436"/>
      <c r="Z5" s="5436"/>
      <c r="AA5" s="5436"/>
      <c r="AB5" s="5437"/>
      <c r="AC5" s="5438"/>
      <c r="AD5" s="5439"/>
      <c r="AE5" s="5439"/>
      <c r="AF5" s="5439"/>
      <c r="AG5" s="5439"/>
      <c r="AH5" s="5439"/>
      <c r="AI5" s="5439"/>
      <c r="AJ5" s="5440"/>
      <c r="AK5" s="1141" t="s">
        <v>560</v>
      </c>
      <c r="AM5" s="408"/>
      <c r="AN5" s="408" t="str">
        <f t="shared" si="0"/>
        <v>Наименование признака дифференциации</v>
      </c>
      <c r="AO5" s="408"/>
      <c r="AP5" s="408"/>
    </row>
    <row r="6" spans="1:42" ht="23.25" hidden="1" customHeight="1">
      <c r="A6" s="1241"/>
      <c r="B6" s="1241"/>
      <c r="C6" s="1241"/>
      <c r="D6" s="1241"/>
      <c r="E6" s="5377"/>
      <c r="F6" s="5377"/>
      <c r="G6" s="5377"/>
      <c r="H6" s="5377"/>
      <c r="I6" s="5397"/>
      <c r="J6" s="5374" t="e">
        <f>I5&amp;".1"</f>
        <v>#N/A</v>
      </c>
      <c r="K6" s="1241"/>
      <c r="L6" s="1242" t="s">
        <v>484</v>
      </c>
      <c r="P6" s="5375"/>
      <c r="Q6" s="5375">
        <v>1</v>
      </c>
      <c r="R6" s="274"/>
      <c r="S6" s="1365" t="e">
        <f>$J6</f>
        <v>#N/A</v>
      </c>
      <c r="T6" s="204" t="s">
        <v>485</v>
      </c>
      <c r="U6" s="218"/>
      <c r="V6" s="5365"/>
      <c r="W6" s="5366"/>
      <c r="X6" s="5366"/>
      <c r="Y6" s="5366"/>
      <c r="Z6" s="5366"/>
      <c r="AA6" s="5366"/>
      <c r="AB6" s="5367"/>
      <c r="AC6" s="5365"/>
      <c r="AD6" s="5366"/>
      <c r="AE6" s="5366"/>
      <c r="AF6" s="5366"/>
      <c r="AG6" s="5366"/>
      <c r="AH6" s="5366"/>
      <c r="AI6" s="5366"/>
      <c r="AJ6" s="5367"/>
      <c r="AK6" s="1188" t="s">
        <v>561</v>
      </c>
      <c r="AM6" s="408"/>
      <c r="AN6" s="408" t="str">
        <f t="shared" si="0"/>
        <v>Группа потребителей</v>
      </c>
      <c r="AO6" s="408"/>
      <c r="AP6" s="408"/>
    </row>
    <row r="7" spans="1:42" ht="23.25" hidden="1" customHeight="1">
      <c r="A7" s="1241"/>
      <c r="B7" s="1241"/>
      <c r="C7" s="1241"/>
      <c r="D7" s="1241"/>
      <c r="E7" s="5377"/>
      <c r="F7" s="5377"/>
      <c r="G7" s="5377"/>
      <c r="H7" s="5377"/>
      <c r="I7" s="5397"/>
      <c r="J7" s="5397"/>
      <c r="K7" s="5374" t="e">
        <f>J6&amp;".1"</f>
        <v>#N/A</v>
      </c>
      <c r="L7" s="1242"/>
      <c r="P7" s="5375"/>
      <c r="Q7" s="5375"/>
      <c r="R7" s="274">
        <v>1</v>
      </c>
      <c r="S7" s="1365" t="e">
        <f>$K7</f>
        <v>#N/A</v>
      </c>
      <c r="T7" s="1314"/>
      <c r="U7" s="218"/>
      <c r="V7" s="650"/>
      <c r="W7" s="650"/>
      <c r="X7" s="1140"/>
      <c r="Y7" s="5379"/>
      <c r="Z7" s="5225" t="s">
        <v>64</v>
      </c>
      <c r="AA7" s="5379"/>
      <c r="AB7" s="5225" t="s">
        <v>64</v>
      </c>
      <c r="AC7" s="650"/>
      <c r="AD7" s="650"/>
      <c r="AE7" s="1140"/>
      <c r="AF7" s="5379"/>
      <c r="AG7" s="5225" t="s">
        <v>64</v>
      </c>
      <c r="AH7" s="5398"/>
      <c r="AI7" s="5225" t="s">
        <v>64</v>
      </c>
      <c r="AJ7" s="1315"/>
      <c r="AK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9" t="e">
        <f ca="1">STRCHECKDATE(V8:AJ8)</f>
        <v>#NAME?</v>
      </c>
      <c r="AM7" s="408"/>
      <c r="AN7" s="408" t="str">
        <f t="shared" si="0"/>
        <v/>
      </c>
      <c r="AO7" s="408"/>
      <c r="AP7" s="408"/>
    </row>
    <row r="8" spans="1:42" ht="14.25" hidden="1" customHeight="1">
      <c r="A8" s="1241"/>
      <c r="B8" s="1241"/>
      <c r="C8" s="1241"/>
      <c r="D8" s="1241"/>
      <c r="E8" s="5377"/>
      <c r="F8" s="5377"/>
      <c r="G8" s="5377"/>
      <c r="H8" s="5377"/>
      <c r="I8" s="5397"/>
      <c r="J8" s="5397"/>
      <c r="K8" s="5374"/>
      <c r="L8" s="1242"/>
      <c r="P8" s="5375"/>
      <c r="Q8" s="5375"/>
      <c r="R8" s="274"/>
      <c r="S8" s="1362"/>
      <c r="T8" s="218"/>
      <c r="U8" s="218"/>
      <c r="V8" s="243"/>
      <c r="W8" s="243"/>
      <c r="X8" s="246" t="str">
        <f>Y7&amp;"-"&amp;AA7</f>
        <v>-</v>
      </c>
      <c r="Y8" s="5380"/>
      <c r="Z8" s="5225"/>
      <c r="AA8" s="5380"/>
      <c r="AB8" s="5225"/>
      <c r="AC8" s="243"/>
      <c r="AD8" s="243"/>
      <c r="AE8" s="246" t="str">
        <f>AF7&amp;"-"&amp;AH7</f>
        <v>-</v>
      </c>
      <c r="AF8" s="5380"/>
      <c r="AG8" s="5225"/>
      <c r="AH8" s="5399"/>
      <c r="AI8" s="5225"/>
      <c r="AJ8" s="1316"/>
      <c r="AK8" s="5434"/>
      <c r="AM8" s="408"/>
      <c r="AN8" s="408" t="str">
        <f t="shared" si="0"/>
        <v/>
      </c>
      <c r="AO8" s="408"/>
      <c r="AP8" s="408"/>
    </row>
    <row r="9" spans="1:42" ht="21" hidden="1" customHeight="1">
      <c r="A9" s="1241"/>
      <c r="B9" s="1241"/>
      <c r="C9" s="1241"/>
      <c r="D9" s="1241"/>
      <c r="E9" s="5377"/>
      <c r="F9" s="5377"/>
      <c r="G9" s="5377"/>
      <c r="H9" s="5377"/>
      <c r="I9" s="5397"/>
      <c r="J9" s="5374"/>
      <c r="K9" s="1241"/>
      <c r="L9" s="1242"/>
      <c r="P9" s="5375"/>
      <c r="Q9" s="5375"/>
      <c r="R9" s="273"/>
      <c r="S9" s="1161"/>
      <c r="T9" s="205" t="s">
        <v>562</v>
      </c>
      <c r="U9" s="283"/>
      <c r="V9" s="283"/>
      <c r="W9" s="283"/>
      <c r="X9" s="283"/>
      <c r="Y9" s="283"/>
      <c r="Z9" s="283"/>
      <c r="AA9" s="283"/>
      <c r="AB9" s="283"/>
      <c r="AC9" s="283"/>
      <c r="AD9" s="283"/>
      <c r="AE9" s="283"/>
      <c r="AF9" s="283"/>
      <c r="AG9" s="283"/>
      <c r="AH9" s="283"/>
      <c r="AI9" s="283"/>
      <c r="AJ9" s="283"/>
      <c r="AK9" s="1141" t="s">
        <v>563</v>
      </c>
      <c r="AM9" s="408"/>
      <c r="AN9" s="408" t="str">
        <f t="shared" si="0"/>
        <v>Добавить значение признака дифференциации</v>
      </c>
      <c r="AO9" s="408"/>
      <c r="AP9" s="408"/>
    </row>
    <row r="10" spans="1:42" ht="21" hidden="1" customHeight="1">
      <c r="A10" s="1241"/>
      <c r="B10" s="1241"/>
      <c r="C10" s="1241"/>
      <c r="D10" s="1241"/>
      <c r="E10" s="5377"/>
      <c r="F10" s="5377"/>
      <c r="G10" s="5377"/>
      <c r="H10" s="5377"/>
      <c r="I10" s="5374"/>
      <c r="J10" s="1241"/>
      <c r="K10" s="1241"/>
      <c r="L10" s="1242"/>
      <c r="P10" s="5375"/>
      <c r="Q10" s="1353"/>
      <c r="R10" s="273"/>
      <c r="S10" s="1161"/>
      <c r="T10" s="281" t="s">
        <v>490</v>
      </c>
      <c r="U10" s="283"/>
      <c r="V10" s="283"/>
      <c r="W10" s="283"/>
      <c r="X10" s="283"/>
      <c r="Y10" s="283"/>
      <c r="Z10" s="283"/>
      <c r="AA10" s="283"/>
      <c r="AB10" s="282"/>
      <c r="AC10" s="283"/>
      <c r="AD10" s="283"/>
      <c r="AE10" s="283"/>
      <c r="AF10" s="283"/>
      <c r="AG10" s="283"/>
      <c r="AH10" s="283"/>
      <c r="AI10" s="282"/>
      <c r="AJ10" s="283"/>
      <c r="AK10" s="1317"/>
      <c r="AM10" s="408"/>
      <c r="AN10" s="408" t="str">
        <f t="shared" si="0"/>
        <v>Добавить группу потребителей</v>
      </c>
      <c r="AO10" s="408"/>
      <c r="AP10" s="408"/>
    </row>
    <row r="11" spans="1:42" ht="21" hidden="1" customHeight="1">
      <c r="A11" s="1241"/>
      <c r="B11" s="1241"/>
      <c r="C11" s="1241"/>
      <c r="D11" s="1241"/>
      <c r="E11" s="5377"/>
      <c r="F11" s="5377"/>
      <c r="G11" s="5377"/>
      <c r="H11" s="5376"/>
      <c r="I11" s="1241"/>
      <c r="J11" s="1241"/>
      <c r="K11" s="1241"/>
      <c r="L11" s="1242"/>
      <c r="M11" s="1243"/>
      <c r="N11" s="1243"/>
      <c r="O11" s="444"/>
      <c r="P11" s="277"/>
      <c r="Q11" s="291"/>
      <c r="R11" s="272"/>
      <c r="S11" s="1161"/>
      <c r="T11" s="288" t="s">
        <v>564</v>
      </c>
      <c r="U11" s="283"/>
      <c r="V11" s="283"/>
      <c r="W11" s="283"/>
      <c r="X11" s="283"/>
      <c r="Y11" s="283"/>
      <c r="Z11" s="283"/>
      <c r="AA11" s="283"/>
      <c r="AB11" s="282"/>
      <c r="AC11" s="283"/>
      <c r="AD11" s="283"/>
      <c r="AE11" s="283"/>
      <c r="AF11" s="283"/>
      <c r="AG11" s="283"/>
      <c r="AH11" s="283"/>
      <c r="AI11" s="282"/>
      <c r="AJ11" s="283"/>
      <c r="AK11" s="221"/>
      <c r="AM11" s="408"/>
      <c r="AN11" s="408" t="str">
        <f t="shared" si="0"/>
        <v>Добавить наименование признака дифференциации</v>
      </c>
      <c r="AO11" s="408"/>
      <c r="AP11" s="408"/>
    </row>
    <row r="12" spans="1:42" s="4853" customFormat="1" ht="14.25" hidden="1" customHeight="1">
      <c r="A12" s="1222"/>
      <c r="B12" s="1222"/>
      <c r="C12" s="1194"/>
      <c r="D12" s="1194"/>
      <c r="E12" s="5377"/>
      <c r="F12" s="5376"/>
      <c r="G12" s="1194"/>
      <c r="H12" s="1194"/>
      <c r="I12" s="1194"/>
      <c r="J12" s="1194"/>
      <c r="K12" s="1194"/>
      <c r="L12" s="1366"/>
      <c r="M12" s="1201"/>
      <c r="N12" s="1201"/>
      <c r="P12" s="1196"/>
      <c r="Q12" s="1197"/>
      <c r="R12" s="1196"/>
      <c r="S12" s="1202"/>
      <c r="T12" s="1205" t="s">
        <v>271</v>
      </c>
      <c r="U12" s="1204"/>
      <c r="V12" s="1204"/>
      <c r="W12" s="1204"/>
      <c r="X12" s="1204"/>
      <c r="Y12" s="1204"/>
      <c r="Z12" s="1204"/>
      <c r="AA12" s="1204"/>
      <c r="AB12" s="1204"/>
      <c r="AC12" s="1204"/>
      <c r="AD12" s="1204"/>
      <c r="AE12" s="1204"/>
      <c r="AF12" s="1204"/>
      <c r="AG12" s="1204"/>
      <c r="AH12" s="1204"/>
      <c r="AI12" s="1204"/>
      <c r="AJ12" s="1204"/>
      <c r="AK12" s="1204"/>
      <c r="AM12" s="688"/>
      <c r="AN12" s="688" t="str">
        <f t="shared" si="0"/>
        <v>Добавить централизованную систему для дифференциации</v>
      </c>
      <c r="AO12" s="688"/>
      <c r="AP12" s="688"/>
    </row>
    <row r="13" spans="1:42" s="4856" customFormat="1" ht="14.25" hidden="1" customHeight="1">
      <c r="A13" s="1222"/>
      <c r="B13" s="1222"/>
      <c r="C13" s="1222"/>
      <c r="D13" s="1222"/>
      <c r="E13" s="5376"/>
      <c r="F13" s="1222"/>
      <c r="G13" s="1222"/>
      <c r="H13" s="1222"/>
      <c r="I13" s="1222"/>
      <c r="J13" s="1222"/>
      <c r="K13" s="1222"/>
      <c r="L13" s="1225"/>
      <c r="M13" s="1201"/>
      <c r="N13" s="1201"/>
      <c r="O13" s="426"/>
      <c r="P13" s="296"/>
      <c r="Q13" s="1223"/>
      <c r="R13" s="296"/>
      <c r="S13" s="1202"/>
      <c r="T13" s="1205" t="s">
        <v>330</v>
      </c>
      <c r="U13" s="1204"/>
      <c r="V13" s="1204"/>
      <c r="W13" s="1204"/>
      <c r="X13" s="1204"/>
      <c r="Y13" s="1204"/>
      <c r="Z13" s="1204"/>
      <c r="AA13" s="1204"/>
      <c r="AB13" s="1204"/>
      <c r="AC13" s="1204"/>
      <c r="AD13" s="1204"/>
      <c r="AE13" s="1204"/>
      <c r="AF13" s="1204"/>
      <c r="AG13" s="1204"/>
      <c r="AH13" s="1204"/>
      <c r="AI13" s="1204"/>
      <c r="AJ13" s="1204"/>
      <c r="AK13" s="1204"/>
      <c r="AM13" s="408"/>
      <c r="AN13" s="408" t="str">
        <f t="shared" si="0"/>
        <v>Добавить территорию для дифференциации</v>
      </c>
      <c r="AO13" s="408"/>
      <c r="AP13" s="408"/>
    </row>
    <row r="14" spans="1:42" ht="14.25" hidden="1" customHeight="1">
      <c r="AB14" s="245"/>
      <c r="AI14" s="245"/>
    </row>
    <row r="15" spans="1:42" ht="14.25" hidden="1" customHeight="1">
      <c r="AC15" s="1238"/>
      <c r="AD15" s="1238"/>
      <c r="AE15" s="1239"/>
      <c r="AF15" s="5381"/>
      <c r="AG15" s="5382" t="s">
        <v>64</v>
      </c>
      <c r="AH15" s="5381"/>
      <c r="AI15" s="5382" t="s">
        <v>64</v>
      </c>
    </row>
    <row r="16" spans="1:42" ht="14.25" hidden="1" customHeight="1">
      <c r="AC16" s="1238"/>
      <c r="AD16" s="1238"/>
      <c r="AE16" s="246" t="str">
        <f>AF15&amp;"-"&amp;AH15</f>
        <v>-</v>
      </c>
      <c r="AF16" s="5382"/>
      <c r="AG16" s="5382"/>
      <c r="AH16" s="5382"/>
      <c r="AI16" s="5382"/>
    </row>
    <row r="17" spans="1:42" ht="14.25" hidden="1" customHeight="1">
      <c r="AI17" s="245"/>
    </row>
    <row r="18" spans="1:42" s="4854" customFormat="1" ht="22.5" hidden="1" customHeight="1">
      <c r="L18" s="1350"/>
      <c r="M18" s="1240"/>
      <c r="N18" s="1240"/>
      <c r="O18" s="1245" t="s">
        <v>493</v>
      </c>
      <c r="P18" s="1240"/>
      <c r="Q18" s="1249"/>
      <c r="R18" s="1249"/>
      <c r="S18" s="630"/>
      <c r="Y18" s="1245"/>
      <c r="AA18" s="1245"/>
      <c r="AB18" s="1244"/>
      <c r="AF18" s="1245"/>
      <c r="AH18" s="1245"/>
      <c r="AI18" s="1244"/>
      <c r="AL18" s="419"/>
      <c r="AM18" s="419"/>
      <c r="AN18" s="419"/>
      <c r="AO18" s="419"/>
      <c r="AP18" s="419"/>
    </row>
    <row r="19" spans="1:42" s="4854" customFormat="1" ht="14.25" hidden="1" customHeight="1">
      <c r="L19" s="1350"/>
      <c r="M19" s="1240"/>
      <c r="N19" s="1240"/>
      <c r="O19" s="1240"/>
      <c r="P19" s="1240"/>
      <c r="Q19" s="1249"/>
      <c r="R19" s="1249"/>
      <c r="S19" s="630"/>
      <c r="AB19" s="1244"/>
      <c r="AI19" s="1244"/>
      <c r="AL19" s="419"/>
      <c r="AM19" s="419"/>
      <c r="AN19" s="419"/>
      <c r="AO19" s="419"/>
      <c r="AP19" s="419"/>
    </row>
    <row r="20" spans="1:42" s="4854" customFormat="1" ht="12" hidden="1" customHeight="1">
      <c r="L20" s="1350"/>
      <c r="M20" s="1240"/>
      <c r="N20" s="1240"/>
      <c r="O20" s="1242" t="s">
        <v>494</v>
      </c>
      <c r="P20" s="1240"/>
      <c r="Q20" s="1318"/>
      <c r="R20" s="1318"/>
      <c r="S20" s="630"/>
      <c r="T20" s="1042" t="s">
        <v>495</v>
      </c>
      <c r="Z20" s="108" t="s">
        <v>496</v>
      </c>
      <c r="AB20" s="108" t="s">
        <v>497</v>
      </c>
      <c r="AC20" s="1042" t="s">
        <v>495</v>
      </c>
      <c r="AG20" s="108" t="s">
        <v>498</v>
      </c>
      <c r="AI20" s="108" t="s">
        <v>497</v>
      </c>
    </row>
    <row r="21" spans="1:42" ht="14.25" hidden="1" customHeight="1">
      <c r="O21" s="1242"/>
    </row>
    <row r="22" spans="1:42" ht="14.25" hidden="1" customHeight="1">
      <c r="O22" s="1242"/>
    </row>
    <row r="23" spans="1:42" ht="14.25" customHeight="1">
      <c r="Q23" s="292"/>
      <c r="R23" s="292"/>
      <c r="S23" s="1158"/>
      <c r="T23" s="280"/>
      <c r="U23" s="280"/>
      <c r="V23" s="417"/>
      <c r="W23" s="417"/>
      <c r="X23" s="417"/>
      <c r="Y23" s="417"/>
      <c r="Z23" s="417"/>
      <c r="AA23" s="417"/>
      <c r="AB23" s="417"/>
      <c r="AC23" s="417"/>
      <c r="AD23" s="417"/>
      <c r="AE23" s="417"/>
      <c r="AF23" s="417"/>
      <c r="AG23" s="417"/>
      <c r="AH23" s="417"/>
      <c r="AI23" s="417"/>
    </row>
    <row r="24" spans="1:42" ht="14.25" customHeight="1">
      <c r="Q24" s="292"/>
      <c r="R24" s="292"/>
      <c r="S24" s="5360"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360"/>
      <c r="U24" s="5360"/>
      <c r="V24" s="5360"/>
      <c r="W24" s="5360"/>
      <c r="X24" s="5360"/>
      <c r="Y24" s="5360"/>
      <c r="Z24" s="5360"/>
      <c r="AA24" s="5360"/>
      <c r="AB24" s="5360"/>
      <c r="AC24" s="5360"/>
      <c r="AD24" s="5360"/>
      <c r="AE24" s="5360"/>
      <c r="AF24" s="5360"/>
      <c r="AG24" s="5360"/>
      <c r="AH24" s="5360"/>
      <c r="AI24" s="1126"/>
    </row>
    <row r="25" spans="1:42" ht="14.25" customHeight="1">
      <c r="Q25" s="292"/>
      <c r="R25" s="292"/>
      <c r="S25" s="5308" t="str">
        <f>IF(org=0,"Не определено",org)</f>
        <v>ООО «Газпром теплоэнерго МО»</v>
      </c>
      <c r="T25" s="5308"/>
      <c r="U25" s="5308"/>
      <c r="V25" s="5308"/>
      <c r="W25" s="5308"/>
      <c r="X25" s="5308"/>
      <c r="Y25" s="5308"/>
      <c r="Z25" s="5308"/>
      <c r="AA25" s="5308"/>
      <c r="AB25" s="5308"/>
      <c r="AC25" s="5308"/>
      <c r="AD25" s="5308"/>
      <c r="AE25" s="5308"/>
      <c r="AF25" s="5308"/>
      <c r="AG25" s="5308"/>
      <c r="AH25" s="5308"/>
      <c r="AI25" s="1126"/>
    </row>
    <row r="26" spans="1:42" ht="14.25" customHeight="1">
      <c r="Q26" s="292"/>
      <c r="R26" s="292"/>
      <c r="S26" s="1158"/>
      <c r="T26" s="280"/>
      <c r="U26" s="280"/>
      <c r="V26" s="240"/>
      <c r="W26" s="240"/>
      <c r="X26" s="240"/>
      <c r="Y26" s="240"/>
      <c r="Z26" s="240"/>
      <c r="AA26" s="240"/>
      <c r="AB26" s="240"/>
      <c r="AC26" s="240"/>
      <c r="AD26" s="240"/>
      <c r="AE26" s="240"/>
      <c r="AF26" s="240"/>
      <c r="AG26" s="240"/>
      <c r="AH26" s="240"/>
      <c r="AI26" s="240"/>
      <c r="AJ26" s="417"/>
    </row>
    <row r="27" spans="1:42" s="4855" customFormat="1" ht="25.5" customHeight="1">
      <c r="A27" s="1246"/>
      <c r="B27" s="1246"/>
      <c r="C27" s="1246"/>
      <c r="D27" s="1246"/>
      <c r="E27" s="1246"/>
      <c r="F27" s="1246"/>
      <c r="G27" s="1246"/>
      <c r="H27" s="1246"/>
      <c r="I27" s="1246"/>
      <c r="J27" s="1246"/>
      <c r="K27" s="1246"/>
      <c r="L27" s="1247"/>
      <c r="M27" s="1246"/>
      <c r="N27" s="1246"/>
      <c r="O27" s="1246"/>
      <c r="S27" s="5368" t="s">
        <v>38</v>
      </c>
      <c r="T27" s="5368"/>
      <c r="U27" s="1250"/>
      <c r="V27" s="5369" t="str">
        <f>IF(TITLE_NAME_OR_PR_CHANGE="",IF(TITLE_NAME_OR_PR="","",TITLE_NAME_OR_PR),TITLE_NAME_OR_PR_CHANGE)</f>
        <v>Комитет по ценам и тарифам Московской области</v>
      </c>
      <c r="W27" s="5369"/>
      <c r="X27" s="5369"/>
      <c r="Y27" s="5369"/>
      <c r="Z27" s="5369"/>
      <c r="AA27" s="5369"/>
      <c r="AB27" s="244"/>
      <c r="AC27" s="5369" t="str">
        <f>IF(TITLE_NAME_OR_PR_CHANGE="",IF(TITLE_NAME_OR_PR="","",TITLE_NAME_OR_PR),TITLE_NAME_OR_PR_CHANGE)</f>
        <v>Комитет по ценам и тарифам Московской области</v>
      </c>
      <c r="AD27" s="5369"/>
      <c r="AE27" s="5369"/>
      <c r="AF27" s="5369"/>
      <c r="AG27" s="5369"/>
      <c r="AH27" s="5369"/>
      <c r="AI27" s="244"/>
      <c r="AJ27" s="244"/>
      <c r="AK27" s="199"/>
      <c r="AL27" s="284"/>
      <c r="AM27" s="284"/>
      <c r="AN27" s="284"/>
      <c r="AO27" s="284"/>
      <c r="AP27" s="284"/>
    </row>
    <row r="28" spans="1:42" s="4855" customFormat="1" ht="18.75" customHeight="1">
      <c r="A28" s="1246"/>
      <c r="B28" s="1246"/>
      <c r="C28" s="1246"/>
      <c r="D28" s="1246"/>
      <c r="E28" s="1246"/>
      <c r="F28" s="1246"/>
      <c r="G28" s="1246"/>
      <c r="H28" s="1246"/>
      <c r="I28" s="1246"/>
      <c r="J28" s="1246"/>
      <c r="K28" s="1246"/>
      <c r="L28" s="1247"/>
      <c r="M28" s="1246"/>
      <c r="N28" s="1246"/>
      <c r="O28" s="1246"/>
      <c r="S28" s="5368" t="s">
        <v>499</v>
      </c>
      <c r="T28" s="5368"/>
      <c r="U28" s="1250"/>
      <c r="V28" s="5378">
        <f>IF(TITLE_DATE_PR_CHANGE="",IF(TITLE_DATE_PR="","",TITLE_DATE_PR),TITLE_DATE_PR_CHANGE)</f>
        <v>45280</v>
      </c>
      <c r="W28" s="5378"/>
      <c r="X28" s="5378"/>
      <c r="Y28" s="5378"/>
      <c r="Z28" s="5378"/>
      <c r="AA28" s="5378"/>
      <c r="AB28" s="244"/>
      <c r="AC28" s="5378">
        <f>IF(TITLE_DATE_PR_CHANGE="",IF(TITLE_DATE_PR="","",TITLE_DATE_PR),TITLE_DATE_PR_CHANGE)</f>
        <v>45280</v>
      </c>
      <c r="AD28" s="5378"/>
      <c r="AE28" s="5378"/>
      <c r="AF28" s="5378"/>
      <c r="AG28" s="5378"/>
      <c r="AH28" s="5378"/>
      <c r="AI28" s="244"/>
      <c r="AJ28" s="244"/>
      <c r="AK28" s="199"/>
      <c r="AL28" s="284"/>
      <c r="AM28" s="284"/>
      <c r="AN28" s="284"/>
      <c r="AO28" s="284"/>
      <c r="AP28" s="284"/>
    </row>
    <row r="29" spans="1:42" s="4855" customFormat="1" ht="18.75" customHeight="1">
      <c r="A29" s="1246"/>
      <c r="B29" s="1246"/>
      <c r="C29" s="1246"/>
      <c r="D29" s="1246"/>
      <c r="E29" s="1246"/>
      <c r="F29" s="1246"/>
      <c r="G29" s="1246"/>
      <c r="H29" s="1246"/>
      <c r="I29" s="1246"/>
      <c r="J29" s="1246"/>
      <c r="K29" s="1246"/>
      <c r="L29" s="1247"/>
      <c r="M29" s="1246"/>
      <c r="N29" s="1246"/>
      <c r="O29" s="1246"/>
      <c r="S29" s="5368" t="s">
        <v>500</v>
      </c>
      <c r="T29" s="5368"/>
      <c r="U29" s="1250"/>
      <c r="V29" s="5369" t="str">
        <f>IF(TITLE_NUMBER_PR_CHANGE="",IF(TITLE_NUMBER_PR="","",TITLE_NUMBER_PR),TITLE_NUMBER_PR_CHANGE)</f>
        <v>317-Р</v>
      </c>
      <c r="W29" s="5369"/>
      <c r="X29" s="5369"/>
      <c r="Y29" s="5369"/>
      <c r="Z29" s="5369"/>
      <c r="AA29" s="5369"/>
      <c r="AB29" s="244"/>
      <c r="AC29" s="5369" t="str">
        <f>IF(TITLE_NUMBER_PR_CHANGE="",IF(TITLE_NUMBER_PR="","",TITLE_NUMBER_PR),TITLE_NUMBER_PR_CHANGE)</f>
        <v>317-Р</v>
      </c>
      <c r="AD29" s="5369"/>
      <c r="AE29" s="5369"/>
      <c r="AF29" s="5369"/>
      <c r="AG29" s="5369"/>
      <c r="AH29" s="5369"/>
      <c r="AI29" s="244"/>
      <c r="AJ29" s="244"/>
      <c r="AK29" s="199"/>
      <c r="AL29" s="284"/>
      <c r="AM29" s="284"/>
      <c r="AN29" s="284"/>
      <c r="AO29" s="284"/>
      <c r="AP29" s="284"/>
    </row>
    <row r="30" spans="1:42" s="4855" customFormat="1" ht="18.75" customHeight="1">
      <c r="A30" s="1246"/>
      <c r="B30" s="1246"/>
      <c r="C30" s="1246"/>
      <c r="D30" s="1246"/>
      <c r="E30" s="1246"/>
      <c r="F30" s="1246"/>
      <c r="G30" s="1246"/>
      <c r="H30" s="1246"/>
      <c r="I30" s="1246"/>
      <c r="J30" s="1246"/>
      <c r="K30" s="1246"/>
      <c r="L30" s="1247"/>
      <c r="M30" s="1246"/>
      <c r="N30" s="1246"/>
      <c r="O30" s="1246"/>
      <c r="S30" s="5368" t="s">
        <v>40</v>
      </c>
      <c r="T30" s="5368"/>
      <c r="U30" s="1250"/>
      <c r="V30" s="5369" t="str">
        <f>IF(TITLE_IST_PUB_CHANGE="",IF(TITLE_IST_PUB="","",TITLE_IST_PUB),TITLE_IST_PUB_CHANGE)</f>
        <v>https://ktc.mosreg.ru/dokumenty/normotvorchestvo/rasporyazheniya/gosudarstvennoe-regulirovanie-tarifov-na-teplovuyu-energiyu-raspor/29-12-2023-16-47-50-rasporyazhenie-komiteta-po-tsenam-i-tarifam-moskov</v>
      </c>
      <c r="W30" s="5369"/>
      <c r="X30" s="5369"/>
      <c r="Y30" s="5369"/>
      <c r="Z30" s="5369"/>
      <c r="AA30" s="5369"/>
      <c r="AB30" s="244"/>
      <c r="AC30" s="5369" t="str">
        <f>IF(TITLE_IST_PUB_CHANGE="",IF(TITLE_IST_PUB="","",TITLE_IST_PUB),TITLE_IST_PUB_CHANGE)</f>
        <v>https://ktc.mosreg.ru/dokumenty/normotvorchestvo/rasporyazheniya/gosudarstvennoe-regulirovanie-tarifov-na-teplovuyu-energiyu-raspor/29-12-2023-16-47-50-rasporyazhenie-komiteta-po-tsenam-i-tarifam-moskov</v>
      </c>
      <c r="AD30" s="5369"/>
      <c r="AE30" s="5369"/>
      <c r="AF30" s="5369"/>
      <c r="AG30" s="5369"/>
      <c r="AH30" s="5369"/>
      <c r="AI30" s="244"/>
      <c r="AJ30" s="244"/>
      <c r="AK30" s="199"/>
      <c r="AL30" s="284"/>
      <c r="AM30" s="284"/>
      <c r="AN30" s="284"/>
      <c r="AO30" s="284"/>
      <c r="AP30" s="284"/>
    </row>
    <row r="31" spans="1:42" ht="14.25" hidden="1" customHeight="1">
      <c r="Q31" s="292"/>
      <c r="R31" s="292"/>
      <c r="S31" s="1158"/>
      <c r="T31" s="280"/>
      <c r="U31" s="280"/>
      <c r="V31" s="240"/>
      <c r="W31" s="240"/>
      <c r="X31" s="240"/>
      <c r="Y31" s="240"/>
      <c r="Z31" s="240"/>
      <c r="AA31" s="240"/>
      <c r="AB31" s="240"/>
      <c r="AC31" s="240"/>
      <c r="AD31" s="240"/>
      <c r="AE31" s="240"/>
      <c r="AF31" s="240"/>
      <c r="AG31" s="240"/>
      <c r="AH31" s="240"/>
      <c r="AI31" s="240"/>
      <c r="AJ31" s="417"/>
    </row>
    <row r="32" spans="1:42" s="4855" customFormat="1" ht="18.75" hidden="1" customHeight="1">
      <c r="A32" s="1246"/>
      <c r="B32" s="1246"/>
      <c r="C32" s="1246"/>
      <c r="D32" s="1246"/>
      <c r="E32" s="1246"/>
      <c r="F32" s="1246"/>
      <c r="G32" s="1246"/>
      <c r="H32" s="1246"/>
      <c r="I32" s="1246"/>
      <c r="J32" s="1246"/>
      <c r="K32" s="1246"/>
      <c r="L32" s="1247"/>
      <c r="M32" s="1246"/>
      <c r="N32" s="1246"/>
      <c r="O32" s="1246"/>
      <c r="S32" s="5368" t="s">
        <v>501</v>
      </c>
      <c r="T32" s="5368"/>
      <c r="U32" s="1250"/>
      <c r="V32" s="5378">
        <f>IF(TITLE_DATE_PR_CHANGE="",IF(TITLE_DATE_PR="","",TITLE_DATE_PR),TITLE_DATE_PR_CHANGE)</f>
        <v>45280</v>
      </c>
      <c r="W32" s="5378"/>
      <c r="X32" s="5378"/>
      <c r="Y32" s="5378"/>
      <c r="Z32" s="5378"/>
      <c r="AA32" s="5378"/>
      <c r="AB32" s="244"/>
      <c r="AC32" s="5378">
        <f>IF(TITLE_DATE_PR_CHANGE="",IF(TITLE_DATE_PR="","",TITLE_DATE_PR),TITLE_DATE_PR_CHANGE)</f>
        <v>45280</v>
      </c>
      <c r="AD32" s="5378"/>
      <c r="AE32" s="5378"/>
      <c r="AF32" s="5378"/>
      <c r="AG32" s="5378"/>
      <c r="AH32" s="5378"/>
      <c r="AI32" s="244"/>
      <c r="AJ32" s="244"/>
      <c r="AK32" s="199"/>
      <c r="AL32" s="284"/>
      <c r="AM32" s="284"/>
      <c r="AN32" s="284"/>
      <c r="AO32" s="284"/>
      <c r="AP32" s="284"/>
    </row>
    <row r="33" spans="1:42" s="4855" customFormat="1" ht="18.75" hidden="1" customHeight="1">
      <c r="A33" s="1246"/>
      <c r="B33" s="1246"/>
      <c r="C33" s="1246"/>
      <c r="D33" s="1246"/>
      <c r="E33" s="1246"/>
      <c r="F33" s="1246"/>
      <c r="G33" s="1246"/>
      <c r="H33" s="1246"/>
      <c r="I33" s="1246"/>
      <c r="J33" s="1246"/>
      <c r="K33" s="1246"/>
      <c r="L33" s="1247"/>
      <c r="M33" s="1246"/>
      <c r="N33" s="1246"/>
      <c r="O33" s="1246"/>
      <c r="S33" s="5368" t="s">
        <v>502</v>
      </c>
      <c r="T33" s="5368"/>
      <c r="U33" s="1250"/>
      <c r="V33" s="5369" t="str">
        <f>IF(TITLE_NUMBER_PR_CHANGE="",IF(TITLE_NUMBER_PR="","",TITLE_NUMBER_PR),TITLE_NUMBER_PR_CHANGE)</f>
        <v>317-Р</v>
      </c>
      <c r="W33" s="5369"/>
      <c r="X33" s="5369"/>
      <c r="Y33" s="5369"/>
      <c r="Z33" s="5369"/>
      <c r="AA33" s="5369"/>
      <c r="AB33" s="244"/>
      <c r="AC33" s="5369" t="str">
        <f>IF(TITLE_NUMBER_PR_CHANGE="",IF(TITLE_NUMBER_PR="","",TITLE_NUMBER_PR),TITLE_NUMBER_PR_CHANGE)</f>
        <v>317-Р</v>
      </c>
      <c r="AD33" s="5369"/>
      <c r="AE33" s="5369"/>
      <c r="AF33" s="5369"/>
      <c r="AG33" s="5369"/>
      <c r="AH33" s="5369"/>
      <c r="AI33" s="244"/>
      <c r="AJ33" s="244"/>
      <c r="AK33" s="199"/>
      <c r="AL33" s="284"/>
      <c r="AM33" s="284"/>
      <c r="AN33" s="284"/>
      <c r="AO33" s="284"/>
      <c r="AP33" s="284"/>
    </row>
    <row r="34" spans="1:42" s="4855" customFormat="1" ht="0.75" customHeight="1">
      <c r="A34" s="1246"/>
      <c r="B34" s="1246"/>
      <c r="C34" s="1246"/>
      <c r="D34" s="1246"/>
      <c r="E34" s="1246"/>
      <c r="F34" s="1246"/>
      <c r="G34" s="1246"/>
      <c r="H34" s="1246"/>
      <c r="I34" s="1246"/>
      <c r="J34" s="1246"/>
      <c r="K34" s="1246"/>
      <c r="L34" s="1247"/>
      <c r="M34" s="1246"/>
      <c r="N34" s="1246"/>
      <c r="O34" s="1246"/>
      <c r="S34" s="241"/>
      <c r="T34" s="241"/>
      <c r="U34" s="1360"/>
      <c r="V34" s="244"/>
      <c r="W34" s="244"/>
      <c r="X34" s="244"/>
      <c r="Y34" s="244"/>
      <c r="Z34" s="244"/>
      <c r="AA34" s="244"/>
      <c r="AB34" s="197" t="s">
        <v>503</v>
      </c>
      <c r="AC34" s="244"/>
      <c r="AD34" s="244"/>
      <c r="AE34" s="244"/>
      <c r="AF34" s="244"/>
      <c r="AG34" s="244"/>
      <c r="AH34" s="244"/>
      <c r="AI34" s="197" t="s">
        <v>503</v>
      </c>
      <c r="AL34" s="284"/>
      <c r="AM34" s="284"/>
      <c r="AN34" s="284"/>
      <c r="AO34" s="284"/>
      <c r="AP34" s="284"/>
    </row>
    <row r="35" spans="1:42" ht="14.25" customHeight="1">
      <c r="Q35" s="292"/>
      <c r="R35" s="292"/>
      <c r="S35" s="1158"/>
      <c r="T35" s="280"/>
      <c r="U35" s="1127"/>
      <c r="V35" s="5370"/>
      <c r="W35" s="5370"/>
      <c r="X35" s="5370"/>
      <c r="Y35" s="5370"/>
      <c r="Z35" s="5370"/>
      <c r="AA35" s="5370"/>
      <c r="AB35" s="5370"/>
      <c r="AC35" s="5370"/>
      <c r="AD35" s="5370"/>
      <c r="AE35" s="5370"/>
      <c r="AF35" s="5370"/>
      <c r="AG35" s="5370"/>
      <c r="AH35" s="5370"/>
      <c r="AI35" s="5370"/>
    </row>
    <row r="36" spans="1:42" ht="14.25" customHeight="1">
      <c r="Q36" s="292"/>
      <c r="R36" s="292"/>
      <c r="S36" s="5244" t="s">
        <v>378</v>
      </c>
      <c r="T36" s="5244"/>
      <c r="U36" s="5244"/>
      <c r="V36" s="5244"/>
      <c r="W36" s="5244"/>
      <c r="X36" s="5244"/>
      <c r="Y36" s="5244"/>
      <c r="Z36" s="5244"/>
      <c r="AA36" s="5244"/>
      <c r="AB36" s="5244"/>
      <c r="AC36" s="5244"/>
      <c r="AD36" s="5244"/>
      <c r="AE36" s="5244"/>
      <c r="AF36" s="5244"/>
      <c r="AG36" s="5244"/>
      <c r="AH36" s="5244"/>
      <c r="AI36" s="5244"/>
      <c r="AJ36" s="5244"/>
      <c r="AK36" s="5244" t="s">
        <v>379</v>
      </c>
    </row>
    <row r="37" spans="1:42" ht="14.25" customHeight="1">
      <c r="Q37" s="292"/>
      <c r="R37" s="292"/>
      <c r="S37" s="5384" t="s">
        <v>85</v>
      </c>
      <c r="T37" s="5336" t="s">
        <v>504</v>
      </c>
      <c r="U37" s="219"/>
      <c r="V37" s="5385" t="s">
        <v>505</v>
      </c>
      <c r="W37" s="5386"/>
      <c r="X37" s="5386"/>
      <c r="Y37" s="5386"/>
      <c r="Z37" s="5386"/>
      <c r="AA37" s="5387"/>
      <c r="AB37" s="5388" t="s">
        <v>506</v>
      </c>
      <c r="AC37" s="5385" t="s">
        <v>505</v>
      </c>
      <c r="AD37" s="5386"/>
      <c r="AE37" s="5386"/>
      <c r="AF37" s="5386"/>
      <c r="AG37" s="5386"/>
      <c r="AH37" s="5387"/>
      <c r="AI37" s="5388" t="s">
        <v>507</v>
      </c>
      <c r="AJ37" s="5391" t="s">
        <v>508</v>
      </c>
      <c r="AK37" s="5244"/>
    </row>
    <row r="38" spans="1:42" ht="33.75" customHeight="1">
      <c r="Q38" s="292"/>
      <c r="R38" s="292"/>
      <c r="S38" s="5384"/>
      <c r="T38" s="5336"/>
      <c r="U38" s="920"/>
      <c r="V38" s="1355" t="s">
        <v>565</v>
      </c>
      <c r="W38" s="5215" t="s">
        <v>511</v>
      </c>
      <c r="X38" s="5214"/>
      <c r="Y38" s="5215" t="s">
        <v>512</v>
      </c>
      <c r="Z38" s="5220"/>
      <c r="AA38" s="5214"/>
      <c r="AB38" s="5389"/>
      <c r="AC38" s="1355" t="s">
        <v>565</v>
      </c>
      <c r="AD38" s="5215" t="s">
        <v>511</v>
      </c>
      <c r="AE38" s="5214"/>
      <c r="AF38" s="5215" t="s">
        <v>512</v>
      </c>
      <c r="AG38" s="5220"/>
      <c r="AH38" s="5214"/>
      <c r="AI38" s="5389"/>
      <c r="AJ38" s="5392"/>
      <c r="AK38" s="5244"/>
    </row>
    <row r="39" spans="1:42" ht="86.25" customHeight="1">
      <c r="A39" s="1248"/>
      <c r="B39" s="1248" t="s">
        <v>153</v>
      </c>
      <c r="C39" s="1248" t="s">
        <v>154</v>
      </c>
      <c r="D39" s="1248" t="s">
        <v>155</v>
      </c>
      <c r="E39" s="1242" t="s">
        <v>513</v>
      </c>
      <c r="F39" s="1242" t="s">
        <v>514</v>
      </c>
      <c r="G39" s="1242" t="s">
        <v>515</v>
      </c>
      <c r="H39" s="1242"/>
      <c r="I39" s="1242" t="s">
        <v>566</v>
      </c>
      <c r="J39" s="1242" t="s">
        <v>518</v>
      </c>
      <c r="K39" s="1242" t="s">
        <v>567</v>
      </c>
      <c r="L39" s="1242" t="s">
        <v>494</v>
      </c>
      <c r="Q39" s="292"/>
      <c r="R39" s="292"/>
      <c r="S39" s="5384"/>
      <c r="T39" s="5336"/>
      <c r="U39" s="220"/>
      <c r="V39" s="1355" t="s">
        <v>594</v>
      </c>
      <c r="W39" s="1105" t="s">
        <v>595</v>
      </c>
      <c r="X39" s="1105" t="s">
        <v>570</v>
      </c>
      <c r="Y39" s="1361" t="s">
        <v>522</v>
      </c>
      <c r="Z39" s="5344" t="s">
        <v>523</v>
      </c>
      <c r="AA39" s="5346"/>
      <c r="AB39" s="5390"/>
      <c r="AC39" s="1355" t="s">
        <v>594</v>
      </c>
      <c r="AD39" s="1105" t="s">
        <v>595</v>
      </c>
      <c r="AE39" s="1105" t="s">
        <v>570</v>
      </c>
      <c r="AF39" s="1361" t="s">
        <v>522</v>
      </c>
      <c r="AG39" s="5344" t="s">
        <v>523</v>
      </c>
      <c r="AH39" s="5346"/>
      <c r="AI39" s="5390"/>
      <c r="AJ39" s="5393"/>
      <c r="AK39" s="5244"/>
    </row>
    <row r="40" spans="1:42" s="4840" customFormat="1" ht="0" hidden="1" customHeight="1">
      <c r="A40" s="1248"/>
      <c r="B40" s="1248"/>
      <c r="C40" s="1248"/>
      <c r="D40" s="1248"/>
      <c r="E40" s="1248"/>
      <c r="F40" s="1248"/>
      <c r="G40" s="1248"/>
      <c r="H40" s="1248"/>
      <c r="I40" s="1248"/>
      <c r="J40" s="1248"/>
      <c r="K40" s="1248"/>
      <c r="L40" s="1242"/>
      <c r="M40" s="1240"/>
      <c r="N40" s="1240"/>
      <c r="O40" s="1240"/>
      <c r="P40" s="1129"/>
      <c r="Q40" s="1130"/>
      <c r="R40" s="1137">
        <v>1</v>
      </c>
      <c r="S40" s="1160" t="s">
        <v>129</v>
      </c>
      <c r="T40" s="1138" t="s">
        <v>100</v>
      </c>
      <c r="U40" s="1128" t="str">
        <f ca="1">OFFSET(U40,0,-1)</f>
        <v>2</v>
      </c>
      <c r="V40" s="1354">
        <f ca="1">OFFSET(V40,0,-1)+1</f>
        <v>3</v>
      </c>
      <c r="W40" s="1354">
        <f ca="1">OFFSET(W40,0,-1)+1</f>
        <v>4</v>
      </c>
      <c r="X40" s="1354">
        <f ca="1">OFFSET(X40,0,-1)+1</f>
        <v>5</v>
      </c>
      <c r="Y40" s="1354">
        <f ca="1">OFFSET(Y40,0,-1)+1</f>
        <v>6</v>
      </c>
      <c r="Z40" s="5383">
        <f ca="1">OFFSET(Z40,0,-1)+1</f>
        <v>7</v>
      </c>
      <c r="AA40" s="5383"/>
      <c r="AB40" s="1354">
        <f ca="1">OFFSET(AB40,0,-2)+1</f>
        <v>8</v>
      </c>
      <c r="AC40" s="1354">
        <f ca="1">OFFSET(AC40,0,-1)+1</f>
        <v>9</v>
      </c>
      <c r="AD40" s="1354">
        <f ca="1">OFFSET(AD40,0,-1)+1</f>
        <v>10</v>
      </c>
      <c r="AE40" s="1354">
        <f ca="1">OFFSET(AE40,0,-1)+1</f>
        <v>11</v>
      </c>
      <c r="AF40" s="1354">
        <f ca="1">OFFSET(AF40,0,-1)+1</f>
        <v>12</v>
      </c>
      <c r="AG40" s="5383">
        <f ca="1">OFFSET(AG40,0,-1)+1</f>
        <v>13</v>
      </c>
      <c r="AH40" s="5383"/>
      <c r="AI40" s="1354">
        <f ca="1">OFFSET(AI40,0,-2)+1</f>
        <v>14</v>
      </c>
      <c r="AJ40" s="1128">
        <f ca="1">OFFSET(AJ40,0,-1)</f>
        <v>14</v>
      </c>
      <c r="AK40" s="1354">
        <f ca="1">OFFSET(AK40,0,-1)+1</f>
        <v>15</v>
      </c>
      <c r="AL40" s="419"/>
      <c r="AM40" s="419"/>
      <c r="AN40" s="419"/>
      <c r="AO40" s="419"/>
      <c r="AP40" s="419"/>
    </row>
    <row r="41" spans="1:42" ht="23.25" customHeight="1">
      <c r="A41" s="1241" t="s">
        <v>349</v>
      </c>
      <c r="B41" s="1241"/>
      <c r="C41" s="1241"/>
      <c r="D41" s="1241"/>
      <c r="E41" s="5376">
        <v>1</v>
      </c>
      <c r="F41" s="1241"/>
      <c r="G41" s="1241"/>
      <c r="H41" s="1241"/>
      <c r="I41" s="1241"/>
      <c r="J41" s="1241"/>
      <c r="K41" s="1241"/>
      <c r="L41" s="1242"/>
      <c r="M41" s="1243"/>
      <c r="N41" s="1243"/>
      <c r="O41" s="1243"/>
      <c r="P41" s="278"/>
      <c r="Q41" s="277"/>
      <c r="R41" s="272"/>
      <c r="S41" s="1365">
        <f>INDEX(PT_DIFFERENTIATION_NUM_NTAR,MATCH(A41,PT_DIFFERENTIATION_NTAR_ID,0))</f>
        <v>0</v>
      </c>
      <c r="T41" s="216" t="s">
        <v>141</v>
      </c>
      <c r="U41" s="218"/>
      <c r="V41" s="5362"/>
      <c r="W41" s="5363"/>
      <c r="X41" s="5363"/>
      <c r="Y41" s="5363"/>
      <c r="Z41" s="5363"/>
      <c r="AA41" s="5363"/>
      <c r="AB41" s="5364"/>
      <c r="AC41" s="5362" t="str">
        <f>INDEX(PT_DIFFERENTIATION_NTAR,MATCH(A41,PT_DIFFERENTIATION_NTAR_ID,0))</f>
        <v/>
      </c>
      <c r="AD41" s="5363"/>
      <c r="AE41" s="5363"/>
      <c r="AF41" s="5363"/>
      <c r="AG41" s="5363"/>
      <c r="AH41" s="5363"/>
      <c r="AI41" s="5363"/>
      <c r="AJ41" s="5364"/>
      <c r="AK41"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8"/>
      <c r="AN41" s="408" t="str">
        <f t="shared" ref="AN41:AN53" si="1">IF(T41="","",T41)</f>
        <v>Наименование тарифа</v>
      </c>
      <c r="AO41" s="408"/>
      <c r="AP41" s="408"/>
    </row>
    <row r="42" spans="1:42" ht="23.25" customHeight="1">
      <c r="A42" s="1241" t="s">
        <v>349</v>
      </c>
      <c r="B42" s="1241" t="s">
        <v>350</v>
      </c>
      <c r="C42" s="1241"/>
      <c r="D42" s="1241"/>
      <c r="E42" s="5377"/>
      <c r="F42" s="5376">
        <v>1</v>
      </c>
      <c r="G42" s="1241"/>
      <c r="H42" s="1241"/>
      <c r="I42" s="1241"/>
      <c r="J42" s="1241"/>
      <c r="K42" s="1241"/>
      <c r="L42" s="1242"/>
      <c r="M42" s="1243"/>
      <c r="N42" s="1243"/>
      <c r="O42" s="1243"/>
      <c r="P42" s="1359"/>
      <c r="Q42" s="269"/>
      <c r="R42" s="270"/>
      <c r="S42" s="1365" t="str">
        <f>INDEX(PT_DIFFERENTIATION_NUM_TER,MATCH(B42,PT_DIFFERENTIATION_TER_ID,0))</f>
        <v>.</v>
      </c>
      <c r="T42" s="226" t="s">
        <v>475</v>
      </c>
      <c r="U42" s="218"/>
      <c r="V42" s="5362"/>
      <c r="W42" s="5363"/>
      <c r="X42" s="5363"/>
      <c r="Y42" s="5363"/>
      <c r="Z42" s="5363"/>
      <c r="AA42" s="5363"/>
      <c r="AB42" s="5364"/>
      <c r="AC42" s="5362" t="str">
        <f>INDEX(PT_DIFFERENTIATION_TER,MATCH(B42,PT_DIFFERENTIATION_TER_ID,0))</f>
        <v/>
      </c>
      <c r="AD42" s="5363"/>
      <c r="AE42" s="5363"/>
      <c r="AF42" s="5363"/>
      <c r="AG42" s="5363"/>
      <c r="AH42" s="5363"/>
      <c r="AI42" s="5363"/>
      <c r="AJ42" s="5364"/>
      <c r="AK42" s="1141" t="s">
        <v>476</v>
      </c>
      <c r="AM42" s="408"/>
      <c r="AN42" s="408" t="str">
        <f t="shared" si="1"/>
        <v>Территория действия тарифа</v>
      </c>
      <c r="AO42" s="408"/>
      <c r="AP42" s="408"/>
    </row>
    <row r="43" spans="1:42" ht="23.25" customHeight="1">
      <c r="A43" s="1241" t="s">
        <v>349</v>
      </c>
      <c r="B43" s="1241" t="s">
        <v>350</v>
      </c>
      <c r="C43" s="1241" t="s">
        <v>351</v>
      </c>
      <c r="D43" s="1241"/>
      <c r="E43" s="5377"/>
      <c r="F43" s="5377"/>
      <c r="G43" s="5376">
        <v>1</v>
      </c>
      <c r="H43" s="1241"/>
      <c r="I43" s="1241"/>
      <c r="J43" s="1241"/>
      <c r="K43" s="1241"/>
      <c r="L43" s="1242"/>
      <c r="M43" s="1243"/>
      <c r="N43" s="1243"/>
      <c r="O43" s="1243"/>
      <c r="P43" s="271"/>
      <c r="Q43" s="269"/>
      <c r="R43" s="270"/>
      <c r="S43" s="1365" t="str">
        <f>INDEX(PT_DIFFERENTIATION_NUM_CS,MATCH(C43,PT_DIFFERENTIATION_CS_ID,0))</f>
        <v>..</v>
      </c>
      <c r="T43" s="227" t="s">
        <v>592</v>
      </c>
      <c r="U43" s="218"/>
      <c r="V43" s="5362"/>
      <c r="W43" s="5363"/>
      <c r="X43" s="5363"/>
      <c r="Y43" s="5363"/>
      <c r="Z43" s="5363"/>
      <c r="AA43" s="5363"/>
      <c r="AB43" s="5364"/>
      <c r="AC43" s="5362" t="str">
        <f>INDEX(PT_DIFFERENTIATION_CS,MATCH(C43,PT_DIFFERENTIATION_CS_ID,0))</f>
        <v/>
      </c>
      <c r="AD43" s="5363"/>
      <c r="AE43" s="5363"/>
      <c r="AF43" s="5363"/>
      <c r="AG43" s="5363"/>
      <c r="AH43" s="5363"/>
      <c r="AI43" s="5363"/>
      <c r="AJ43" s="5364"/>
      <c r="AK43" s="1141" t="s">
        <v>593</v>
      </c>
      <c r="AM43" s="408"/>
      <c r="AN43" s="408" t="str">
        <f t="shared" si="1"/>
        <v>Наименование централизованной системы водоотведения</v>
      </c>
      <c r="AO43" s="408"/>
      <c r="AP43" s="408"/>
    </row>
    <row r="44" spans="1:42" ht="23.25" customHeight="1">
      <c r="A44" s="1241" t="s">
        <v>349</v>
      </c>
      <c r="B44" s="1241" t="s">
        <v>350</v>
      </c>
      <c r="C44" s="1241" t="s">
        <v>351</v>
      </c>
      <c r="D44" s="1241" t="s">
        <v>597</v>
      </c>
      <c r="E44" s="5377"/>
      <c r="F44" s="5377"/>
      <c r="G44" s="5377"/>
      <c r="H44" s="5377"/>
      <c r="I44" s="5374" t="str">
        <f>S43&amp;".1"</f>
        <v>...1</v>
      </c>
      <c r="J44" s="1241"/>
      <c r="K44" s="1241"/>
      <c r="L44" s="1242"/>
      <c r="P44" s="5375">
        <v>1</v>
      </c>
      <c r="Q44" s="1353"/>
      <c r="R44" s="273"/>
      <c r="S44" s="1365" t="str">
        <f>$I44</f>
        <v>...1</v>
      </c>
      <c r="T44" s="203" t="s">
        <v>559</v>
      </c>
      <c r="U44" s="218"/>
      <c r="V44" s="5435"/>
      <c r="W44" s="5436"/>
      <c r="X44" s="5436"/>
      <c r="Y44" s="5436"/>
      <c r="Z44" s="5436"/>
      <c r="AA44" s="5436"/>
      <c r="AB44" s="5437"/>
      <c r="AC44" s="5438"/>
      <c r="AD44" s="5439"/>
      <c r="AE44" s="5439"/>
      <c r="AF44" s="5439"/>
      <c r="AG44" s="5439"/>
      <c r="AH44" s="5439"/>
      <c r="AI44" s="5439"/>
      <c r="AJ44" s="5440"/>
      <c r="AK44" s="1141" t="s">
        <v>560</v>
      </c>
      <c r="AM44" s="408"/>
      <c r="AN44" s="408" t="str">
        <f t="shared" si="1"/>
        <v>Наименование признака дифференциации</v>
      </c>
      <c r="AO44" s="408"/>
      <c r="AP44" s="408"/>
    </row>
    <row r="45" spans="1:42" ht="23.25" customHeight="1">
      <c r="A45" s="1241" t="s">
        <v>349</v>
      </c>
      <c r="B45" s="1241" t="s">
        <v>350</v>
      </c>
      <c r="C45" s="1241" t="s">
        <v>351</v>
      </c>
      <c r="D45" s="1241" t="s">
        <v>597</v>
      </c>
      <c r="E45" s="5377"/>
      <c r="F45" s="5377"/>
      <c r="G45" s="5377"/>
      <c r="H45" s="5377"/>
      <c r="I45" s="5397"/>
      <c r="J45" s="5374" t="str">
        <f>I44&amp;".1"</f>
        <v>...1.1</v>
      </c>
      <c r="K45" s="1241"/>
      <c r="L45" s="1242" t="s">
        <v>484</v>
      </c>
      <c r="P45" s="5375"/>
      <c r="Q45" s="5375">
        <v>1</v>
      </c>
      <c r="R45" s="274"/>
      <c r="S45" s="1365" t="str">
        <f>$J45</f>
        <v>...1.1</v>
      </c>
      <c r="T45" s="204" t="s">
        <v>485</v>
      </c>
      <c r="U45" s="218"/>
      <c r="V45" s="5365"/>
      <c r="W45" s="5366"/>
      <c r="X45" s="5366"/>
      <c r="Y45" s="5366"/>
      <c r="Z45" s="5366"/>
      <c r="AA45" s="5366"/>
      <c r="AB45" s="5367"/>
      <c r="AC45" s="5365"/>
      <c r="AD45" s="5366"/>
      <c r="AE45" s="5366"/>
      <c r="AF45" s="5366"/>
      <c r="AG45" s="5366"/>
      <c r="AH45" s="5366"/>
      <c r="AI45" s="5366"/>
      <c r="AJ45" s="5367"/>
      <c r="AK45" s="1188" t="s">
        <v>561</v>
      </c>
      <c r="AM45" s="408"/>
      <c r="AN45" s="408" t="str">
        <f t="shared" si="1"/>
        <v>Группа потребителей</v>
      </c>
      <c r="AO45" s="408"/>
      <c r="AP45" s="408"/>
    </row>
    <row r="46" spans="1:42" ht="23.25" customHeight="1">
      <c r="A46" s="1241" t="s">
        <v>349</v>
      </c>
      <c r="B46" s="1241" t="s">
        <v>350</v>
      </c>
      <c r="C46" s="1241" t="s">
        <v>351</v>
      </c>
      <c r="D46" s="1241" t="s">
        <v>597</v>
      </c>
      <c r="E46" s="5377"/>
      <c r="F46" s="5377"/>
      <c r="G46" s="5377"/>
      <c r="H46" s="5377"/>
      <c r="I46" s="5397"/>
      <c r="J46" s="5397"/>
      <c r="K46" s="5374" t="str">
        <f>J45&amp;".1"</f>
        <v>...1.1.1</v>
      </c>
      <c r="L46" s="1242"/>
      <c r="P46" s="5375"/>
      <c r="Q46" s="5375"/>
      <c r="R46" s="274">
        <v>1</v>
      </c>
      <c r="S46" s="1365" t="str">
        <f>$K46</f>
        <v>...1.1.1</v>
      </c>
      <c r="T46" s="1314"/>
      <c r="U46" s="218"/>
      <c r="V46" s="1238"/>
      <c r="W46" s="1238"/>
      <c r="X46" s="1239"/>
      <c r="Y46" s="5381"/>
      <c r="Z46" s="5382" t="s">
        <v>64</v>
      </c>
      <c r="AA46" s="5381"/>
      <c r="AB46" s="5382" t="s">
        <v>64</v>
      </c>
      <c r="AC46" s="650"/>
      <c r="AD46" s="650"/>
      <c r="AE46" s="1140"/>
      <c r="AF46" s="5379"/>
      <c r="AG46" s="5225" t="s">
        <v>64</v>
      </c>
      <c r="AH46" s="5398"/>
      <c r="AI46" s="5225" t="s">
        <v>54</v>
      </c>
      <c r="AJ46" s="1315"/>
      <c r="AK46"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9" t="e">
        <f ca="1">STRCHECKDATE(V47:AJ47)</f>
        <v>#NAME?</v>
      </c>
      <c r="AM46" s="408"/>
      <c r="AN46" s="408" t="str">
        <f t="shared" si="1"/>
        <v/>
      </c>
      <c r="AO46" s="408"/>
      <c r="AP46" s="408"/>
    </row>
    <row r="47" spans="1:42" ht="0" hidden="1" customHeight="1">
      <c r="A47" s="1241" t="s">
        <v>349</v>
      </c>
      <c r="B47" s="1241" t="s">
        <v>350</v>
      </c>
      <c r="C47" s="1241" t="s">
        <v>351</v>
      </c>
      <c r="D47" s="1241" t="s">
        <v>597</v>
      </c>
      <c r="E47" s="5377"/>
      <c r="F47" s="5377"/>
      <c r="G47" s="5377"/>
      <c r="H47" s="5377"/>
      <c r="I47" s="5397"/>
      <c r="J47" s="5397"/>
      <c r="K47" s="5374"/>
      <c r="L47" s="1242"/>
      <c r="P47" s="5375"/>
      <c r="Q47" s="5375"/>
      <c r="R47" s="274"/>
      <c r="S47" s="1362"/>
      <c r="T47" s="218"/>
      <c r="U47" s="218"/>
      <c r="V47" s="1238"/>
      <c r="W47" s="1238"/>
      <c r="X47" s="246" t="str">
        <f>Y46&amp;"-"&amp;AA46</f>
        <v>-</v>
      </c>
      <c r="Y47" s="5382"/>
      <c r="Z47" s="5382"/>
      <c r="AA47" s="5382"/>
      <c r="AB47" s="5382"/>
      <c r="AC47" s="243"/>
      <c r="AD47" s="243"/>
      <c r="AE47" s="246" t="str">
        <f>AF46&amp;"-"&amp;AH46</f>
        <v>-</v>
      </c>
      <c r="AF47" s="5380"/>
      <c r="AG47" s="5225"/>
      <c r="AH47" s="5399"/>
      <c r="AI47" s="5225"/>
      <c r="AJ47" s="1316"/>
      <c r="AK47" s="5434"/>
      <c r="AM47" s="408"/>
      <c r="AN47" s="408" t="str">
        <f t="shared" si="1"/>
        <v/>
      </c>
      <c r="AO47" s="408"/>
      <c r="AP47" s="408"/>
    </row>
    <row r="48" spans="1:42" ht="21" customHeight="1">
      <c r="A48" s="1241" t="s">
        <v>349</v>
      </c>
      <c r="B48" s="1241" t="s">
        <v>350</v>
      </c>
      <c r="C48" s="1241" t="s">
        <v>351</v>
      </c>
      <c r="D48" s="1241" t="s">
        <v>597</v>
      </c>
      <c r="E48" s="5377"/>
      <c r="F48" s="5377"/>
      <c r="G48" s="5377"/>
      <c r="H48" s="5377"/>
      <c r="I48" s="5397"/>
      <c r="J48" s="5374"/>
      <c r="K48" s="1241"/>
      <c r="L48" s="1242"/>
      <c r="P48" s="5375"/>
      <c r="Q48" s="5375"/>
      <c r="R48" s="273"/>
      <c r="S48" s="1161"/>
      <c r="T48" s="205" t="s">
        <v>562</v>
      </c>
      <c r="U48" s="283"/>
      <c r="V48" s="283"/>
      <c r="W48" s="283"/>
      <c r="X48" s="283"/>
      <c r="Y48" s="283"/>
      <c r="Z48" s="283"/>
      <c r="AA48" s="283"/>
      <c r="AB48" s="283"/>
      <c r="AC48" s="283"/>
      <c r="AD48" s="283"/>
      <c r="AE48" s="283"/>
      <c r="AF48" s="283"/>
      <c r="AG48" s="283"/>
      <c r="AH48" s="283"/>
      <c r="AI48" s="283"/>
      <c r="AJ48" s="283"/>
      <c r="AK48" s="1141" t="s">
        <v>563</v>
      </c>
      <c r="AM48" s="408"/>
      <c r="AN48" s="408" t="str">
        <f t="shared" si="1"/>
        <v>Добавить значение признака дифференциации</v>
      </c>
      <c r="AO48" s="408"/>
      <c r="AP48" s="408"/>
    </row>
    <row r="49" spans="1:42" ht="21" customHeight="1">
      <c r="A49" s="1241" t="s">
        <v>349</v>
      </c>
      <c r="B49" s="1241" t="s">
        <v>350</v>
      </c>
      <c r="C49" s="1241" t="s">
        <v>351</v>
      </c>
      <c r="D49" s="1241" t="s">
        <v>597</v>
      </c>
      <c r="E49" s="5377"/>
      <c r="F49" s="5377"/>
      <c r="G49" s="5377"/>
      <c r="H49" s="5377"/>
      <c r="I49" s="5374"/>
      <c r="J49" s="1241"/>
      <c r="K49" s="1241"/>
      <c r="L49" s="1242"/>
      <c r="P49" s="5375"/>
      <c r="Q49" s="1353"/>
      <c r="R49" s="273"/>
      <c r="S49" s="1161"/>
      <c r="T49" s="281" t="s">
        <v>490</v>
      </c>
      <c r="U49" s="283"/>
      <c r="V49" s="283"/>
      <c r="W49" s="283"/>
      <c r="X49" s="283"/>
      <c r="Y49" s="283"/>
      <c r="Z49" s="283"/>
      <c r="AA49" s="283"/>
      <c r="AB49" s="282"/>
      <c r="AC49" s="283"/>
      <c r="AD49" s="283"/>
      <c r="AE49" s="283"/>
      <c r="AF49" s="283"/>
      <c r="AG49" s="283"/>
      <c r="AH49" s="283"/>
      <c r="AI49" s="282"/>
      <c r="AJ49" s="283"/>
      <c r="AK49" s="1317"/>
      <c r="AM49" s="408"/>
      <c r="AN49" s="408" t="str">
        <f t="shared" si="1"/>
        <v>Добавить группу потребителей</v>
      </c>
      <c r="AO49" s="408"/>
      <c r="AP49" s="408"/>
    </row>
    <row r="50" spans="1:42" ht="21" customHeight="1">
      <c r="A50" s="1241" t="s">
        <v>349</v>
      </c>
      <c r="B50" s="1241" t="s">
        <v>350</v>
      </c>
      <c r="C50" s="1241" t="s">
        <v>351</v>
      </c>
      <c r="D50" s="1241" t="s">
        <v>597</v>
      </c>
      <c r="E50" s="5377"/>
      <c r="F50" s="5377"/>
      <c r="G50" s="5377"/>
      <c r="H50" s="5376"/>
      <c r="I50" s="1241"/>
      <c r="J50" s="1241"/>
      <c r="K50" s="1241"/>
      <c r="L50" s="1242"/>
      <c r="M50" s="1243"/>
      <c r="N50" s="1243"/>
      <c r="O50" s="444"/>
      <c r="P50" s="277"/>
      <c r="Q50" s="291"/>
      <c r="R50" s="272"/>
      <c r="S50" s="1161"/>
      <c r="T50" s="288" t="s">
        <v>564</v>
      </c>
      <c r="U50" s="283"/>
      <c r="V50" s="283"/>
      <c r="W50" s="283"/>
      <c r="X50" s="283"/>
      <c r="Y50" s="283"/>
      <c r="Z50" s="283"/>
      <c r="AA50" s="283"/>
      <c r="AB50" s="282"/>
      <c r="AC50" s="283"/>
      <c r="AD50" s="283"/>
      <c r="AE50" s="283"/>
      <c r="AF50" s="283"/>
      <c r="AG50" s="283"/>
      <c r="AH50" s="283"/>
      <c r="AI50" s="282"/>
      <c r="AJ50" s="283"/>
      <c r="AK50" s="221"/>
      <c r="AM50" s="408"/>
      <c r="AN50" s="408" t="str">
        <f t="shared" si="1"/>
        <v>Добавить наименование признака дифференциации</v>
      </c>
      <c r="AO50" s="408"/>
      <c r="AP50" s="408"/>
    </row>
    <row r="51" spans="1:42" s="4853" customFormat="1" ht="0" hidden="1" customHeight="1">
      <c r="A51" s="1222" t="s">
        <v>349</v>
      </c>
      <c r="B51" s="1222" t="s">
        <v>350</v>
      </c>
      <c r="C51" s="1194"/>
      <c r="D51" s="1194"/>
      <c r="E51" s="5377"/>
      <c r="F51" s="5376"/>
      <c r="G51" s="1194"/>
      <c r="H51" s="1194"/>
      <c r="I51" s="1194"/>
      <c r="J51" s="1194"/>
      <c r="K51" s="1194"/>
      <c r="L51" s="1366"/>
      <c r="M51" s="1201"/>
      <c r="N51" s="1201"/>
      <c r="P51" s="1196"/>
      <c r="Q51" s="1197"/>
      <c r="R51" s="1196"/>
      <c r="S51" s="1202"/>
      <c r="T51" s="1205" t="s">
        <v>271</v>
      </c>
      <c r="U51" s="1204"/>
      <c r="V51" s="1204"/>
      <c r="W51" s="1204"/>
      <c r="X51" s="1204"/>
      <c r="Y51" s="1204"/>
      <c r="Z51" s="1204"/>
      <c r="AA51" s="1204"/>
      <c r="AB51" s="1204"/>
      <c r="AC51" s="1204"/>
      <c r="AD51" s="1204"/>
      <c r="AE51" s="1204"/>
      <c r="AF51" s="1204"/>
      <c r="AG51" s="1204"/>
      <c r="AH51" s="1204"/>
      <c r="AI51" s="1204"/>
      <c r="AJ51" s="1204"/>
      <c r="AK51" s="1204"/>
      <c r="AM51" s="688"/>
      <c r="AN51" s="688" t="str">
        <f t="shared" si="1"/>
        <v>Добавить централизованную систему для дифференциации</v>
      </c>
      <c r="AO51" s="688"/>
      <c r="AP51" s="688"/>
    </row>
    <row r="52" spans="1:42" s="4856" customFormat="1" ht="0" hidden="1" customHeight="1">
      <c r="A52" s="1222" t="s">
        <v>349</v>
      </c>
      <c r="B52" s="1222"/>
      <c r="C52" s="1222"/>
      <c r="D52" s="1222"/>
      <c r="E52" s="5376"/>
      <c r="F52" s="1222"/>
      <c r="G52" s="1222"/>
      <c r="H52" s="1222"/>
      <c r="I52" s="1222"/>
      <c r="J52" s="1222"/>
      <c r="K52" s="1222"/>
      <c r="L52" s="1225"/>
      <c r="M52" s="1201"/>
      <c r="N52" s="1201"/>
      <c r="O52" s="426"/>
      <c r="P52" s="296"/>
      <c r="Q52" s="1223"/>
      <c r="R52" s="296"/>
      <c r="S52" s="1202"/>
      <c r="T52" s="1205" t="s">
        <v>330</v>
      </c>
      <c r="U52" s="1204"/>
      <c r="V52" s="1204"/>
      <c r="W52" s="1204"/>
      <c r="X52" s="1204"/>
      <c r="Y52" s="1204"/>
      <c r="Z52" s="1204"/>
      <c r="AA52" s="1204"/>
      <c r="AB52" s="1204"/>
      <c r="AC52" s="1204"/>
      <c r="AD52" s="1204"/>
      <c r="AE52" s="1204"/>
      <c r="AF52" s="1204"/>
      <c r="AG52" s="1204"/>
      <c r="AH52" s="1204"/>
      <c r="AI52" s="1204"/>
      <c r="AJ52" s="1204"/>
      <c r="AK52" s="1204"/>
      <c r="AM52" s="408"/>
      <c r="AN52" s="408" t="str">
        <f t="shared" si="1"/>
        <v>Добавить территорию для дифференциации</v>
      </c>
      <c r="AO52" s="408"/>
      <c r="AP52" s="408"/>
    </row>
    <row r="53" spans="1:42" s="4853" customFormat="1" ht="0" hidden="1" customHeight="1">
      <c r="A53" s="1194"/>
      <c r="B53" s="1194"/>
      <c r="C53" s="1194"/>
      <c r="D53" s="1194"/>
      <c r="E53" s="1222"/>
      <c r="F53" s="1194"/>
      <c r="G53" s="1194"/>
      <c r="H53" s="1194"/>
      <c r="I53" s="1194"/>
      <c r="J53" s="1194"/>
      <c r="K53" s="1194"/>
      <c r="L53" s="1366"/>
      <c r="M53" s="1201"/>
      <c r="N53" s="1201"/>
      <c r="P53" s="1196"/>
      <c r="Q53" s="1197"/>
      <c r="R53" s="1196"/>
      <c r="S53" s="1202"/>
      <c r="T53" s="1205" t="s">
        <v>331</v>
      </c>
      <c r="U53" s="1204"/>
      <c r="V53" s="1204"/>
      <c r="W53" s="1204"/>
      <c r="X53" s="1204"/>
      <c r="Y53" s="1204"/>
      <c r="Z53" s="1204"/>
      <c r="AA53" s="1204"/>
      <c r="AB53" s="1204"/>
      <c r="AC53" s="1204"/>
      <c r="AD53" s="1204"/>
      <c r="AE53" s="1204"/>
      <c r="AF53" s="1204"/>
      <c r="AG53" s="1204"/>
      <c r="AH53" s="1204"/>
      <c r="AI53" s="1204"/>
      <c r="AJ53" s="1204"/>
      <c r="AK53" s="1204"/>
      <c r="AM53" s="688"/>
      <c r="AN53" s="688" t="str">
        <f t="shared" si="1"/>
        <v>Добавить наименование тарифа</v>
      </c>
      <c r="AO53" s="688"/>
      <c r="AP53" s="688"/>
    </row>
    <row r="54" spans="1:42" ht="11.25" customHeight="1">
      <c r="M54" s="1042"/>
      <c r="N54" s="1042"/>
      <c r="O54" s="444"/>
      <c r="P54" s="1037"/>
      <c r="Q54" s="1037"/>
      <c r="R54" s="1037"/>
      <c r="S54" s="1037"/>
      <c r="AL54" s="1037"/>
      <c r="AM54" s="1037"/>
      <c r="AN54" s="1037"/>
      <c r="AO54" s="1037"/>
      <c r="AP54" s="1037"/>
    </row>
    <row r="55" spans="1:42" ht="14.25" customHeight="1">
      <c r="O55" s="444"/>
      <c r="S55" s="1136"/>
      <c r="T55" s="5396"/>
      <c r="U55" s="5396"/>
      <c r="V55" s="5396"/>
      <c r="W55" s="5396"/>
      <c r="X55" s="5396"/>
      <c r="Y55" s="5396"/>
      <c r="Z55" s="5396"/>
      <c r="AA55" s="5396"/>
      <c r="AB55" s="5396"/>
      <c r="AC55" s="5396"/>
      <c r="AD55" s="5396"/>
      <c r="AE55" s="5396"/>
      <c r="AF55" s="5396"/>
      <c r="AG55" s="5396"/>
      <c r="AH55" s="5396"/>
      <c r="AI55" s="5396"/>
      <c r="AJ55" s="5396"/>
      <c r="AK55" s="5396"/>
    </row>
    <row r="56" spans="1:42" ht="14.25" customHeight="1">
      <c r="O56" s="444"/>
    </row>
    <row r="57" spans="1:42" ht="14.25" customHeight="1">
      <c r="O57" s="444"/>
      <c r="S57" s="1136"/>
      <c r="T57" s="5396"/>
      <c r="U57" s="5396"/>
      <c r="V57" s="5396"/>
      <c r="W57" s="5396"/>
      <c r="X57" s="5396"/>
      <c r="Y57" s="5396"/>
      <c r="Z57" s="5396"/>
      <c r="AA57" s="5396"/>
      <c r="AB57" s="5396"/>
      <c r="AC57" s="5396"/>
      <c r="AD57" s="5396"/>
      <c r="AE57" s="5396"/>
      <c r="AF57" s="5396"/>
      <c r="AG57" s="5396"/>
      <c r="AH57" s="5396"/>
      <c r="AI57" s="5396"/>
      <c r="AJ57" s="5396"/>
      <c r="AK57" s="539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4854" hidden="1" customWidth="1"/>
    <col min="2" max="2" width="11" style="4854" hidden="1" customWidth="1"/>
    <col min="3" max="3" width="10.5703125" style="4854" hidden="1"/>
    <col min="4" max="4" width="12.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2" style="4854" hidden="1" customWidth="1"/>
    <col min="10" max="10" width="9.85546875" style="4854" hidden="1" customWidth="1"/>
    <col min="11" max="11" width="11.42578125" style="4854" hidden="1" customWidth="1"/>
    <col min="12" max="12" width="19.140625" style="4880" hidden="1" customWidth="1"/>
    <col min="13" max="14" width="12.28515625" style="4858" hidden="1" customWidth="1"/>
    <col min="15" max="15" width="23.42578125" style="4858" hidden="1" customWidth="1"/>
    <col min="16" max="16" width="3.7109375" style="4858" hidden="1" customWidth="1"/>
    <col min="17" max="17" width="3.7109375" style="4874" hidden="1" customWidth="1"/>
    <col min="18" max="18" width="3.7109375" style="4860" customWidth="1"/>
    <col min="19" max="19" width="12.7109375" style="4861" customWidth="1"/>
    <col min="20" max="20" width="32" style="4862" customWidth="1"/>
    <col min="21" max="21" width="0.140625" style="4862" customWidth="1"/>
    <col min="22" max="25" width="21.7109375" style="4862" hidden="1" customWidth="1"/>
    <col min="26" max="26" width="11.7109375" style="4862" hidden="1" customWidth="1"/>
    <col min="27" max="27" width="3.7109375" style="4862" hidden="1" customWidth="1"/>
    <col min="28" max="28" width="11.7109375" style="4862" hidden="1" customWidth="1"/>
    <col min="29" max="29" width="8.5703125" style="4862" hidden="1" customWidth="1"/>
    <col min="30" max="32" width="3.7109375" style="4862" customWidth="1"/>
    <col min="33" max="33" width="24.7109375" style="4862" customWidth="1"/>
    <col min="34" max="36" width="3.7109375" style="4862" customWidth="1"/>
    <col min="37" max="37" width="24.7109375" style="4862" customWidth="1"/>
    <col min="38" max="40" width="3.7109375" style="4862" customWidth="1"/>
    <col min="41" max="41" width="18.85546875" style="4862" customWidth="1"/>
    <col min="42" max="44" width="3.7109375" style="4862" customWidth="1"/>
    <col min="45" max="45" width="18.85546875" style="4862" customWidth="1"/>
    <col min="46" max="49" width="21.7109375" style="4862" customWidth="1"/>
    <col min="50" max="50" width="11.7109375" style="4862" customWidth="1"/>
    <col min="51" max="51" width="3.7109375" style="4862" customWidth="1"/>
    <col min="52" max="52" width="11.7109375" style="4862" customWidth="1"/>
    <col min="53" max="53" width="8.5703125" style="4862" hidden="1" customWidth="1"/>
    <col min="54" max="54" width="4.7109375" style="4862" customWidth="1"/>
    <col min="55" max="55" width="115.7109375" style="4862" customWidth="1"/>
    <col min="56" max="57" width="10.5703125" style="4856"/>
    <col min="58" max="58" width="11.140625" style="4856" customWidth="1"/>
    <col min="59" max="60" width="10.5703125" style="4856"/>
  </cols>
  <sheetData>
    <row r="1" spans="1:60" ht="14.25" hidden="1" customHeight="1">
      <c r="W1" s="245"/>
      <c r="Y1" s="245"/>
      <c r="Z1" s="245"/>
      <c r="AW1" s="245"/>
      <c r="AX1" s="245"/>
    </row>
    <row r="2" spans="1:60" ht="21" hidden="1" customHeight="1">
      <c r="A2" s="1241"/>
      <c r="B2" s="1241"/>
      <c r="C2" s="1241"/>
      <c r="D2" s="1241"/>
      <c r="E2" s="5376">
        <v>1</v>
      </c>
      <c r="F2" s="1241"/>
      <c r="G2" s="1241"/>
      <c r="H2" s="1241"/>
      <c r="I2" s="1241"/>
      <c r="J2" s="1241"/>
      <c r="K2" s="1241"/>
      <c r="L2" s="1242"/>
      <c r="M2" s="1243"/>
      <c r="N2" s="1243"/>
      <c r="O2" s="1243"/>
      <c r="P2" s="1287"/>
      <c r="Q2" s="768"/>
      <c r="R2" s="272"/>
      <c r="S2" s="1365" t="e">
        <f>INDEX(PT_DIFFERENTIATION_NUM_NTAR,MATCH(A2,PT_DIFFERENTIATION_NTAR_ID,0))</f>
        <v>#N/A</v>
      </c>
      <c r="T2" s="216" t="s">
        <v>141</v>
      </c>
      <c r="U2" s="218"/>
      <c r="V2" s="5363"/>
      <c r="W2" s="5363"/>
      <c r="X2" s="5363"/>
      <c r="Y2" s="5363"/>
      <c r="Z2" s="5363"/>
      <c r="AA2" s="5363"/>
      <c r="AB2" s="5363"/>
      <c r="AC2" s="5364"/>
      <c r="AD2" s="5362" t="e">
        <f>INDEX(PT_DIFFERENTIATION_NTAR,MATCH(A2,PT_DIFFERENTIATION_NTAR_ID,0))</f>
        <v>#N/A</v>
      </c>
      <c r="AE2" s="5363"/>
      <c r="AF2" s="5363"/>
      <c r="AG2" s="5363"/>
      <c r="AH2" s="5363"/>
      <c r="AI2" s="5363"/>
      <c r="AJ2" s="5363"/>
      <c r="AK2" s="5363"/>
      <c r="AL2" s="5363"/>
      <c r="AM2" s="5363"/>
      <c r="AN2" s="5363"/>
      <c r="AO2" s="5363"/>
      <c r="AP2" s="5363"/>
      <c r="AQ2" s="5363"/>
      <c r="AR2" s="5363"/>
      <c r="AS2" s="5363"/>
      <c r="AT2" s="5363"/>
      <c r="AU2" s="5363"/>
      <c r="AV2" s="5363"/>
      <c r="AW2" s="5363"/>
      <c r="AX2" s="5363"/>
      <c r="AY2" s="5363"/>
      <c r="AZ2" s="5363"/>
      <c r="BA2" s="5363"/>
      <c r="BB2" s="5364"/>
      <c r="BC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41"/>
      <c r="B3" s="1241"/>
      <c r="C3" s="1241"/>
      <c r="D3" s="1241"/>
      <c r="E3" s="5377"/>
      <c r="F3" s="5376">
        <v>1</v>
      </c>
      <c r="G3" s="1241"/>
      <c r="H3" s="1241"/>
      <c r="I3" s="1241"/>
      <c r="J3" s="1241"/>
      <c r="K3" s="1241"/>
      <c r="L3" s="1242"/>
      <c r="M3" s="1243"/>
      <c r="N3" s="1243"/>
      <c r="O3" s="1243"/>
      <c r="P3" s="1288"/>
      <c r="Q3" s="1289"/>
      <c r="R3" s="270"/>
      <c r="S3" s="1365" t="e">
        <f>INDEX(PT_DIFFERENTIATION_NUM_TER,MATCH(B3,PT_DIFFERENTIATION_TER_ID,0))</f>
        <v>#N/A</v>
      </c>
      <c r="T3" s="226" t="s">
        <v>475</v>
      </c>
      <c r="U3" s="218"/>
      <c r="V3" s="5363"/>
      <c r="W3" s="5363"/>
      <c r="X3" s="5363"/>
      <c r="Y3" s="5363"/>
      <c r="Z3" s="5363"/>
      <c r="AA3" s="5363"/>
      <c r="AB3" s="5363"/>
      <c r="AC3" s="5364"/>
      <c r="AD3" s="5362" t="e">
        <f>INDEX(PT_DIFFERENTIATION_TER,MATCH(B3,PT_DIFFERENTIATION_TER_ID,0))</f>
        <v>#N/A</v>
      </c>
      <c r="AE3" s="5363"/>
      <c r="AF3" s="5363"/>
      <c r="AG3" s="5363"/>
      <c r="AH3" s="5363"/>
      <c r="AI3" s="5363"/>
      <c r="AJ3" s="5363"/>
      <c r="AK3" s="5363"/>
      <c r="AL3" s="5363"/>
      <c r="AM3" s="5363"/>
      <c r="AN3" s="5363"/>
      <c r="AO3" s="5363"/>
      <c r="AP3" s="5363"/>
      <c r="AQ3" s="5363"/>
      <c r="AR3" s="5363"/>
      <c r="AS3" s="5363"/>
      <c r="AT3" s="5363"/>
      <c r="AU3" s="5363"/>
      <c r="AV3" s="5363"/>
      <c r="AW3" s="5363"/>
      <c r="AX3" s="5363"/>
      <c r="AY3" s="5363"/>
      <c r="AZ3" s="5363"/>
      <c r="BA3" s="5363"/>
      <c r="BB3" s="5364"/>
      <c r="BC3" s="1141" t="s">
        <v>476</v>
      </c>
      <c r="BE3" s="408"/>
      <c r="BF3" s="408" t="str">
        <f t="shared" si="0"/>
        <v>Территория действия тарифа</v>
      </c>
      <c r="BG3" s="408"/>
      <c r="BH3" s="408"/>
    </row>
    <row r="4" spans="1:60" ht="33.75" hidden="1" customHeight="1">
      <c r="A4" s="1241"/>
      <c r="B4" s="1241"/>
      <c r="C4" s="1241"/>
      <c r="D4" s="1241"/>
      <c r="E4" s="5377"/>
      <c r="F4" s="5377"/>
      <c r="G4" s="5376">
        <v>1</v>
      </c>
      <c r="H4" s="1241"/>
      <c r="I4" s="1241"/>
      <c r="J4" s="1241"/>
      <c r="K4" s="1241"/>
      <c r="L4" s="1242"/>
      <c r="M4" s="1243"/>
      <c r="N4" s="1243"/>
      <c r="O4" s="1243"/>
      <c r="P4" s="1290"/>
      <c r="Q4" s="1289"/>
      <c r="R4" s="270"/>
      <c r="S4" s="1365" t="e">
        <f>INDEX(PT_DIFFERENTIATION_NUM_CS,MATCH(C4,PT_DIFFERENTIATION_CS_ID,0))</f>
        <v>#N/A</v>
      </c>
      <c r="T4" s="227" t="s">
        <v>592</v>
      </c>
      <c r="U4" s="218"/>
      <c r="V4" s="5363"/>
      <c r="W4" s="5363"/>
      <c r="X4" s="5363"/>
      <c r="Y4" s="5363"/>
      <c r="Z4" s="5363"/>
      <c r="AA4" s="5363"/>
      <c r="AB4" s="5363"/>
      <c r="AC4" s="5364"/>
      <c r="AD4" s="5362" t="e">
        <f>INDEX(PT_DIFFERENTIATION_CS,MATCH(C4,PT_DIFFERENTIATION_CS_ID,0))</f>
        <v>#N/A</v>
      </c>
      <c r="AE4" s="5363"/>
      <c r="AF4" s="5363"/>
      <c r="AG4" s="5363"/>
      <c r="AH4" s="5363"/>
      <c r="AI4" s="5363"/>
      <c r="AJ4" s="5363"/>
      <c r="AK4" s="5363"/>
      <c r="AL4" s="5363"/>
      <c r="AM4" s="5363"/>
      <c r="AN4" s="5363"/>
      <c r="AO4" s="5363"/>
      <c r="AP4" s="5363"/>
      <c r="AQ4" s="5363"/>
      <c r="AR4" s="5363"/>
      <c r="AS4" s="5363"/>
      <c r="AT4" s="5363"/>
      <c r="AU4" s="5363"/>
      <c r="AV4" s="5363"/>
      <c r="AW4" s="5363"/>
      <c r="AX4" s="5363"/>
      <c r="AY4" s="5363"/>
      <c r="AZ4" s="5363"/>
      <c r="BA4" s="5363"/>
      <c r="BB4" s="5364"/>
      <c r="BC4" s="1141" t="s">
        <v>593</v>
      </c>
      <c r="BE4" s="408"/>
      <c r="BF4" s="408" t="str">
        <f t="shared" si="0"/>
        <v>Наименование централизованной системы водоотведения</v>
      </c>
      <c r="BG4" s="408"/>
      <c r="BH4" s="408"/>
    </row>
    <row r="5" spans="1:60" s="4856" customFormat="1" ht="14.25" hidden="1" customHeight="1">
      <c r="A5" s="1222"/>
      <c r="B5" s="1222"/>
      <c r="C5" s="1222"/>
      <c r="D5" s="1222"/>
      <c r="E5" s="5377"/>
      <c r="F5" s="5377"/>
      <c r="G5" s="5377"/>
      <c r="H5" s="5376">
        <v>1</v>
      </c>
      <c r="I5" s="1222"/>
      <c r="J5" s="1222"/>
      <c r="K5" s="1222"/>
      <c r="L5" s="1225"/>
      <c r="M5" s="1195"/>
      <c r="N5" s="1195"/>
      <c r="O5" s="1195"/>
      <c r="P5" s="1369"/>
      <c r="Q5" s="1370"/>
      <c r="R5" s="274"/>
      <c r="S5" s="931"/>
      <c r="T5" s="1371"/>
      <c r="U5" s="1262"/>
      <c r="V5" s="5406"/>
      <c r="W5" s="5406"/>
      <c r="X5" s="5406"/>
      <c r="Y5" s="5406"/>
      <c r="Z5" s="5406"/>
      <c r="AA5" s="5406"/>
      <c r="AB5" s="5406"/>
      <c r="AC5" s="5407"/>
      <c r="AD5" s="5405"/>
      <c r="AE5" s="5406"/>
      <c r="AF5" s="5406"/>
      <c r="AG5" s="5406"/>
      <c r="AH5" s="5406"/>
      <c r="AI5" s="5406"/>
      <c r="AJ5" s="5406"/>
      <c r="AK5" s="5406"/>
      <c r="AL5" s="5406"/>
      <c r="AM5" s="5406"/>
      <c r="AN5" s="5406"/>
      <c r="AO5" s="5406"/>
      <c r="AP5" s="5406"/>
      <c r="AQ5" s="5406"/>
      <c r="AR5" s="5406"/>
      <c r="AS5" s="5406"/>
      <c r="AT5" s="5406"/>
      <c r="AU5" s="5406"/>
      <c r="AV5" s="5406"/>
      <c r="AW5" s="5406"/>
      <c r="AX5" s="5406"/>
      <c r="AY5" s="5406"/>
      <c r="AZ5" s="5406"/>
      <c r="BA5" s="5406"/>
      <c r="BB5" s="5407"/>
      <c r="BC5" s="1263" t="s">
        <v>480</v>
      </c>
      <c r="BE5" s="408"/>
      <c r="BF5" s="408" t="str">
        <f t="shared" si="0"/>
        <v/>
      </c>
      <c r="BG5" s="408"/>
      <c r="BH5" s="408"/>
    </row>
    <row r="6" spans="1:60" s="4856" customFormat="1" ht="14.25" hidden="1" customHeight="1">
      <c r="A6" s="1222"/>
      <c r="B6" s="1222"/>
      <c r="C6" s="1222"/>
      <c r="D6" s="1222"/>
      <c r="E6" s="5377"/>
      <c r="F6" s="5377"/>
      <c r="G6" s="5377"/>
      <c r="H6" s="5377"/>
      <c r="I6" s="5374" t="str">
        <f>S5&amp;".1"</f>
        <v>.1</v>
      </c>
      <c r="J6" s="1222"/>
      <c r="K6" s="1222"/>
      <c r="L6" s="1225" t="s">
        <v>481</v>
      </c>
      <c r="M6" s="418"/>
      <c r="N6" s="418"/>
      <c r="O6" s="418"/>
      <c r="P6" s="5375">
        <v>1</v>
      </c>
      <c r="Q6" s="1353"/>
      <c r="R6" s="273"/>
      <c r="S6" s="931"/>
      <c r="T6" s="1261"/>
      <c r="U6" s="1262"/>
      <c r="V6" s="5406"/>
      <c r="W6" s="5406"/>
      <c r="X6" s="5406"/>
      <c r="Y6" s="5406"/>
      <c r="Z6" s="5406"/>
      <c r="AA6" s="5406"/>
      <c r="AB6" s="5406"/>
      <c r="AC6" s="5407"/>
      <c r="AD6" s="5405"/>
      <c r="AE6" s="5406"/>
      <c r="AF6" s="5406"/>
      <c r="AG6" s="5406"/>
      <c r="AH6" s="5406"/>
      <c r="AI6" s="5406"/>
      <c r="AJ6" s="5406"/>
      <c r="AK6" s="5406"/>
      <c r="AL6" s="5406"/>
      <c r="AM6" s="5406"/>
      <c r="AN6" s="5406"/>
      <c r="AO6" s="5406"/>
      <c r="AP6" s="5406"/>
      <c r="AQ6" s="5406"/>
      <c r="AR6" s="5406"/>
      <c r="AS6" s="5406"/>
      <c r="AT6" s="5406"/>
      <c r="AU6" s="5406"/>
      <c r="AV6" s="5406"/>
      <c r="AW6" s="5406"/>
      <c r="AX6" s="5406"/>
      <c r="AY6" s="5406"/>
      <c r="AZ6" s="5406"/>
      <c r="BA6" s="5406"/>
      <c r="BB6" s="5407"/>
      <c r="BC6" s="1263"/>
      <c r="BE6" s="408"/>
      <c r="BF6" s="408" t="str">
        <f t="shared" si="0"/>
        <v/>
      </c>
      <c r="BG6" s="408"/>
      <c r="BH6" s="408"/>
    </row>
    <row r="7" spans="1:60" s="4856" customFormat="1" ht="14.25" hidden="1" customHeight="1">
      <c r="A7" s="1222"/>
      <c r="B7" s="1222"/>
      <c r="C7" s="1222"/>
      <c r="D7" s="1222"/>
      <c r="E7" s="5377"/>
      <c r="F7" s="5377"/>
      <c r="G7" s="5377"/>
      <c r="H7" s="5377"/>
      <c r="I7" s="5397"/>
      <c r="J7" s="5374" t="str">
        <f>S5&amp;".1"</f>
        <v>.1</v>
      </c>
      <c r="K7" s="1222"/>
      <c r="L7" s="1225"/>
      <c r="M7" s="418"/>
      <c r="N7" s="418"/>
      <c r="O7" s="418"/>
      <c r="P7" s="5375"/>
      <c r="Q7" s="5375">
        <v>1</v>
      </c>
      <c r="R7" s="274"/>
      <c r="S7" s="931"/>
      <c r="T7" s="1277"/>
      <c r="U7" s="1262"/>
      <c r="V7" s="5406"/>
      <c r="W7" s="5406"/>
      <c r="X7" s="5406"/>
      <c r="Y7" s="5406"/>
      <c r="Z7" s="5406"/>
      <c r="AA7" s="5406"/>
      <c r="AB7" s="5406"/>
      <c r="AC7" s="5407"/>
      <c r="AD7" s="5405"/>
      <c r="AE7" s="5406"/>
      <c r="AF7" s="5406"/>
      <c r="AG7" s="5406"/>
      <c r="AH7" s="5406"/>
      <c r="AI7" s="5406"/>
      <c r="AJ7" s="5406"/>
      <c r="AK7" s="5406"/>
      <c r="AL7" s="5406"/>
      <c r="AM7" s="5406"/>
      <c r="AN7" s="5406"/>
      <c r="AO7" s="5406"/>
      <c r="AP7" s="5406"/>
      <c r="AQ7" s="5406"/>
      <c r="AR7" s="5406"/>
      <c r="AS7" s="5406"/>
      <c r="AT7" s="5406"/>
      <c r="AU7" s="5406"/>
      <c r="AV7" s="5406"/>
      <c r="AW7" s="5406"/>
      <c r="AX7" s="5406"/>
      <c r="AY7" s="5406"/>
      <c r="AZ7" s="5406"/>
      <c r="BA7" s="5406"/>
      <c r="BB7" s="5407"/>
      <c r="BC7" s="1263"/>
      <c r="BE7" s="408"/>
      <c r="BF7" s="408" t="str">
        <f t="shared" si="0"/>
        <v/>
      </c>
      <c r="BG7" s="408"/>
      <c r="BH7" s="408"/>
    </row>
    <row r="8" spans="1:60" ht="11.25" hidden="1" customHeight="1">
      <c r="A8" s="1241"/>
      <c r="B8" s="1241"/>
      <c r="C8" s="1241"/>
      <c r="D8" s="1241"/>
      <c r="E8" s="5377"/>
      <c r="F8" s="5377"/>
      <c r="G8" s="5377"/>
      <c r="H8" s="5377"/>
      <c r="I8" s="5397"/>
      <c r="J8" s="5397"/>
      <c r="K8" s="5374" t="e">
        <f>S4&amp;".1"</f>
        <v>#N/A</v>
      </c>
      <c r="L8" s="1242"/>
      <c r="P8" s="5375"/>
      <c r="Q8" s="5375"/>
      <c r="R8" s="5432">
        <v>1</v>
      </c>
      <c r="S8" s="5426" t="e">
        <f>$K8</f>
        <v>#N/A</v>
      </c>
      <c r="T8" s="5445"/>
      <c r="U8" s="218"/>
      <c r="V8" s="650"/>
      <c r="W8" s="1140"/>
      <c r="X8" s="650"/>
      <c r="Y8" s="1140"/>
      <c r="Z8" s="1597"/>
      <c r="AA8" s="1342" t="s">
        <v>64</v>
      </c>
      <c r="AB8" s="1597"/>
      <c r="AC8" s="1342" t="s">
        <v>64</v>
      </c>
      <c r="AD8" s="5296" t="s">
        <v>64</v>
      </c>
      <c r="AE8" s="5412"/>
      <c r="AF8" s="5332">
        <v>1</v>
      </c>
      <c r="AG8" s="5449"/>
      <c r="AH8" s="5225" t="s">
        <v>64</v>
      </c>
      <c r="AI8" s="5412"/>
      <c r="AJ8" s="5332">
        <v>1</v>
      </c>
      <c r="AK8" s="5448" t="s">
        <v>24</v>
      </c>
      <c r="AL8" s="5225" t="s">
        <v>64</v>
      </c>
      <c r="AM8" s="5322"/>
      <c r="AN8" s="5332">
        <v>1</v>
      </c>
      <c r="AO8" s="5442"/>
      <c r="AP8" s="5443" t="s">
        <v>64</v>
      </c>
      <c r="AQ8" s="229"/>
      <c r="AR8" s="1358">
        <v>1</v>
      </c>
      <c r="AS8" s="1364" t="s">
        <v>24</v>
      </c>
      <c r="AT8" s="650"/>
      <c r="AU8" s="1140"/>
      <c r="AV8" s="650"/>
      <c r="AW8" s="1140"/>
      <c r="AX8" s="1597"/>
      <c r="AY8" s="1342" t="s">
        <v>64</v>
      </c>
      <c r="AZ8" s="1597"/>
      <c r="BA8" s="1342" t="s">
        <v>64</v>
      </c>
      <c r="BB8" s="1227"/>
      <c r="BC8" s="5371" t="s">
        <v>577</v>
      </c>
      <c r="BE8" s="408"/>
      <c r="BF8" s="408" t="str">
        <f t="shared" si="0"/>
        <v/>
      </c>
      <c r="BG8" s="408"/>
      <c r="BH8" s="408"/>
    </row>
    <row r="9" spans="1:60" ht="11.25" hidden="1" customHeight="1">
      <c r="A9" s="1241"/>
      <c r="B9" s="1241"/>
      <c r="C9" s="1241"/>
      <c r="D9" s="1241"/>
      <c r="E9" s="5377"/>
      <c r="F9" s="5377"/>
      <c r="G9" s="5377"/>
      <c r="H9" s="5377"/>
      <c r="I9" s="5397"/>
      <c r="J9" s="5397"/>
      <c r="K9" s="5374"/>
      <c r="L9" s="1242"/>
      <c r="P9" s="5375"/>
      <c r="Q9" s="5375"/>
      <c r="R9" s="5432"/>
      <c r="S9" s="5427"/>
      <c r="T9" s="5446"/>
      <c r="U9" s="218"/>
      <c r="V9" s="1271"/>
      <c r="W9" s="1368"/>
      <c r="X9" s="1271"/>
      <c r="Y9" s="1368"/>
      <c r="Z9" s="1271"/>
      <c r="AA9" s="1271"/>
      <c r="AB9" s="1271"/>
      <c r="AC9" s="1271"/>
      <c r="AD9" s="5297"/>
      <c r="AE9" s="5412"/>
      <c r="AF9" s="5332"/>
      <c r="AG9" s="5449"/>
      <c r="AH9" s="5225"/>
      <c r="AI9" s="5412"/>
      <c r="AJ9" s="5332"/>
      <c r="AK9" s="5448"/>
      <c r="AL9" s="5225"/>
      <c r="AM9" s="5327"/>
      <c r="AN9" s="5332"/>
      <c r="AO9" s="5442"/>
      <c r="AP9" s="5444"/>
      <c r="AQ9" s="234"/>
      <c r="AR9" s="332"/>
      <c r="AS9" s="332" t="s">
        <v>578</v>
      </c>
      <c r="AT9" s="1271"/>
      <c r="AU9" s="1368"/>
      <c r="AV9" s="1271"/>
      <c r="AW9" s="1368"/>
      <c r="AX9" s="1271"/>
      <c r="AY9" s="1271"/>
      <c r="AZ9" s="1271"/>
      <c r="BA9" s="1271"/>
      <c r="BB9" s="1275"/>
      <c r="BC9" s="5372"/>
      <c r="BE9" s="408"/>
      <c r="BF9" s="408"/>
      <c r="BG9" s="408"/>
      <c r="BH9" s="408"/>
    </row>
    <row r="10" spans="1:60" ht="11.25" hidden="1" customHeight="1">
      <c r="A10" s="1241"/>
      <c r="B10" s="1241"/>
      <c r="C10" s="1241"/>
      <c r="D10" s="1241"/>
      <c r="E10" s="5377"/>
      <c r="F10" s="5377"/>
      <c r="G10" s="5377"/>
      <c r="H10" s="5377"/>
      <c r="I10" s="5397"/>
      <c r="J10" s="5397"/>
      <c r="K10" s="5374"/>
      <c r="L10" s="1242"/>
      <c r="P10" s="5375"/>
      <c r="Q10" s="5375"/>
      <c r="R10" s="5432"/>
      <c r="S10" s="5427"/>
      <c r="T10" s="5446"/>
      <c r="U10" s="218"/>
      <c r="V10" s="1271"/>
      <c r="W10" s="1368"/>
      <c r="X10" s="1271"/>
      <c r="Y10" s="1368"/>
      <c r="Z10" s="1271"/>
      <c r="AA10" s="1271"/>
      <c r="AB10" s="1271"/>
      <c r="AC10" s="1271"/>
      <c r="AD10" s="5297"/>
      <c r="AE10" s="5412"/>
      <c r="AF10" s="5332"/>
      <c r="AG10" s="5449"/>
      <c r="AH10" s="5225"/>
      <c r="AI10" s="5412"/>
      <c r="AJ10" s="5332"/>
      <c r="AK10" s="5448"/>
      <c r="AL10" s="5225"/>
      <c r="AM10" s="234"/>
      <c r="AN10" s="1372"/>
      <c r="AO10" s="1372" t="s">
        <v>598</v>
      </c>
      <c r="AP10" s="332"/>
      <c r="AQ10" s="332"/>
      <c r="AR10" s="332"/>
      <c r="AS10" s="1271"/>
      <c r="AT10" s="1271"/>
      <c r="AU10" s="1368"/>
      <c r="AV10" s="1271"/>
      <c r="AW10" s="1368"/>
      <c r="AX10" s="1271"/>
      <c r="AY10" s="1271"/>
      <c r="AZ10" s="1271"/>
      <c r="BA10" s="1271"/>
      <c r="BB10" s="1275"/>
      <c r="BC10" s="5372"/>
      <c r="BE10" s="408"/>
      <c r="BF10" s="408"/>
      <c r="BG10" s="408"/>
      <c r="BH10" s="408"/>
    </row>
    <row r="11" spans="1:60" ht="11.25" hidden="1" customHeight="1">
      <c r="A11" s="1241"/>
      <c r="B11" s="1241"/>
      <c r="C11" s="1241"/>
      <c r="D11" s="1241"/>
      <c r="E11" s="5377"/>
      <c r="F11" s="5377"/>
      <c r="G11" s="5377"/>
      <c r="H11" s="5377"/>
      <c r="I11" s="5397"/>
      <c r="J11" s="5397"/>
      <c r="K11" s="5374"/>
      <c r="L11" s="1242"/>
      <c r="P11" s="5375"/>
      <c r="Q11" s="5375"/>
      <c r="R11" s="5432"/>
      <c r="S11" s="5427"/>
      <c r="T11" s="5446"/>
      <c r="U11" s="218"/>
      <c r="V11" s="1271"/>
      <c r="W11" s="1368"/>
      <c r="X11" s="1271"/>
      <c r="Y11" s="1368"/>
      <c r="Z11" s="1271"/>
      <c r="AA11" s="1271"/>
      <c r="AB11" s="1271"/>
      <c r="AC11" s="1271"/>
      <c r="AD11" s="5297"/>
      <c r="AE11" s="5412"/>
      <c r="AF11" s="5332"/>
      <c r="AG11" s="5449"/>
      <c r="AH11" s="5225"/>
      <c r="AI11" s="212"/>
      <c r="AJ11" s="331"/>
      <c r="AK11" s="231" t="s">
        <v>599</v>
      </c>
      <c r="AL11" s="1271"/>
      <c r="AM11" s="1271"/>
      <c r="AN11" s="1271"/>
      <c r="AO11" s="1271"/>
      <c r="AP11" s="1271"/>
      <c r="AQ11" s="1271"/>
      <c r="AR11" s="1271"/>
      <c r="AS11" s="1271"/>
      <c r="AT11" s="1271"/>
      <c r="AU11" s="1368"/>
      <c r="AV11" s="1271"/>
      <c r="AW11" s="1368"/>
      <c r="AX11" s="1271"/>
      <c r="AY11" s="1271"/>
      <c r="AZ11" s="1271"/>
      <c r="BA11" s="1271"/>
      <c r="BB11" s="1275"/>
      <c r="BC11" s="5372"/>
      <c r="BE11" s="408"/>
      <c r="BF11" s="408"/>
      <c r="BG11" s="408"/>
      <c r="BH11" s="408"/>
    </row>
    <row r="12" spans="1:60" ht="11.25" hidden="1" customHeight="1">
      <c r="A12" s="1241"/>
      <c r="B12" s="1241"/>
      <c r="C12" s="1241"/>
      <c r="D12" s="1241"/>
      <c r="E12" s="5377"/>
      <c r="F12" s="5377"/>
      <c r="G12" s="5377"/>
      <c r="H12" s="5377"/>
      <c r="I12" s="5397"/>
      <c r="J12" s="5397"/>
      <c r="K12" s="5374"/>
      <c r="L12" s="1242"/>
      <c r="P12" s="5375"/>
      <c r="Q12" s="5375"/>
      <c r="R12" s="5432"/>
      <c r="S12" s="5428"/>
      <c r="T12" s="5447"/>
      <c r="U12" s="218"/>
      <c r="V12" s="1271"/>
      <c r="W12" s="1272" t="str">
        <f>Z8&amp;"-"&amp;AB8</f>
        <v>-</v>
      </c>
      <c r="X12" s="1271"/>
      <c r="Y12" s="1272" t="str">
        <f>AB8&amp;"-"&amp;AD8</f>
        <v>-да</v>
      </c>
      <c r="Z12" s="1271"/>
      <c r="AA12" s="1271"/>
      <c r="AB12" s="1271"/>
      <c r="AC12" s="1271"/>
      <c r="AD12" s="5230"/>
      <c r="AE12" s="230"/>
      <c r="AF12" s="232"/>
      <c r="AG12" s="332" t="s">
        <v>581</v>
      </c>
      <c r="AH12" s="1271"/>
      <c r="AI12" s="1271"/>
      <c r="AJ12" s="1271"/>
      <c r="AK12" s="1271"/>
      <c r="AL12" s="1271"/>
      <c r="AM12" s="1271"/>
      <c r="AN12" s="1271"/>
      <c r="AO12" s="1271"/>
      <c r="AP12" s="1271"/>
      <c r="AQ12" s="1271"/>
      <c r="AR12" s="1271"/>
      <c r="AS12" s="1271"/>
      <c r="AT12" s="1271"/>
      <c r="AU12" s="1272" t="str">
        <f>AX8&amp;"-"&amp;AZ8</f>
        <v>-</v>
      </c>
      <c r="AV12" s="1271"/>
      <c r="AW12" s="1272" t="str">
        <f>AZ8&amp;"-"&amp;BB8</f>
        <v>-</v>
      </c>
      <c r="AX12" s="1271"/>
      <c r="AY12" s="1271"/>
      <c r="AZ12" s="1271"/>
      <c r="BA12" s="1271"/>
      <c r="BB12" s="1274" t="str">
        <f>BE8&amp;"-"&amp;BG8</f>
        <v>-</v>
      </c>
      <c r="BC12" s="5372"/>
      <c r="BE12" s="408"/>
      <c r="BF12" s="408" t="str">
        <f t="shared" ref="BF12:BF18" si="1">IF(T12="","",T12)</f>
        <v/>
      </c>
      <c r="BG12" s="408"/>
      <c r="BH12" s="408"/>
    </row>
    <row r="13" spans="1:60" ht="11.25" hidden="1" customHeight="1">
      <c r="A13" s="1241"/>
      <c r="B13" s="1241"/>
      <c r="C13" s="1241"/>
      <c r="D13" s="1241"/>
      <c r="E13" s="5377"/>
      <c r="F13" s="5377"/>
      <c r="G13" s="5377"/>
      <c r="H13" s="5377"/>
      <c r="I13" s="5397"/>
      <c r="J13" s="5374"/>
      <c r="K13" s="1241"/>
      <c r="L13" s="1242"/>
      <c r="P13" s="5375"/>
      <c r="Q13" s="5375"/>
      <c r="R13" s="273"/>
      <c r="S13" s="1161"/>
      <c r="T13" s="205" t="s">
        <v>543</v>
      </c>
      <c r="U13" s="283"/>
      <c r="V13" s="283"/>
      <c r="W13" s="283"/>
      <c r="X13" s="283"/>
      <c r="Y13" s="283"/>
      <c r="Z13" s="283"/>
      <c r="AA13" s="283"/>
      <c r="AB13" s="283"/>
      <c r="AC13" s="283"/>
      <c r="AD13" s="1377"/>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5373"/>
      <c r="BE13" s="408"/>
      <c r="BF13" s="408" t="str">
        <f t="shared" si="1"/>
        <v>Добавить строку</v>
      </c>
      <c r="BG13" s="408"/>
      <c r="BH13" s="408"/>
    </row>
    <row r="14" spans="1:60" s="4856" customFormat="1" ht="14.25" hidden="1" customHeight="1">
      <c r="A14" s="1222"/>
      <c r="B14" s="1222"/>
      <c r="C14" s="1222"/>
      <c r="D14" s="1222"/>
      <c r="E14" s="5377"/>
      <c r="F14" s="5377"/>
      <c r="G14" s="5377"/>
      <c r="H14" s="5377"/>
      <c r="I14" s="5374"/>
      <c r="J14" s="1222"/>
      <c r="K14" s="1222"/>
      <c r="L14" s="1225"/>
      <c r="M14" s="418"/>
      <c r="N14" s="418"/>
      <c r="O14" s="418"/>
      <c r="P14" s="5375"/>
      <c r="Q14" s="1353"/>
      <c r="R14" s="273"/>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7"/>
      <c r="BE14" s="408"/>
      <c r="BF14" s="408" t="str">
        <f t="shared" si="1"/>
        <v/>
      </c>
      <c r="BG14" s="408"/>
      <c r="BH14" s="408"/>
    </row>
    <row r="15" spans="1:60" s="4856" customFormat="1" ht="14.25" hidden="1" customHeight="1">
      <c r="A15" s="1222"/>
      <c r="B15" s="1222"/>
      <c r="C15" s="1222"/>
      <c r="D15" s="1222"/>
      <c r="E15" s="5377"/>
      <c r="F15" s="5377"/>
      <c r="G15" s="5377"/>
      <c r="H15" s="5376"/>
      <c r="I15" s="1222"/>
      <c r="J15" s="1222"/>
      <c r="K15" s="1222"/>
      <c r="L15" s="1225"/>
      <c r="M15" s="1195"/>
      <c r="N15" s="1195"/>
      <c r="O15" s="426"/>
      <c r="P15" s="296"/>
      <c r="Q15" s="1223"/>
      <c r="R15" s="1279"/>
      <c r="S15" s="1264"/>
      <c r="T15" s="1265"/>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7"/>
      <c r="BE15" s="408"/>
      <c r="BF15" s="408" t="str">
        <f t="shared" si="1"/>
        <v/>
      </c>
      <c r="BG15" s="408"/>
      <c r="BH15" s="408"/>
    </row>
    <row r="16" spans="1:60" s="4853" customFormat="1" ht="14.25" hidden="1" customHeight="1">
      <c r="A16" s="1222"/>
      <c r="B16" s="1222"/>
      <c r="C16" s="1222"/>
      <c r="D16" s="1194"/>
      <c r="E16" s="5377"/>
      <c r="F16" s="5377"/>
      <c r="G16" s="5376"/>
      <c r="H16" s="1194"/>
      <c r="I16" s="1194"/>
      <c r="J16" s="1194"/>
      <c r="K16" s="1194"/>
      <c r="L16" s="1366"/>
      <c r="M16" s="1195"/>
      <c r="N16" s="1195"/>
      <c r="P16" s="1196"/>
      <c r="Q16" s="1197"/>
      <c r="R16" s="1196"/>
      <c r="S16" s="1202"/>
      <c r="T16" s="1205"/>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E16" s="688"/>
      <c r="BF16" s="688" t="str">
        <f t="shared" si="1"/>
        <v/>
      </c>
      <c r="BG16" s="688"/>
      <c r="BH16" s="688"/>
    </row>
    <row r="17" spans="1:60" s="4853" customFormat="1" ht="14.25" hidden="1" customHeight="1">
      <c r="A17" s="1222"/>
      <c r="B17" s="1222"/>
      <c r="C17" s="1194"/>
      <c r="D17" s="1194"/>
      <c r="E17" s="5377"/>
      <c r="F17" s="5376"/>
      <c r="G17" s="1194"/>
      <c r="H17" s="1194"/>
      <c r="I17" s="1194"/>
      <c r="J17" s="1194"/>
      <c r="K17" s="1194"/>
      <c r="L17" s="1366"/>
      <c r="M17" s="1201"/>
      <c r="N17" s="1201"/>
      <c r="P17" s="1196"/>
      <c r="Q17" s="1197"/>
      <c r="R17" s="1196"/>
      <c r="S17" s="1202"/>
      <c r="T17" s="1205" t="s">
        <v>271</v>
      </c>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E17" s="688"/>
      <c r="BF17" s="688" t="str">
        <f t="shared" si="1"/>
        <v>Добавить централизованную систему для дифференциации</v>
      </c>
      <c r="BG17" s="688"/>
      <c r="BH17" s="688"/>
    </row>
    <row r="18" spans="1:60" s="4856" customFormat="1" ht="14.25" hidden="1" customHeight="1">
      <c r="A18" s="1222"/>
      <c r="B18" s="1222"/>
      <c r="C18" s="1222"/>
      <c r="D18" s="1222"/>
      <c r="E18" s="5376"/>
      <c r="F18" s="1222"/>
      <c r="G18" s="1222"/>
      <c r="H18" s="1222"/>
      <c r="I18" s="1222"/>
      <c r="J18" s="1222"/>
      <c r="K18" s="1222"/>
      <c r="L18" s="1225"/>
      <c r="M18" s="1201"/>
      <c r="N18" s="1201"/>
      <c r="O18" s="426"/>
      <c r="P18" s="296"/>
      <c r="Q18" s="1223"/>
      <c r="R18" s="296"/>
      <c r="S18" s="1202"/>
      <c r="T18" s="1205" t="s">
        <v>330</v>
      </c>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4" t="s">
        <v>54</v>
      </c>
      <c r="AE20" s="1373"/>
      <c r="AF20" s="455">
        <v>1</v>
      </c>
      <c r="AG20" s="1374"/>
      <c r="AH20" s="1204" t="s">
        <v>54</v>
      </c>
      <c r="AI20" s="1373"/>
      <c r="AJ20" s="455">
        <v>1</v>
      </c>
      <c r="AK20" s="1374"/>
      <c r="AL20" s="1204" t="s">
        <v>54</v>
      </c>
      <c r="AM20" s="1375"/>
      <c r="AN20" s="455">
        <v>1</v>
      </c>
      <c r="AO20" s="1376"/>
      <c r="AP20" s="1204" t="s">
        <v>54</v>
      </c>
      <c r="AQ20" s="1375"/>
      <c r="AR20" s="455">
        <v>1</v>
      </c>
      <c r="AS20" s="1376"/>
      <c r="AT20" s="243"/>
      <c r="AU20" s="300"/>
      <c r="AV20" s="243"/>
      <c r="AW20" s="300"/>
      <c r="AX20" s="1599"/>
      <c r="AY20" s="1357" t="s">
        <v>64</v>
      </c>
      <c r="AZ20" s="1599"/>
      <c r="BA20" s="1357" t="s">
        <v>64</v>
      </c>
    </row>
    <row r="21" spans="1:60" ht="14.25" hidden="1" customHeight="1">
      <c r="BD21" s="404"/>
      <c r="BE21" s="404"/>
      <c r="BF21" s="404"/>
      <c r="BG21" s="404"/>
      <c r="BH21" s="404"/>
    </row>
    <row r="22" spans="1:60" ht="14.25" hidden="1" customHeight="1">
      <c r="O22" s="1245" t="s">
        <v>493</v>
      </c>
      <c r="Z22" s="1224"/>
      <c r="AB22" s="1224"/>
      <c r="AC22" s="245"/>
      <c r="AX22" s="1224"/>
      <c r="AZ22" s="1224"/>
      <c r="BA22" s="245"/>
      <c r="BD22" s="404"/>
      <c r="BE22" s="404"/>
      <c r="BF22" s="404"/>
      <c r="BG22" s="404"/>
      <c r="BH22" s="404"/>
    </row>
    <row r="23" spans="1:60" ht="14.25" hidden="1" customHeight="1">
      <c r="AC23" s="245"/>
      <c r="BA23" s="245"/>
      <c r="BD23" s="404"/>
      <c r="BE23" s="404"/>
      <c r="BF23" s="404"/>
      <c r="BG23" s="404"/>
      <c r="BH23" s="404"/>
    </row>
    <row r="24" spans="1:60" s="4873" customFormat="1" ht="14.25" hidden="1" customHeight="1">
      <c r="M24" s="1380"/>
      <c r="N24" s="1380"/>
      <c r="O24" s="1381" t="s">
        <v>494</v>
      </c>
      <c r="P24" s="1380"/>
      <c r="Q24" s="1382"/>
      <c r="R24" s="1382"/>
      <c r="AA24" s="1379" t="s">
        <v>496</v>
      </c>
      <c r="AC24" s="1379" t="s">
        <v>497</v>
      </c>
      <c r="AD24" s="1379" t="s">
        <v>544</v>
      </c>
      <c r="AH24" s="1379" t="s">
        <v>544</v>
      </c>
      <c r="AK24" s="1379" t="s">
        <v>582</v>
      </c>
      <c r="AL24" s="1379" t="s">
        <v>544</v>
      </c>
      <c r="AP24" s="1379" t="s">
        <v>544</v>
      </c>
      <c r="AY24" s="1379" t="s">
        <v>496</v>
      </c>
      <c r="BA24" s="1379" t="s">
        <v>497</v>
      </c>
      <c r="BD24" s="1383"/>
      <c r="BE24" s="1383"/>
      <c r="BF24" s="1383"/>
      <c r="BG24" s="1383"/>
      <c r="BH24" s="1383"/>
    </row>
    <row r="25" spans="1:60" ht="14.25" hidden="1" customHeight="1">
      <c r="O25" s="1242"/>
      <c r="BD25" s="404"/>
      <c r="BE25" s="404"/>
      <c r="BF25" s="404"/>
      <c r="BG25" s="404"/>
      <c r="BH25" s="404"/>
    </row>
    <row r="26" spans="1:60" ht="14.25" hidden="1" customHeight="1">
      <c r="O26" s="1242"/>
      <c r="BD26" s="404"/>
      <c r="BE26" s="404"/>
      <c r="BF26" s="404"/>
      <c r="BG26" s="404"/>
      <c r="BH26" s="404"/>
    </row>
    <row r="27" spans="1:60" ht="14.25" customHeight="1">
      <c r="Q27" s="209"/>
      <c r="R27" s="292"/>
      <c r="S27" s="1158"/>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5360"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5360"/>
      <c r="U28" s="5360"/>
      <c r="V28" s="5360"/>
      <c r="W28" s="5360"/>
      <c r="X28" s="5360"/>
      <c r="Y28" s="5360"/>
      <c r="Z28" s="5360"/>
      <c r="AA28" s="5360"/>
      <c r="AB28" s="5360"/>
      <c r="AC28" s="5360"/>
      <c r="AD28" s="5360"/>
      <c r="AE28" s="5360"/>
      <c r="AF28" s="5360"/>
      <c r="AG28" s="5360"/>
      <c r="AH28" s="5360"/>
      <c r="AI28" s="5360"/>
      <c r="AJ28" s="5360"/>
      <c r="AK28" s="5360"/>
      <c r="AL28" s="5360"/>
      <c r="AM28" s="5360"/>
      <c r="AN28" s="5360"/>
      <c r="AO28" s="5360"/>
      <c r="AP28" s="5360"/>
      <c r="AQ28" s="5360"/>
      <c r="AR28" s="5360"/>
      <c r="AS28" s="5360"/>
      <c r="AT28" s="5360"/>
      <c r="AU28" s="5360"/>
      <c r="AV28" s="5360"/>
      <c r="AW28" s="5360"/>
      <c r="AX28" s="5360"/>
      <c r="AY28" s="5360"/>
      <c r="AZ28" s="5360"/>
      <c r="BA28" s="1126"/>
    </row>
    <row r="29" spans="1:60" ht="14.25" customHeight="1">
      <c r="Q29" s="209"/>
      <c r="R29" s="292"/>
      <c r="S29" s="5308" t="str">
        <f>IF(org=0,"Не определено",org)</f>
        <v>ООО «Газпром теплоэнерго МО»</v>
      </c>
      <c r="T29" s="5308"/>
      <c r="U29" s="5308"/>
      <c r="V29" s="5308"/>
      <c r="W29" s="5308"/>
      <c r="X29" s="5308"/>
      <c r="Y29" s="5308"/>
      <c r="Z29" s="5308"/>
      <c r="AA29" s="5308"/>
      <c r="AB29" s="5308"/>
      <c r="AC29" s="5308"/>
      <c r="AD29" s="5308"/>
      <c r="AE29" s="5308"/>
      <c r="AF29" s="5308"/>
      <c r="AG29" s="5308"/>
      <c r="AH29" s="5308"/>
      <c r="AI29" s="5308"/>
      <c r="AJ29" s="5308"/>
      <c r="AK29" s="5308"/>
      <c r="AL29" s="5308"/>
      <c r="AM29" s="5308"/>
      <c r="AN29" s="5308"/>
      <c r="AO29" s="5308"/>
      <c r="AP29" s="5308"/>
      <c r="AQ29" s="5308"/>
      <c r="AR29" s="5308"/>
      <c r="AS29" s="5308"/>
      <c r="AT29" s="5308"/>
      <c r="AU29" s="5308"/>
      <c r="AV29" s="5308"/>
      <c r="AW29" s="5308"/>
      <c r="AX29" s="5308"/>
      <c r="AY29" s="5308"/>
      <c r="AZ29" s="5308"/>
      <c r="BA29" s="1126"/>
    </row>
    <row r="30" spans="1:60" ht="14.25" customHeight="1">
      <c r="Q30" s="209"/>
      <c r="R30" s="292"/>
      <c r="S30" s="1158"/>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4855" customFormat="1" ht="25.5" customHeight="1">
      <c r="A31" s="1246"/>
      <c r="B31" s="1246"/>
      <c r="C31" s="1246"/>
      <c r="D31" s="1246"/>
      <c r="E31" s="1246"/>
      <c r="F31" s="1246"/>
      <c r="G31" s="1246"/>
      <c r="H31" s="1246"/>
      <c r="I31" s="1246"/>
      <c r="J31" s="1246"/>
      <c r="K31" s="1246"/>
      <c r="L31" s="1247"/>
      <c r="M31" s="1246"/>
      <c r="N31" s="1246"/>
      <c r="O31" s="1246"/>
      <c r="P31" s="1246"/>
      <c r="Q31" s="1246"/>
      <c r="S31" s="5368" t="s">
        <v>38</v>
      </c>
      <c r="T31" s="5368"/>
      <c r="U31" s="1250"/>
      <c r="V31" s="5369" t="str">
        <f>IF(TITLE_NAME_OR_PR_CHANGE="",IF(TITLE_NAME_OR_PR="","",TITLE_NAME_OR_PR),TITLE_NAME_OR_PR_CHANGE)</f>
        <v>Комитет по ценам и тарифам Московской области</v>
      </c>
      <c r="W31" s="5369"/>
      <c r="X31" s="5369"/>
      <c r="Y31" s="5369"/>
      <c r="Z31" s="5369"/>
      <c r="AA31" s="5369"/>
      <c r="AB31" s="5369"/>
      <c r="AC31" s="244"/>
      <c r="AD31" s="5369" t="str">
        <f>IF(TITLE_NAME_OR_PR_CHANGE="",IF(TITLE_NAME_OR_PR="","",TITLE_NAME_OR_PR),TITLE_NAME_OR_PR_CHANGE)</f>
        <v>Комитет по ценам и тарифам Московской области</v>
      </c>
      <c r="AE31" s="5369"/>
      <c r="AF31" s="5369"/>
      <c r="AG31" s="5369"/>
      <c r="AH31" s="5369"/>
      <c r="AI31" s="5369"/>
      <c r="AJ31" s="5369"/>
      <c r="AK31" s="5369"/>
      <c r="AL31" s="5369"/>
      <c r="AM31" s="5369"/>
      <c r="AN31" s="5369"/>
      <c r="AO31" s="5369"/>
      <c r="AP31" s="5369"/>
      <c r="AQ31" s="5369"/>
      <c r="AR31" s="5369"/>
      <c r="AS31" s="5369"/>
      <c r="AT31" s="5369"/>
      <c r="AU31" s="5369"/>
      <c r="AV31" s="5369"/>
      <c r="AW31" s="5369"/>
      <c r="AX31" s="5369"/>
      <c r="AY31" s="5369"/>
      <c r="AZ31" s="5369"/>
      <c r="BA31" s="244"/>
      <c r="BB31" s="244"/>
      <c r="BC31" s="199"/>
      <c r="BD31" s="284"/>
      <c r="BE31" s="284"/>
      <c r="BF31" s="284"/>
      <c r="BG31" s="284"/>
      <c r="BH31" s="284"/>
    </row>
    <row r="32" spans="1:60" s="4855" customFormat="1" ht="18.75" customHeight="1">
      <c r="A32" s="1246"/>
      <c r="B32" s="1246"/>
      <c r="C32" s="1246"/>
      <c r="D32" s="1246"/>
      <c r="E32" s="1246"/>
      <c r="F32" s="1246"/>
      <c r="G32" s="1246"/>
      <c r="H32" s="1246"/>
      <c r="I32" s="1246"/>
      <c r="J32" s="1246"/>
      <c r="K32" s="1246"/>
      <c r="L32" s="1247"/>
      <c r="M32" s="1246"/>
      <c r="N32" s="1246"/>
      <c r="O32" s="1246"/>
      <c r="P32" s="1246"/>
      <c r="Q32" s="1246"/>
      <c r="S32" s="5368" t="s">
        <v>499</v>
      </c>
      <c r="T32" s="5368"/>
      <c r="U32" s="1250"/>
      <c r="V32" s="5378">
        <f>IF(TITLE_DATE_PR_CHANGE="",IF(TITLE_DATE_PR="","",TITLE_DATE_PR),TITLE_DATE_PR_CHANGE)</f>
        <v>45280</v>
      </c>
      <c r="W32" s="5378"/>
      <c r="X32" s="5378"/>
      <c r="Y32" s="5378"/>
      <c r="Z32" s="5378"/>
      <c r="AA32" s="5378"/>
      <c r="AB32" s="5378"/>
      <c r="AC32" s="244"/>
      <c r="AD32" s="5378">
        <f>IF(TITLE_DATE_PR_CHANGE="",IF(TITLE_DATE_PR="","",TITLE_DATE_PR),TITLE_DATE_PR_CHANGE)</f>
        <v>45280</v>
      </c>
      <c r="AE32" s="5378"/>
      <c r="AF32" s="5378"/>
      <c r="AG32" s="5378"/>
      <c r="AH32" s="5378"/>
      <c r="AI32" s="5378"/>
      <c r="AJ32" s="5378"/>
      <c r="AK32" s="5378"/>
      <c r="AL32" s="5378"/>
      <c r="AM32" s="5378"/>
      <c r="AN32" s="5378"/>
      <c r="AO32" s="5378"/>
      <c r="AP32" s="5378"/>
      <c r="AQ32" s="5378"/>
      <c r="AR32" s="5378"/>
      <c r="AS32" s="5378"/>
      <c r="AT32" s="5378"/>
      <c r="AU32" s="5378"/>
      <c r="AV32" s="5378"/>
      <c r="AW32" s="5378"/>
      <c r="AX32" s="5378"/>
      <c r="AY32" s="5378"/>
      <c r="AZ32" s="5378"/>
      <c r="BA32" s="244"/>
      <c r="BB32" s="244"/>
      <c r="BC32" s="199"/>
      <c r="BD32" s="284"/>
      <c r="BE32" s="284"/>
      <c r="BF32" s="284"/>
      <c r="BG32" s="284"/>
      <c r="BH32" s="284"/>
    </row>
    <row r="33" spans="1:60" s="4855" customFormat="1" ht="18.75" customHeight="1">
      <c r="A33" s="1246"/>
      <c r="B33" s="1246"/>
      <c r="C33" s="1246"/>
      <c r="D33" s="1246"/>
      <c r="E33" s="1246"/>
      <c r="F33" s="1246"/>
      <c r="G33" s="1246"/>
      <c r="H33" s="1246"/>
      <c r="I33" s="1246"/>
      <c r="J33" s="1246"/>
      <c r="K33" s="1246"/>
      <c r="L33" s="1247"/>
      <c r="M33" s="1246"/>
      <c r="N33" s="1246"/>
      <c r="O33" s="1246"/>
      <c r="P33" s="1246"/>
      <c r="Q33" s="1246"/>
      <c r="S33" s="5368" t="s">
        <v>500</v>
      </c>
      <c r="T33" s="5368"/>
      <c r="U33" s="1250"/>
      <c r="V33" s="5369" t="str">
        <f>IF(TITLE_NUMBER_PR_CHANGE="",IF(TITLE_NUMBER_PR="","",TITLE_NUMBER_PR),TITLE_NUMBER_PR_CHANGE)</f>
        <v>317-Р</v>
      </c>
      <c r="W33" s="5369"/>
      <c r="X33" s="5369"/>
      <c r="Y33" s="5369"/>
      <c r="Z33" s="5369"/>
      <c r="AA33" s="5369"/>
      <c r="AB33" s="5369"/>
      <c r="AC33" s="244"/>
      <c r="AD33" s="5369" t="str">
        <f>IF(TITLE_NUMBER_PR_CHANGE="",IF(TITLE_NUMBER_PR="","",TITLE_NUMBER_PR),TITLE_NUMBER_PR_CHANGE)</f>
        <v>317-Р</v>
      </c>
      <c r="AE33" s="5369"/>
      <c r="AF33" s="5369"/>
      <c r="AG33" s="5369"/>
      <c r="AH33" s="5369"/>
      <c r="AI33" s="5369"/>
      <c r="AJ33" s="5369"/>
      <c r="AK33" s="5369"/>
      <c r="AL33" s="5369"/>
      <c r="AM33" s="5369"/>
      <c r="AN33" s="5369"/>
      <c r="AO33" s="5369"/>
      <c r="AP33" s="5369"/>
      <c r="AQ33" s="5369"/>
      <c r="AR33" s="5369"/>
      <c r="AS33" s="5369"/>
      <c r="AT33" s="5369"/>
      <c r="AU33" s="5369"/>
      <c r="AV33" s="5369"/>
      <c r="AW33" s="5369"/>
      <c r="AX33" s="5369"/>
      <c r="AY33" s="5369"/>
      <c r="AZ33" s="5369"/>
      <c r="BA33" s="244"/>
      <c r="BB33" s="244"/>
      <c r="BC33" s="199"/>
      <c r="BD33" s="284"/>
      <c r="BE33" s="284"/>
      <c r="BF33" s="284"/>
      <c r="BG33" s="284"/>
      <c r="BH33" s="284"/>
    </row>
    <row r="34" spans="1:60" s="4855" customFormat="1" ht="18.75" customHeight="1">
      <c r="A34" s="1246"/>
      <c r="B34" s="1246"/>
      <c r="C34" s="1246"/>
      <c r="D34" s="1246"/>
      <c r="E34" s="1246"/>
      <c r="F34" s="1246"/>
      <c r="G34" s="1246"/>
      <c r="H34" s="1246"/>
      <c r="I34" s="1246"/>
      <c r="J34" s="1246"/>
      <c r="K34" s="1246"/>
      <c r="L34" s="1247"/>
      <c r="M34" s="1246"/>
      <c r="N34" s="1246"/>
      <c r="O34" s="1246"/>
      <c r="P34" s="1246"/>
      <c r="Q34" s="1246"/>
      <c r="S34" s="5368" t="s">
        <v>40</v>
      </c>
      <c r="T34" s="5368"/>
      <c r="U34" s="1250"/>
      <c r="V34" s="5369" t="str">
        <f>IF(TITLE_IST_PUB_CHANGE="",IF(TITLE_IST_PUB="","",TITLE_IST_PUB),TITLE_IST_PUB_CHANGE)</f>
        <v>https://ktc.mosreg.ru/dokumenty/normotvorchestvo/rasporyazheniya/gosudarstvennoe-regulirovanie-tarifov-na-teplovuyu-energiyu-raspor/29-12-2023-16-47-50-rasporyazhenie-komiteta-po-tsenam-i-tarifam-moskov</v>
      </c>
      <c r="W34" s="5369"/>
      <c r="X34" s="5369"/>
      <c r="Y34" s="5369"/>
      <c r="Z34" s="5369"/>
      <c r="AA34" s="5369"/>
      <c r="AB34" s="5369"/>
      <c r="AC34" s="244"/>
      <c r="AD34" s="5369" t="str">
        <f>IF(TITLE_IST_PUB_CHANGE="",IF(TITLE_IST_PUB="","",TITLE_IST_PUB),TITLE_IST_PUB_CHANGE)</f>
        <v>https://ktc.mosreg.ru/dokumenty/normotvorchestvo/rasporyazheniya/gosudarstvennoe-regulirovanie-tarifov-na-teplovuyu-energiyu-raspor/29-12-2023-16-47-50-rasporyazhenie-komiteta-po-tsenam-i-tarifam-moskov</v>
      </c>
      <c r="AE34" s="5369"/>
      <c r="AF34" s="5369"/>
      <c r="AG34" s="5369"/>
      <c r="AH34" s="5369"/>
      <c r="AI34" s="5369"/>
      <c r="AJ34" s="5369"/>
      <c r="AK34" s="5369"/>
      <c r="AL34" s="5369"/>
      <c r="AM34" s="5369"/>
      <c r="AN34" s="5369"/>
      <c r="AO34" s="5369"/>
      <c r="AP34" s="5369"/>
      <c r="AQ34" s="5369"/>
      <c r="AR34" s="5369"/>
      <c r="AS34" s="5369"/>
      <c r="AT34" s="5369"/>
      <c r="AU34" s="5369"/>
      <c r="AV34" s="5369"/>
      <c r="AW34" s="5369"/>
      <c r="AX34" s="5369"/>
      <c r="AY34" s="5369"/>
      <c r="AZ34" s="5369"/>
      <c r="BA34" s="244"/>
      <c r="BB34" s="244"/>
      <c r="BC34" s="199"/>
      <c r="BD34" s="284"/>
      <c r="BE34" s="284"/>
      <c r="BF34" s="284"/>
      <c r="BG34" s="284"/>
      <c r="BH34" s="284"/>
    </row>
    <row r="35" spans="1:60" ht="14.25" hidden="1" customHeight="1">
      <c r="Q35" s="209"/>
      <c r="R35" s="292"/>
      <c r="S35" s="1158"/>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4855" customFormat="1" ht="18.75" hidden="1" customHeight="1">
      <c r="A36" s="1246"/>
      <c r="B36" s="1246"/>
      <c r="C36" s="1246"/>
      <c r="D36" s="1246"/>
      <c r="E36" s="1246"/>
      <c r="F36" s="1246"/>
      <c r="G36" s="1246"/>
      <c r="H36" s="1246"/>
      <c r="I36" s="1246"/>
      <c r="J36" s="1246"/>
      <c r="K36" s="1246"/>
      <c r="L36" s="1247"/>
      <c r="M36" s="1246"/>
      <c r="N36" s="1246"/>
      <c r="O36" s="1246"/>
      <c r="P36" s="1246"/>
      <c r="Q36" s="1246"/>
      <c r="S36" s="5368" t="s">
        <v>499</v>
      </c>
      <c r="T36" s="5368"/>
      <c r="U36" s="1250"/>
      <c r="V36" s="5378">
        <f>IF(TITLE_DATE_PR_CHANGE="",IF(TITLE_DATE_PR="","",TITLE_DATE_PR),TITLE_DATE_PR_CHANGE)</f>
        <v>45280</v>
      </c>
      <c r="W36" s="5378"/>
      <c r="X36" s="5378"/>
      <c r="Y36" s="5378"/>
      <c r="Z36" s="5378"/>
      <c r="AA36" s="5378"/>
      <c r="AB36" s="5378"/>
      <c r="AC36" s="244"/>
      <c r="AD36" s="5378">
        <f>IF(TITLE_DATE_PR_CHANGE="",IF(TITLE_DATE_PR="","",TITLE_DATE_PR),TITLE_DATE_PR_CHANGE)</f>
        <v>45280</v>
      </c>
      <c r="AE36" s="5378"/>
      <c r="AF36" s="5378"/>
      <c r="AG36" s="5378"/>
      <c r="AH36" s="5378"/>
      <c r="AI36" s="5378"/>
      <c r="AJ36" s="5378"/>
      <c r="AK36" s="5378"/>
      <c r="AL36" s="5378"/>
      <c r="AM36" s="5378"/>
      <c r="AN36" s="5378"/>
      <c r="AO36" s="5378"/>
      <c r="AP36" s="5378"/>
      <c r="AQ36" s="5378"/>
      <c r="AR36" s="5378"/>
      <c r="AS36" s="5378"/>
      <c r="AT36" s="5378"/>
      <c r="AU36" s="5378"/>
      <c r="AV36" s="5378"/>
      <c r="AW36" s="5378"/>
      <c r="AX36" s="5378"/>
      <c r="AY36" s="5378"/>
      <c r="AZ36" s="5378"/>
      <c r="BA36" s="244"/>
      <c r="BB36" s="244"/>
      <c r="BC36" s="199"/>
      <c r="BD36" s="284"/>
      <c r="BE36" s="284"/>
      <c r="BF36" s="284"/>
      <c r="BG36" s="284"/>
      <c r="BH36" s="284"/>
    </row>
    <row r="37" spans="1:60" s="4855" customFormat="1" ht="18.75" hidden="1" customHeight="1">
      <c r="A37" s="1246"/>
      <c r="B37" s="1246"/>
      <c r="C37" s="1246"/>
      <c r="D37" s="1246"/>
      <c r="E37" s="1246"/>
      <c r="F37" s="1246"/>
      <c r="G37" s="1246"/>
      <c r="H37" s="1246"/>
      <c r="I37" s="1246"/>
      <c r="J37" s="1246"/>
      <c r="K37" s="1246"/>
      <c r="L37" s="1247"/>
      <c r="M37" s="1246"/>
      <c r="N37" s="1246"/>
      <c r="O37" s="1246"/>
      <c r="P37" s="1246"/>
      <c r="Q37" s="1246"/>
      <c r="S37" s="5368" t="s">
        <v>500</v>
      </c>
      <c r="T37" s="5368"/>
      <c r="U37" s="1250"/>
      <c r="V37" s="5369" t="str">
        <f>IF(TITLE_NUMBER_PR_CHANGE="",IF(TITLE_NUMBER_PR="","",TITLE_NUMBER_PR),TITLE_NUMBER_PR_CHANGE)</f>
        <v>317-Р</v>
      </c>
      <c r="W37" s="5369"/>
      <c r="X37" s="5369"/>
      <c r="Y37" s="5369"/>
      <c r="Z37" s="5369"/>
      <c r="AA37" s="5369"/>
      <c r="AB37" s="5369"/>
      <c r="AC37" s="244"/>
      <c r="AD37" s="5369" t="str">
        <f>IF(TITLE_NUMBER_PR_CHANGE="",IF(TITLE_NUMBER_PR="","",TITLE_NUMBER_PR),TITLE_NUMBER_PR_CHANGE)</f>
        <v>317-Р</v>
      </c>
      <c r="AE37" s="5369"/>
      <c r="AF37" s="5369"/>
      <c r="AG37" s="5369"/>
      <c r="AH37" s="5369"/>
      <c r="AI37" s="5369"/>
      <c r="AJ37" s="5369"/>
      <c r="AK37" s="5369"/>
      <c r="AL37" s="5369"/>
      <c r="AM37" s="5369"/>
      <c r="AN37" s="5369"/>
      <c r="AO37" s="5369"/>
      <c r="AP37" s="5369"/>
      <c r="AQ37" s="5369"/>
      <c r="AR37" s="5369"/>
      <c r="AS37" s="5369"/>
      <c r="AT37" s="5369"/>
      <c r="AU37" s="5369"/>
      <c r="AV37" s="5369"/>
      <c r="AW37" s="5369"/>
      <c r="AX37" s="5369"/>
      <c r="AY37" s="5369"/>
      <c r="AZ37" s="5369"/>
      <c r="BA37" s="244"/>
      <c r="BB37" s="244"/>
      <c r="BC37" s="199"/>
      <c r="BD37" s="284"/>
      <c r="BE37" s="284"/>
      <c r="BF37" s="284"/>
      <c r="BG37" s="284"/>
      <c r="BH37" s="284"/>
    </row>
    <row r="38" spans="1:60" s="4855" customFormat="1" ht="0" hidden="1" customHeight="1">
      <c r="A38" s="1246"/>
      <c r="B38" s="1246"/>
      <c r="C38" s="1246"/>
      <c r="D38" s="1246"/>
      <c r="E38" s="1246"/>
      <c r="F38" s="1246"/>
      <c r="G38" s="1246"/>
      <c r="H38" s="1246"/>
      <c r="I38" s="1246"/>
      <c r="J38" s="1246"/>
      <c r="K38" s="1246"/>
      <c r="L38" s="1247"/>
      <c r="M38" s="1246"/>
      <c r="N38" s="1246"/>
      <c r="O38" s="1246"/>
      <c r="P38" s="1246"/>
      <c r="Q38" s="1246"/>
      <c r="S38" s="241"/>
      <c r="T38" s="241"/>
      <c r="U38" s="1360"/>
      <c r="V38" s="244"/>
      <c r="W38" s="244"/>
      <c r="X38" s="244"/>
      <c r="Y38" s="244"/>
      <c r="Z38" s="244"/>
      <c r="AA38" s="244"/>
      <c r="AB38" s="244"/>
      <c r="AC38" s="197" t="s">
        <v>503</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503</v>
      </c>
      <c r="BD38" s="284"/>
      <c r="BE38" s="284"/>
      <c r="BF38" s="284"/>
      <c r="BG38" s="284"/>
      <c r="BH38" s="284"/>
    </row>
    <row r="39" spans="1:60" ht="14.25" customHeight="1">
      <c r="Q39" s="209"/>
      <c r="R39" s="292"/>
      <c r="S39" s="1158"/>
      <c r="T39" s="280"/>
      <c r="U39" s="1127"/>
      <c r="V39" s="5370"/>
      <c r="W39" s="5370"/>
      <c r="X39" s="5370"/>
      <c r="Y39" s="5370"/>
      <c r="Z39" s="5370"/>
      <c r="AA39" s="5370"/>
      <c r="AB39" s="5370"/>
      <c r="AC39" s="5370"/>
      <c r="AD39" s="5370"/>
      <c r="AE39" s="5370"/>
      <c r="AF39" s="5370"/>
      <c r="AG39" s="5370"/>
      <c r="AH39" s="5370"/>
      <c r="AI39" s="5370"/>
      <c r="AJ39" s="5370"/>
      <c r="AK39" s="5370"/>
      <c r="AL39" s="5370"/>
      <c r="AM39" s="5370"/>
      <c r="AN39" s="5370"/>
      <c r="AO39" s="5370"/>
      <c r="AP39" s="5370"/>
      <c r="AQ39" s="5370"/>
      <c r="AR39" s="5370"/>
      <c r="AS39" s="5370"/>
      <c r="AT39" s="5370"/>
      <c r="AU39" s="5370"/>
      <c r="AV39" s="5370"/>
      <c r="AW39" s="5370"/>
      <c r="AX39" s="5370"/>
      <c r="AY39" s="5370"/>
      <c r="AZ39" s="5370"/>
      <c r="BA39" s="5370"/>
    </row>
    <row r="40" spans="1:60" ht="14.25" customHeight="1">
      <c r="Q40" s="209"/>
      <c r="R40" s="292"/>
      <c r="S40" s="5244" t="s">
        <v>378</v>
      </c>
      <c r="T40" s="5244"/>
      <c r="U40" s="5244"/>
      <c r="V40" s="5244"/>
      <c r="W40" s="5244"/>
      <c r="X40" s="5244"/>
      <c r="Y40" s="5244"/>
      <c r="Z40" s="5244"/>
      <c r="AA40" s="5244"/>
      <c r="AB40" s="5244"/>
      <c r="AC40" s="5244"/>
      <c r="AD40" s="5244"/>
      <c r="AE40" s="5244"/>
      <c r="AF40" s="5244"/>
      <c r="AG40" s="5244"/>
      <c r="AH40" s="5244"/>
      <c r="AI40" s="5244"/>
      <c r="AJ40" s="5244"/>
      <c r="AK40" s="5244"/>
      <c r="AL40" s="5244"/>
      <c r="AM40" s="5244"/>
      <c r="AN40" s="5244"/>
      <c r="AO40" s="5244"/>
      <c r="AP40" s="5244"/>
      <c r="AQ40" s="5244"/>
      <c r="AR40" s="5244"/>
      <c r="AS40" s="5244"/>
      <c r="AT40" s="5244"/>
      <c r="AU40" s="5244"/>
      <c r="AV40" s="5244"/>
      <c r="AW40" s="5244"/>
      <c r="AX40" s="5244"/>
      <c r="AY40" s="5244"/>
      <c r="AZ40" s="5244"/>
      <c r="BA40" s="5244"/>
      <c r="BB40" s="5244"/>
      <c r="BC40" s="5244" t="s">
        <v>379</v>
      </c>
    </row>
    <row r="41" spans="1:60" ht="14.25" customHeight="1">
      <c r="Q41" s="209"/>
      <c r="R41" s="292"/>
      <c r="S41" s="5384" t="s">
        <v>85</v>
      </c>
      <c r="T41" s="5336" t="s">
        <v>583</v>
      </c>
      <c r="U41" s="219"/>
      <c r="V41" s="5385" t="s">
        <v>505</v>
      </c>
      <c r="W41" s="5386"/>
      <c r="X41" s="5386"/>
      <c r="Y41" s="5386"/>
      <c r="Z41" s="5386"/>
      <c r="AA41" s="5386"/>
      <c r="AB41" s="5387"/>
      <c r="AC41" s="5388" t="s">
        <v>506</v>
      </c>
      <c r="AD41" s="5414" t="s">
        <v>600</v>
      </c>
      <c r="AE41" s="5402"/>
      <c r="AF41" s="5402"/>
      <c r="AG41" s="5415"/>
      <c r="AH41" s="5414" t="s">
        <v>601</v>
      </c>
      <c r="AI41" s="5402"/>
      <c r="AJ41" s="5402"/>
      <c r="AK41" s="5415"/>
      <c r="AL41" s="5414" t="s">
        <v>602</v>
      </c>
      <c r="AM41" s="5402"/>
      <c r="AN41" s="5402"/>
      <c r="AO41" s="5415"/>
      <c r="AP41" s="5414" t="s">
        <v>587</v>
      </c>
      <c r="AQ41" s="5402"/>
      <c r="AR41" s="5402"/>
      <c r="AS41" s="5415"/>
      <c r="AT41" s="5385" t="s">
        <v>505</v>
      </c>
      <c r="AU41" s="5386"/>
      <c r="AV41" s="5386"/>
      <c r="AW41" s="5386"/>
      <c r="AX41" s="5386"/>
      <c r="AY41" s="5386"/>
      <c r="AZ41" s="5387"/>
      <c r="BA41" s="5388" t="s">
        <v>506</v>
      </c>
      <c r="BB41" s="5391" t="s">
        <v>508</v>
      </c>
      <c r="BC41" s="5244"/>
    </row>
    <row r="42" spans="1:60" ht="33.75" customHeight="1">
      <c r="Q42" s="209"/>
      <c r="R42" s="292"/>
      <c r="S42" s="5384"/>
      <c r="T42" s="5336"/>
      <c r="U42" s="920"/>
      <c r="V42" s="5322" t="s">
        <v>588</v>
      </c>
      <c r="W42" s="5323"/>
      <c r="X42" s="5322" t="s">
        <v>589</v>
      </c>
      <c r="Y42" s="5323"/>
      <c r="Z42" s="5322" t="s">
        <v>590</v>
      </c>
      <c r="AA42" s="5409"/>
      <c r="AB42" s="5323"/>
      <c r="AC42" s="5389"/>
      <c r="AD42" s="5416"/>
      <c r="AE42" s="5417"/>
      <c r="AF42" s="5417"/>
      <c r="AG42" s="5418"/>
      <c r="AH42" s="5416"/>
      <c r="AI42" s="5417"/>
      <c r="AJ42" s="5417"/>
      <c r="AK42" s="5418"/>
      <c r="AL42" s="5416"/>
      <c r="AM42" s="5417"/>
      <c r="AN42" s="5417"/>
      <c r="AO42" s="5418"/>
      <c r="AP42" s="5416"/>
      <c r="AQ42" s="5417"/>
      <c r="AR42" s="5417"/>
      <c r="AS42" s="5418"/>
      <c r="AT42" s="5322" t="s">
        <v>603</v>
      </c>
      <c r="AU42" s="5323"/>
      <c r="AV42" s="5322" t="s">
        <v>604</v>
      </c>
      <c r="AW42" s="5323"/>
      <c r="AX42" s="5322" t="s">
        <v>590</v>
      </c>
      <c r="AY42" s="5409"/>
      <c r="AZ42" s="5323"/>
      <c r="BA42" s="5389"/>
      <c r="BB42" s="5392"/>
      <c r="BC42" s="5244"/>
    </row>
    <row r="43" spans="1:60" ht="14.25" customHeight="1">
      <c r="Q43" s="209"/>
      <c r="R43" s="292"/>
      <c r="S43" s="5384"/>
      <c r="T43" s="5336"/>
      <c r="U43" s="920"/>
      <c r="V43" s="5327"/>
      <c r="W43" s="5328"/>
      <c r="X43" s="5327"/>
      <c r="Y43" s="5328"/>
      <c r="Z43" s="5327"/>
      <c r="AA43" s="5410"/>
      <c r="AB43" s="5328"/>
      <c r="AC43" s="5389"/>
      <c r="AD43" s="5416"/>
      <c r="AE43" s="5417"/>
      <c r="AF43" s="5417"/>
      <c r="AG43" s="5418"/>
      <c r="AH43" s="5416"/>
      <c r="AI43" s="5417"/>
      <c r="AJ43" s="5417"/>
      <c r="AK43" s="5418"/>
      <c r="AL43" s="5416"/>
      <c r="AM43" s="5417"/>
      <c r="AN43" s="5417"/>
      <c r="AO43" s="5418"/>
      <c r="AP43" s="5416"/>
      <c r="AQ43" s="5417"/>
      <c r="AR43" s="5417"/>
      <c r="AS43" s="5418"/>
      <c r="AT43" s="5327"/>
      <c r="AU43" s="5328"/>
      <c r="AV43" s="5327"/>
      <c r="AW43" s="5328"/>
      <c r="AX43" s="5327"/>
      <c r="AY43" s="5410"/>
      <c r="AZ43" s="5328"/>
      <c r="BA43" s="5389"/>
      <c r="BB43" s="5392"/>
      <c r="BC43" s="5244"/>
    </row>
    <row r="44" spans="1:60" ht="14.25" customHeight="1">
      <c r="A44" s="1248"/>
      <c r="B44" s="1248" t="s">
        <v>153</v>
      </c>
      <c r="C44" s="1248" t="s">
        <v>154</v>
      </c>
      <c r="D44" s="1248" t="s">
        <v>155</v>
      </c>
      <c r="E44" s="1242" t="s">
        <v>513</v>
      </c>
      <c r="F44" s="1242" t="s">
        <v>514</v>
      </c>
      <c r="G44" s="1242" t="s">
        <v>515</v>
      </c>
      <c r="H44" s="1242" t="s">
        <v>516</v>
      </c>
      <c r="I44" s="1242" t="s">
        <v>517</v>
      </c>
      <c r="J44" s="1242" t="s">
        <v>518</v>
      </c>
      <c r="K44" s="1242" t="s">
        <v>519</v>
      </c>
      <c r="L44" s="1242" t="s">
        <v>494</v>
      </c>
      <c r="Q44" s="209"/>
      <c r="R44" s="292"/>
      <c r="S44" s="5384"/>
      <c r="T44" s="5336"/>
      <c r="U44" s="220"/>
      <c r="V44" s="1351" t="s">
        <v>554</v>
      </c>
      <c r="W44" s="1351" t="s">
        <v>555</v>
      </c>
      <c r="X44" s="1351" t="s">
        <v>554</v>
      </c>
      <c r="Y44" s="1351" t="s">
        <v>555</v>
      </c>
      <c r="Z44" s="1361" t="s">
        <v>522</v>
      </c>
      <c r="AA44" s="5344" t="s">
        <v>523</v>
      </c>
      <c r="AB44" s="5346"/>
      <c r="AC44" s="5390"/>
      <c r="AD44" s="5419"/>
      <c r="AE44" s="5420"/>
      <c r="AF44" s="5420"/>
      <c r="AG44" s="5421"/>
      <c r="AH44" s="5419"/>
      <c r="AI44" s="5420"/>
      <c r="AJ44" s="5420"/>
      <c r="AK44" s="5421"/>
      <c r="AL44" s="5419"/>
      <c r="AM44" s="5420"/>
      <c r="AN44" s="5420"/>
      <c r="AO44" s="5421"/>
      <c r="AP44" s="5419"/>
      <c r="AQ44" s="5420"/>
      <c r="AR44" s="5420"/>
      <c r="AS44" s="5421"/>
      <c r="AT44" s="1351" t="s">
        <v>554</v>
      </c>
      <c r="AU44" s="1351" t="s">
        <v>555</v>
      </c>
      <c r="AV44" s="1351" t="s">
        <v>554</v>
      </c>
      <c r="AW44" s="1351" t="s">
        <v>555</v>
      </c>
      <c r="AX44" s="1361" t="s">
        <v>522</v>
      </c>
      <c r="AY44" s="5344" t="s">
        <v>523</v>
      </c>
      <c r="AZ44" s="5346"/>
      <c r="BA44" s="5390"/>
      <c r="BB44" s="5393"/>
      <c r="BC44" s="5244"/>
    </row>
    <row r="45" spans="1:60" s="4840" customFormat="1" ht="11.25" hidden="1" customHeight="1">
      <c r="A45" s="1248"/>
      <c r="B45" s="1248"/>
      <c r="C45" s="1248"/>
      <c r="D45" s="1248"/>
      <c r="E45" s="1248"/>
      <c r="F45" s="1248"/>
      <c r="G45" s="1248"/>
      <c r="H45" s="1248"/>
      <c r="I45" s="1248"/>
      <c r="J45" s="1248"/>
      <c r="K45" s="1248"/>
      <c r="L45" s="1242"/>
      <c r="M45" s="1240"/>
      <c r="N45" s="1240"/>
      <c r="O45" s="1240"/>
      <c r="P45" s="418"/>
      <c r="Q45" s="1137"/>
      <c r="R45" s="1137">
        <v>1</v>
      </c>
      <c r="S45" s="1160" t="s">
        <v>129</v>
      </c>
      <c r="T45" s="1138" t="s">
        <v>100</v>
      </c>
      <c r="U45" s="1128" t="str">
        <f ca="1">OFFSET(U45,0,-1)</f>
        <v>2</v>
      </c>
      <c r="V45" s="1354">
        <f t="shared" ref="V45:AA45" ca="1" si="2">OFFSET(V45,0,-1)+1</f>
        <v>3</v>
      </c>
      <c r="W45" s="1354">
        <f t="shared" ca="1" si="2"/>
        <v>4</v>
      </c>
      <c r="X45" s="1354">
        <f t="shared" ca="1" si="2"/>
        <v>5</v>
      </c>
      <c r="Y45" s="1354">
        <f t="shared" ca="1" si="2"/>
        <v>6</v>
      </c>
      <c r="Z45" s="1354">
        <f t="shared" ca="1" si="2"/>
        <v>7</v>
      </c>
      <c r="AA45" s="5383">
        <f t="shared" ca="1" si="2"/>
        <v>8</v>
      </c>
      <c r="AB45" s="5383"/>
      <c r="AC45" s="1354">
        <f ca="1">OFFSET(AC45,0,-2)+1</f>
        <v>9</v>
      </c>
      <c r="AD45" s="1354">
        <f ca="1">OFFSET(AD45,0,-1)+1</f>
        <v>10</v>
      </c>
      <c r="AE45" s="1354"/>
      <c r="AF45" s="1354"/>
      <c r="AG45" s="1354"/>
      <c r="AH45" s="1354"/>
      <c r="AI45" s="1354"/>
      <c r="AJ45" s="1354"/>
      <c r="AK45" s="1354"/>
      <c r="AL45" s="1354"/>
      <c r="AM45" s="1354"/>
      <c r="AN45" s="1354"/>
      <c r="AO45" s="1354"/>
      <c r="AP45" s="1354"/>
      <c r="AQ45" s="1354"/>
      <c r="AR45" s="1354"/>
      <c r="AS45" s="1354"/>
      <c r="AT45" s="1354"/>
      <c r="AU45" s="1354"/>
      <c r="AV45" s="1354"/>
      <c r="AW45" s="1354">
        <f ca="1">OFFSET(AW45,0,-1)+1</f>
        <v>1</v>
      </c>
      <c r="AX45" s="1354">
        <f ca="1">OFFSET(AX45,0,-1)+1</f>
        <v>2</v>
      </c>
      <c r="AY45" s="5383">
        <f ca="1">OFFSET(AY45,0,-1)+1</f>
        <v>3</v>
      </c>
      <c r="AZ45" s="5383"/>
      <c r="BA45" s="1354">
        <f ca="1">OFFSET(BA45,0,-2)+1</f>
        <v>4</v>
      </c>
      <c r="BB45" s="1128">
        <f ca="1">OFFSET(BB45,0,-1)</f>
        <v>4</v>
      </c>
      <c r="BC45" s="1354">
        <f ca="1">OFFSET(BC45,0,-1)+1</f>
        <v>5</v>
      </c>
      <c r="BD45" s="419"/>
      <c r="BE45" s="419"/>
      <c r="BF45" s="419"/>
      <c r="BG45" s="419"/>
      <c r="BH45" s="419"/>
    </row>
    <row r="46" spans="1:60" ht="21" customHeight="1">
      <c r="A46" s="1241" t="s">
        <v>354</v>
      </c>
      <c r="B46" s="1241"/>
      <c r="C46" s="1241"/>
      <c r="D46" s="1241"/>
      <c r="E46" s="5376">
        <v>1</v>
      </c>
      <c r="F46" s="1241"/>
      <c r="G46" s="1241"/>
      <c r="H46" s="1241"/>
      <c r="I46" s="1241"/>
      <c r="J46" s="1241"/>
      <c r="K46" s="1241"/>
      <c r="L46" s="1242"/>
      <c r="M46" s="1243"/>
      <c r="N46" s="1243"/>
      <c r="O46" s="1243"/>
      <c r="P46" s="1287"/>
      <c r="Q46" s="768"/>
      <c r="R46" s="272"/>
      <c r="S46" s="1365">
        <f>INDEX(PT_DIFFERENTIATION_NUM_NTAR,MATCH(A46,PT_DIFFERENTIATION_NTAR_ID,0))</f>
        <v>0</v>
      </c>
      <c r="T46" s="216" t="s">
        <v>141</v>
      </c>
      <c r="U46" s="218"/>
      <c r="V46" s="5363"/>
      <c r="W46" s="5363"/>
      <c r="X46" s="5363"/>
      <c r="Y46" s="5363"/>
      <c r="Z46" s="5363"/>
      <c r="AA46" s="5363"/>
      <c r="AB46" s="5363"/>
      <c r="AC46" s="5364"/>
      <c r="AD46" s="5362" t="str">
        <f>INDEX(PT_DIFFERENTIATION_NTAR,MATCH(A46,PT_DIFFERENTIATION_NTAR_ID,0))</f>
        <v/>
      </c>
      <c r="AE46" s="5363"/>
      <c r="AF46" s="5363"/>
      <c r="AG46" s="5363"/>
      <c r="AH46" s="5363"/>
      <c r="AI46" s="5363"/>
      <c r="AJ46" s="5363"/>
      <c r="AK46" s="5363"/>
      <c r="AL46" s="5363"/>
      <c r="AM46" s="5363"/>
      <c r="AN46" s="5363"/>
      <c r="AO46" s="5363"/>
      <c r="AP46" s="5363"/>
      <c r="AQ46" s="5363"/>
      <c r="AR46" s="5363"/>
      <c r="AS46" s="5363"/>
      <c r="AT46" s="5363"/>
      <c r="AU46" s="5363"/>
      <c r="AV46" s="5363"/>
      <c r="AW46" s="5363"/>
      <c r="AX46" s="5363"/>
      <c r="AY46" s="5363"/>
      <c r="AZ46" s="5363"/>
      <c r="BA46" s="5363"/>
      <c r="BB46" s="5364"/>
      <c r="BC46"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41" t="s">
        <v>354</v>
      </c>
      <c r="B47" s="1241" t="s">
        <v>355</v>
      </c>
      <c r="C47" s="1241"/>
      <c r="D47" s="1241"/>
      <c r="E47" s="5377"/>
      <c r="F47" s="5376">
        <v>1</v>
      </c>
      <c r="G47" s="1241"/>
      <c r="H47" s="1241"/>
      <c r="I47" s="1241"/>
      <c r="J47" s="1241"/>
      <c r="K47" s="1241"/>
      <c r="L47" s="1242"/>
      <c r="M47" s="1243"/>
      <c r="N47" s="1243"/>
      <c r="O47" s="1243"/>
      <c r="P47" s="1288"/>
      <c r="Q47" s="1289"/>
      <c r="R47" s="270"/>
      <c r="S47" s="1365" t="str">
        <f>INDEX(PT_DIFFERENTIATION_NUM_TER,MATCH(B47,PT_DIFFERENTIATION_TER_ID,0))</f>
        <v>.</v>
      </c>
      <c r="T47" s="226" t="s">
        <v>475</v>
      </c>
      <c r="U47" s="218"/>
      <c r="V47" s="5363"/>
      <c r="W47" s="5363"/>
      <c r="X47" s="5363"/>
      <c r="Y47" s="5363"/>
      <c r="Z47" s="5363"/>
      <c r="AA47" s="5363"/>
      <c r="AB47" s="5363"/>
      <c r="AC47" s="5364"/>
      <c r="AD47" s="5362" t="str">
        <f>INDEX(PT_DIFFERENTIATION_TER,MATCH(B47,PT_DIFFERENTIATION_TER_ID,0))</f>
        <v/>
      </c>
      <c r="AE47" s="5363"/>
      <c r="AF47" s="5363"/>
      <c r="AG47" s="5363"/>
      <c r="AH47" s="5363"/>
      <c r="AI47" s="5363"/>
      <c r="AJ47" s="5363"/>
      <c r="AK47" s="5363"/>
      <c r="AL47" s="5363"/>
      <c r="AM47" s="5363"/>
      <c r="AN47" s="5363"/>
      <c r="AO47" s="5363"/>
      <c r="AP47" s="5363"/>
      <c r="AQ47" s="5363"/>
      <c r="AR47" s="5363"/>
      <c r="AS47" s="5363"/>
      <c r="AT47" s="5363"/>
      <c r="AU47" s="5363"/>
      <c r="AV47" s="5363"/>
      <c r="AW47" s="5363"/>
      <c r="AX47" s="5363"/>
      <c r="AY47" s="5363"/>
      <c r="AZ47" s="5363"/>
      <c r="BA47" s="5363"/>
      <c r="BB47" s="5364"/>
      <c r="BC47" s="1141" t="s">
        <v>476</v>
      </c>
      <c r="BE47" s="408"/>
      <c r="BF47" s="408" t="str">
        <f t="shared" si="3"/>
        <v>Территория действия тарифа</v>
      </c>
      <c r="BG47" s="408"/>
      <c r="BH47" s="408"/>
    </row>
    <row r="48" spans="1:60" ht="33.75" customHeight="1">
      <c r="A48" s="1241" t="s">
        <v>354</v>
      </c>
      <c r="B48" s="1241" t="s">
        <v>355</v>
      </c>
      <c r="C48" s="1241" t="s">
        <v>356</v>
      </c>
      <c r="D48" s="1241"/>
      <c r="E48" s="5377"/>
      <c r="F48" s="5377"/>
      <c r="G48" s="5376">
        <v>1</v>
      </c>
      <c r="H48" s="1241"/>
      <c r="I48" s="1241"/>
      <c r="J48" s="1241"/>
      <c r="K48" s="1241"/>
      <c r="L48" s="1242"/>
      <c r="M48" s="1243"/>
      <c r="N48" s="1243"/>
      <c r="O48" s="1243"/>
      <c r="P48" s="1290"/>
      <c r="Q48" s="1289"/>
      <c r="R48" s="270"/>
      <c r="S48" s="1365" t="str">
        <f>INDEX(PT_DIFFERENTIATION_NUM_CS,MATCH(C48,PT_DIFFERENTIATION_CS_ID,0))</f>
        <v>..</v>
      </c>
      <c r="T48" s="227" t="s">
        <v>592</v>
      </c>
      <c r="U48" s="218"/>
      <c r="V48" s="5363"/>
      <c r="W48" s="5363"/>
      <c r="X48" s="5363"/>
      <c r="Y48" s="5363"/>
      <c r="Z48" s="5363"/>
      <c r="AA48" s="5363"/>
      <c r="AB48" s="5363"/>
      <c r="AC48" s="5364"/>
      <c r="AD48" s="5362" t="str">
        <f>INDEX(PT_DIFFERENTIATION_CS,MATCH(C48,PT_DIFFERENTIATION_CS_ID,0))</f>
        <v/>
      </c>
      <c r="AE48" s="5363"/>
      <c r="AF48" s="5363"/>
      <c r="AG48" s="5363"/>
      <c r="AH48" s="5363"/>
      <c r="AI48" s="5363"/>
      <c r="AJ48" s="5363"/>
      <c r="AK48" s="5363"/>
      <c r="AL48" s="5363"/>
      <c r="AM48" s="5363"/>
      <c r="AN48" s="5363"/>
      <c r="AO48" s="5363"/>
      <c r="AP48" s="5363"/>
      <c r="AQ48" s="5363"/>
      <c r="AR48" s="5363"/>
      <c r="AS48" s="5363"/>
      <c r="AT48" s="5363"/>
      <c r="AU48" s="5363"/>
      <c r="AV48" s="5363"/>
      <c r="AW48" s="5363"/>
      <c r="AX48" s="5363"/>
      <c r="AY48" s="5363"/>
      <c r="AZ48" s="5363"/>
      <c r="BA48" s="5363"/>
      <c r="BB48" s="5364"/>
      <c r="BC48" s="1141" t="s">
        <v>593</v>
      </c>
      <c r="BE48" s="408"/>
      <c r="BF48" s="408" t="str">
        <f t="shared" si="3"/>
        <v>Наименование централизованной системы водоотведения</v>
      </c>
      <c r="BG48" s="408"/>
      <c r="BH48" s="408"/>
    </row>
    <row r="49" spans="1:60" s="4856" customFormat="1" ht="0" hidden="1" customHeight="1">
      <c r="A49" s="1222" t="s">
        <v>354</v>
      </c>
      <c r="B49" s="1222" t="s">
        <v>355</v>
      </c>
      <c r="C49" s="1222" t="s">
        <v>356</v>
      </c>
      <c r="D49" s="1222" t="s">
        <v>605</v>
      </c>
      <c r="E49" s="5377"/>
      <c r="F49" s="5377"/>
      <c r="G49" s="5377"/>
      <c r="H49" s="5376">
        <v>1</v>
      </c>
      <c r="I49" s="1222"/>
      <c r="J49" s="1222"/>
      <c r="K49" s="1222"/>
      <c r="L49" s="1225"/>
      <c r="M49" s="1195"/>
      <c r="N49" s="1195"/>
      <c r="O49" s="1195"/>
      <c r="P49" s="1369"/>
      <c r="Q49" s="1370"/>
      <c r="R49" s="274"/>
      <c r="S49" s="931"/>
      <c r="T49" s="1371"/>
      <c r="U49" s="1262"/>
      <c r="V49" s="5406"/>
      <c r="W49" s="5406"/>
      <c r="X49" s="5406"/>
      <c r="Y49" s="5406"/>
      <c r="Z49" s="5406"/>
      <c r="AA49" s="5406"/>
      <c r="AB49" s="5406"/>
      <c r="AC49" s="5407"/>
      <c r="AD49" s="5405"/>
      <c r="AE49" s="5406"/>
      <c r="AF49" s="5406"/>
      <c r="AG49" s="5406"/>
      <c r="AH49" s="5406"/>
      <c r="AI49" s="5406"/>
      <c r="AJ49" s="5406"/>
      <c r="AK49" s="5406"/>
      <c r="AL49" s="5406"/>
      <c r="AM49" s="5406"/>
      <c r="AN49" s="5406"/>
      <c r="AO49" s="5406"/>
      <c r="AP49" s="5406"/>
      <c r="AQ49" s="5406"/>
      <c r="AR49" s="5406"/>
      <c r="AS49" s="5406"/>
      <c r="AT49" s="5406"/>
      <c r="AU49" s="5406"/>
      <c r="AV49" s="5406"/>
      <c r="AW49" s="5406"/>
      <c r="AX49" s="5406"/>
      <c r="AY49" s="5406"/>
      <c r="AZ49" s="5406"/>
      <c r="BA49" s="5406"/>
      <c r="BB49" s="5407"/>
      <c r="BC49" s="1263" t="s">
        <v>480</v>
      </c>
      <c r="BE49" s="408"/>
      <c r="BF49" s="408" t="str">
        <f t="shared" si="3"/>
        <v/>
      </c>
      <c r="BG49" s="408"/>
      <c r="BH49" s="408"/>
    </row>
    <row r="50" spans="1:60" s="4856" customFormat="1" ht="0" hidden="1" customHeight="1">
      <c r="A50" s="1222" t="s">
        <v>354</v>
      </c>
      <c r="B50" s="1222" t="s">
        <v>355</v>
      </c>
      <c r="C50" s="1222" t="s">
        <v>356</v>
      </c>
      <c r="D50" s="1222" t="s">
        <v>605</v>
      </c>
      <c r="E50" s="5377"/>
      <c r="F50" s="5377"/>
      <c r="G50" s="5377"/>
      <c r="H50" s="5377"/>
      <c r="I50" s="5374" t="str">
        <f>S49&amp;".1"</f>
        <v>.1</v>
      </c>
      <c r="J50" s="1222"/>
      <c r="K50" s="1222"/>
      <c r="L50" s="1225" t="s">
        <v>481</v>
      </c>
      <c r="M50" s="418"/>
      <c r="N50" s="418"/>
      <c r="O50" s="418"/>
      <c r="P50" s="5375">
        <v>1</v>
      </c>
      <c r="Q50" s="1353"/>
      <c r="R50" s="273"/>
      <c r="S50" s="931"/>
      <c r="T50" s="1261"/>
      <c r="U50" s="1262"/>
      <c r="V50" s="5406"/>
      <c r="W50" s="5406"/>
      <c r="X50" s="5406"/>
      <c r="Y50" s="5406"/>
      <c r="Z50" s="5406"/>
      <c r="AA50" s="5406"/>
      <c r="AB50" s="5406"/>
      <c r="AC50" s="5407"/>
      <c r="AD50" s="5405"/>
      <c r="AE50" s="5406"/>
      <c r="AF50" s="5406"/>
      <c r="AG50" s="5406"/>
      <c r="AH50" s="5406"/>
      <c r="AI50" s="5406"/>
      <c r="AJ50" s="5406"/>
      <c r="AK50" s="5406"/>
      <c r="AL50" s="5406"/>
      <c r="AM50" s="5406"/>
      <c r="AN50" s="5406"/>
      <c r="AO50" s="5406"/>
      <c r="AP50" s="5406"/>
      <c r="AQ50" s="5406"/>
      <c r="AR50" s="5406"/>
      <c r="AS50" s="5406"/>
      <c r="AT50" s="5406"/>
      <c r="AU50" s="5406"/>
      <c r="AV50" s="5406"/>
      <c r="AW50" s="5406"/>
      <c r="AX50" s="5406"/>
      <c r="AY50" s="5406"/>
      <c r="AZ50" s="5406"/>
      <c r="BA50" s="5406"/>
      <c r="BB50" s="5407"/>
      <c r="BC50" s="1263"/>
      <c r="BE50" s="408"/>
      <c r="BF50" s="408" t="str">
        <f t="shared" si="3"/>
        <v/>
      </c>
      <c r="BG50" s="408"/>
      <c r="BH50" s="408"/>
    </row>
    <row r="51" spans="1:60" s="4856" customFormat="1" ht="0" hidden="1" customHeight="1">
      <c r="A51" s="1222" t="s">
        <v>354</v>
      </c>
      <c r="B51" s="1222" t="s">
        <v>355</v>
      </c>
      <c r="C51" s="1222" t="s">
        <v>356</v>
      </c>
      <c r="D51" s="1222" t="s">
        <v>605</v>
      </c>
      <c r="E51" s="5377"/>
      <c r="F51" s="5377"/>
      <c r="G51" s="5377"/>
      <c r="H51" s="5377"/>
      <c r="I51" s="5397"/>
      <c r="J51" s="5374" t="str">
        <f>S49&amp;".1"</f>
        <v>.1</v>
      </c>
      <c r="K51" s="1222"/>
      <c r="L51" s="1225"/>
      <c r="M51" s="418"/>
      <c r="N51" s="418"/>
      <c r="O51" s="418"/>
      <c r="P51" s="5375"/>
      <c r="Q51" s="5375">
        <v>1</v>
      </c>
      <c r="R51" s="274"/>
      <c r="S51" s="931"/>
      <c r="T51" s="1277"/>
      <c r="U51" s="1262"/>
      <c r="V51" s="5406"/>
      <c r="W51" s="5406"/>
      <c r="X51" s="5406"/>
      <c r="Y51" s="5406"/>
      <c r="Z51" s="5406"/>
      <c r="AA51" s="5406"/>
      <c r="AB51" s="5406"/>
      <c r="AC51" s="5407"/>
      <c r="AD51" s="5405"/>
      <c r="AE51" s="5406"/>
      <c r="AF51" s="5406"/>
      <c r="AG51" s="5406"/>
      <c r="AH51" s="5406"/>
      <c r="AI51" s="5406"/>
      <c r="AJ51" s="5406"/>
      <c r="AK51" s="5406"/>
      <c r="AL51" s="5406"/>
      <c r="AM51" s="5406"/>
      <c r="AN51" s="5450"/>
      <c r="AO51" s="5450"/>
      <c r="AP51" s="5406"/>
      <c r="AQ51" s="5406"/>
      <c r="AR51" s="5406"/>
      <c r="AS51" s="5406"/>
      <c r="AT51" s="5406"/>
      <c r="AU51" s="5406"/>
      <c r="AV51" s="5406"/>
      <c r="AW51" s="5406"/>
      <c r="AX51" s="5406"/>
      <c r="AY51" s="5406"/>
      <c r="AZ51" s="5406"/>
      <c r="BA51" s="5406"/>
      <c r="BB51" s="5407"/>
      <c r="BC51" s="1263"/>
      <c r="BE51" s="408"/>
      <c r="BF51" s="408" t="str">
        <f t="shared" si="3"/>
        <v/>
      </c>
      <c r="BG51" s="408"/>
      <c r="BH51" s="408"/>
    </row>
    <row r="52" spans="1:60" ht="11.25" customHeight="1">
      <c r="A52" s="1241" t="s">
        <v>354</v>
      </c>
      <c r="B52" s="1241" t="s">
        <v>355</v>
      </c>
      <c r="C52" s="1241" t="s">
        <v>356</v>
      </c>
      <c r="D52" s="1241" t="s">
        <v>605</v>
      </c>
      <c r="E52" s="5377"/>
      <c r="F52" s="5377"/>
      <c r="G52" s="5377"/>
      <c r="H52" s="5377"/>
      <c r="I52" s="5397"/>
      <c r="J52" s="5397"/>
      <c r="K52" s="5374" t="str">
        <f>S48&amp;".1"</f>
        <v>...1</v>
      </c>
      <c r="L52" s="1242"/>
      <c r="P52" s="5375"/>
      <c r="Q52" s="5375"/>
      <c r="R52" s="274">
        <v>1</v>
      </c>
      <c r="S52" s="5426" t="str">
        <f>$K52</f>
        <v>...1</v>
      </c>
      <c r="T52" s="5445"/>
      <c r="U52" s="218"/>
      <c r="V52" s="650"/>
      <c r="W52" s="1140"/>
      <c r="X52" s="650"/>
      <c r="Y52" s="1140"/>
      <c r="Z52" s="1597"/>
      <c r="AA52" s="1342" t="s">
        <v>64</v>
      </c>
      <c r="AB52" s="1597"/>
      <c r="AC52" s="1342" t="s">
        <v>64</v>
      </c>
      <c r="AD52" s="5296" t="s">
        <v>64</v>
      </c>
      <c r="AE52" s="5412"/>
      <c r="AF52" s="5332">
        <v>1</v>
      </c>
      <c r="AG52" s="5449"/>
      <c r="AH52" s="5225" t="s">
        <v>64</v>
      </c>
      <c r="AI52" s="5412"/>
      <c r="AJ52" s="5332">
        <v>1</v>
      </c>
      <c r="AK52" s="5448" t="s">
        <v>24</v>
      </c>
      <c r="AL52" s="5225" t="s">
        <v>64</v>
      </c>
      <c r="AM52" s="5322"/>
      <c r="AN52" s="5332">
        <v>1</v>
      </c>
      <c r="AO52" s="5442"/>
      <c r="AP52" s="5443" t="s">
        <v>64</v>
      </c>
      <c r="AQ52" s="229"/>
      <c r="AR52" s="1358">
        <v>1</v>
      </c>
      <c r="AS52" s="1364" t="s">
        <v>24</v>
      </c>
      <c r="AT52" s="650"/>
      <c r="AU52" s="1140"/>
      <c r="AV52" s="650"/>
      <c r="AW52" s="1140"/>
      <c r="AX52" s="1597"/>
      <c r="AY52" s="1342" t="s">
        <v>64</v>
      </c>
      <c r="AZ52" s="1597"/>
      <c r="BA52" s="1342" t="s">
        <v>64</v>
      </c>
      <c r="BB52" s="1227"/>
      <c r="BC52" s="5371" t="s">
        <v>577</v>
      </c>
      <c r="BE52" s="408"/>
      <c r="BF52" s="408" t="str">
        <f t="shared" si="3"/>
        <v/>
      </c>
      <c r="BG52" s="408"/>
      <c r="BH52" s="408"/>
    </row>
    <row r="53" spans="1:60" ht="11.25" customHeight="1">
      <c r="A53" s="1241"/>
      <c r="B53" s="1241"/>
      <c r="C53" s="1241"/>
      <c r="D53" s="1241"/>
      <c r="E53" s="5377"/>
      <c r="F53" s="5377"/>
      <c r="G53" s="5377"/>
      <c r="H53" s="5377"/>
      <c r="I53" s="5397"/>
      <c r="J53" s="5397"/>
      <c r="K53" s="5374"/>
      <c r="L53" s="1242"/>
      <c r="P53" s="5375"/>
      <c r="Q53" s="5375"/>
      <c r="R53" s="274"/>
      <c r="S53" s="5427"/>
      <c r="T53" s="5446"/>
      <c r="U53" s="218"/>
      <c r="V53" s="1271"/>
      <c r="W53" s="1368"/>
      <c r="X53" s="1271"/>
      <c r="Y53" s="1368"/>
      <c r="Z53" s="1271"/>
      <c r="AA53" s="1271"/>
      <c r="AB53" s="1271"/>
      <c r="AC53" s="1271"/>
      <c r="AD53" s="5297"/>
      <c r="AE53" s="5412"/>
      <c r="AF53" s="5332"/>
      <c r="AG53" s="5449"/>
      <c r="AH53" s="5225"/>
      <c r="AI53" s="5412"/>
      <c r="AJ53" s="5332"/>
      <c r="AK53" s="5448"/>
      <c r="AL53" s="5225"/>
      <c r="AM53" s="5327"/>
      <c r="AN53" s="5332"/>
      <c r="AO53" s="5442"/>
      <c r="AP53" s="5444"/>
      <c r="AQ53" s="234"/>
      <c r="AR53" s="332"/>
      <c r="AS53" s="332" t="s">
        <v>578</v>
      </c>
      <c r="AT53" s="1271"/>
      <c r="AU53" s="1368"/>
      <c r="AV53" s="1271"/>
      <c r="AW53" s="1368"/>
      <c r="AX53" s="1271"/>
      <c r="AY53" s="1271"/>
      <c r="AZ53" s="1271"/>
      <c r="BA53" s="1271"/>
      <c r="BB53" s="1275"/>
      <c r="BC53" s="5372"/>
      <c r="BE53" s="408"/>
      <c r="BF53" s="408"/>
      <c r="BG53" s="408"/>
      <c r="BH53" s="408"/>
    </row>
    <row r="54" spans="1:60" ht="11.25" customHeight="1">
      <c r="A54" s="1241" t="s">
        <v>354</v>
      </c>
      <c r="B54" s="1241"/>
      <c r="C54" s="1241"/>
      <c r="D54" s="1241"/>
      <c r="E54" s="5377"/>
      <c r="F54" s="5377"/>
      <c r="G54" s="5377"/>
      <c r="H54" s="5377"/>
      <c r="I54" s="5397"/>
      <c r="J54" s="5397"/>
      <c r="K54" s="5374"/>
      <c r="L54" s="1242"/>
      <c r="P54" s="5375"/>
      <c r="Q54" s="5375"/>
      <c r="R54" s="274"/>
      <c r="S54" s="5427"/>
      <c r="T54" s="5446"/>
      <c r="U54" s="218"/>
      <c r="V54" s="1271"/>
      <c r="W54" s="1368"/>
      <c r="X54" s="1271"/>
      <c r="Y54" s="1368"/>
      <c r="Z54" s="1271"/>
      <c r="AA54" s="1271"/>
      <c r="AB54" s="1271"/>
      <c r="AC54" s="1271"/>
      <c r="AD54" s="5297"/>
      <c r="AE54" s="5412"/>
      <c r="AF54" s="5332"/>
      <c r="AG54" s="5449"/>
      <c r="AH54" s="5225"/>
      <c r="AI54" s="5412"/>
      <c r="AJ54" s="5332"/>
      <c r="AK54" s="5448"/>
      <c r="AL54" s="5225"/>
      <c r="AM54" s="234"/>
      <c r="AN54" s="1372"/>
      <c r="AO54" s="1372" t="s">
        <v>598</v>
      </c>
      <c r="AP54" s="332"/>
      <c r="AQ54" s="332"/>
      <c r="AR54" s="332"/>
      <c r="AS54" s="1271"/>
      <c r="AT54" s="1271"/>
      <c r="AU54" s="1368"/>
      <c r="AV54" s="1271"/>
      <c r="AW54" s="1368"/>
      <c r="AX54" s="1271"/>
      <c r="AY54" s="1271"/>
      <c r="AZ54" s="1271"/>
      <c r="BA54" s="1271"/>
      <c r="BB54" s="1275"/>
      <c r="BC54" s="5372"/>
      <c r="BE54" s="408"/>
      <c r="BF54" s="408"/>
      <c r="BG54" s="408"/>
      <c r="BH54" s="408"/>
    </row>
    <row r="55" spans="1:60" ht="11.25" customHeight="1">
      <c r="A55" s="1241" t="s">
        <v>354</v>
      </c>
      <c r="B55" s="1241"/>
      <c r="C55" s="1241"/>
      <c r="D55" s="1241"/>
      <c r="E55" s="5377"/>
      <c r="F55" s="5377"/>
      <c r="G55" s="5377"/>
      <c r="H55" s="5377"/>
      <c r="I55" s="5397"/>
      <c r="J55" s="5397"/>
      <c r="K55" s="5374"/>
      <c r="L55" s="1242"/>
      <c r="P55" s="5375"/>
      <c r="Q55" s="5375"/>
      <c r="R55" s="274"/>
      <c r="S55" s="5427"/>
      <c r="T55" s="5446"/>
      <c r="U55" s="218"/>
      <c r="V55" s="1271"/>
      <c r="W55" s="1368"/>
      <c r="X55" s="1271"/>
      <c r="Y55" s="1368"/>
      <c r="Z55" s="1271"/>
      <c r="AA55" s="1271"/>
      <c r="AB55" s="1271"/>
      <c r="AC55" s="1271"/>
      <c r="AD55" s="5297"/>
      <c r="AE55" s="5412"/>
      <c r="AF55" s="5332"/>
      <c r="AG55" s="5449"/>
      <c r="AH55" s="5225"/>
      <c r="AI55" s="212"/>
      <c r="AJ55" s="331"/>
      <c r="AK55" s="231" t="s">
        <v>599</v>
      </c>
      <c r="AL55" s="1271"/>
      <c r="AM55" s="1271"/>
      <c r="AN55" s="1271"/>
      <c r="AO55" s="1271"/>
      <c r="AP55" s="1271"/>
      <c r="AQ55" s="1271"/>
      <c r="AR55" s="1271"/>
      <c r="AS55" s="1271"/>
      <c r="AT55" s="1271"/>
      <c r="AU55" s="1368"/>
      <c r="AV55" s="1271"/>
      <c r="AW55" s="1368"/>
      <c r="AX55" s="1271"/>
      <c r="AY55" s="1271"/>
      <c r="AZ55" s="1271"/>
      <c r="BA55" s="1271"/>
      <c r="BB55" s="1275"/>
      <c r="BC55" s="5372"/>
      <c r="BE55" s="408"/>
      <c r="BF55" s="408"/>
      <c r="BG55" s="408"/>
      <c r="BH55" s="408"/>
    </row>
    <row r="56" spans="1:60" ht="11.25" customHeight="1">
      <c r="A56" s="1241" t="s">
        <v>354</v>
      </c>
      <c r="B56" s="1241" t="s">
        <v>355</v>
      </c>
      <c r="C56" s="1241" t="s">
        <v>356</v>
      </c>
      <c r="D56" s="1241" t="s">
        <v>605</v>
      </c>
      <c r="E56" s="5377"/>
      <c r="F56" s="5377"/>
      <c r="G56" s="5377"/>
      <c r="H56" s="5377"/>
      <c r="I56" s="5397"/>
      <c r="J56" s="5397"/>
      <c r="K56" s="5374"/>
      <c r="L56" s="1242"/>
      <c r="P56" s="5375"/>
      <c r="Q56" s="5375"/>
      <c r="R56" s="274"/>
      <c r="S56" s="5428"/>
      <c r="T56" s="5447"/>
      <c r="U56" s="218"/>
      <c r="V56" s="1271"/>
      <c r="W56" s="1272" t="str">
        <f>Z52&amp;"-"&amp;AB52</f>
        <v>-</v>
      </c>
      <c r="X56" s="1271"/>
      <c r="Y56" s="1272" t="str">
        <f>AB52&amp;"-"&amp;AD52</f>
        <v>-да</v>
      </c>
      <c r="Z56" s="1271"/>
      <c r="AA56" s="1271"/>
      <c r="AB56" s="1271"/>
      <c r="AC56" s="1271"/>
      <c r="AD56" s="5230"/>
      <c r="AE56" s="230"/>
      <c r="AF56" s="232"/>
      <c r="AG56" s="332" t="s">
        <v>581</v>
      </c>
      <c r="AH56" s="1271"/>
      <c r="AI56" s="1271"/>
      <c r="AJ56" s="1271"/>
      <c r="AK56" s="1271"/>
      <c r="AL56" s="1271"/>
      <c r="AM56" s="1271"/>
      <c r="AN56" s="1271"/>
      <c r="AO56" s="1271"/>
      <c r="AP56" s="1271"/>
      <c r="AQ56" s="1271"/>
      <c r="AR56" s="1271"/>
      <c r="AS56" s="1271"/>
      <c r="AT56" s="1271"/>
      <c r="AU56" s="1272" t="str">
        <f>AX52&amp;"-"&amp;AZ52</f>
        <v>-</v>
      </c>
      <c r="AV56" s="1271"/>
      <c r="AW56" s="1272" t="str">
        <f>AZ52&amp;"-"&amp;BB52</f>
        <v>-</v>
      </c>
      <c r="AX56" s="1271"/>
      <c r="AY56" s="1271"/>
      <c r="AZ56" s="1271"/>
      <c r="BA56" s="1271"/>
      <c r="BB56" s="1274" t="str">
        <f>BE52&amp;"-"&amp;BG52</f>
        <v>-</v>
      </c>
      <c r="BC56" s="5372"/>
      <c r="BE56" s="408"/>
      <c r="BF56" s="408" t="str">
        <f t="shared" ref="BF56:BF63" si="4">IF(T56="","",T56)</f>
        <v/>
      </c>
      <c r="BG56" s="408"/>
      <c r="BH56" s="408"/>
    </row>
    <row r="57" spans="1:60" ht="11.25" customHeight="1">
      <c r="A57" s="1241" t="s">
        <v>354</v>
      </c>
      <c r="B57" s="1241" t="s">
        <v>355</v>
      </c>
      <c r="C57" s="1241" t="s">
        <v>356</v>
      </c>
      <c r="D57" s="1241" t="s">
        <v>605</v>
      </c>
      <c r="E57" s="5377"/>
      <c r="F57" s="5377"/>
      <c r="G57" s="5377"/>
      <c r="H57" s="5377"/>
      <c r="I57" s="5397"/>
      <c r="J57" s="5374"/>
      <c r="K57" s="1241"/>
      <c r="L57" s="1242"/>
      <c r="P57" s="5375"/>
      <c r="Q57" s="5375"/>
      <c r="R57" s="273"/>
      <c r="S57" s="1161"/>
      <c r="T57" s="205" t="s">
        <v>543</v>
      </c>
      <c r="U57" s="283"/>
      <c r="V57" s="283"/>
      <c r="W57" s="283"/>
      <c r="X57" s="283"/>
      <c r="Y57" s="283"/>
      <c r="Z57" s="283"/>
      <c r="AA57" s="283"/>
      <c r="AB57" s="283"/>
      <c r="AC57" s="242"/>
      <c r="AD57" s="1377"/>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5373"/>
      <c r="BE57" s="408"/>
      <c r="BF57" s="408" t="str">
        <f t="shared" si="4"/>
        <v>Добавить строку</v>
      </c>
      <c r="BG57" s="408"/>
      <c r="BH57" s="408"/>
    </row>
    <row r="58" spans="1:60" s="4856" customFormat="1" ht="0" hidden="1" customHeight="1">
      <c r="A58" s="1222" t="s">
        <v>354</v>
      </c>
      <c r="B58" s="1222" t="s">
        <v>355</v>
      </c>
      <c r="C58" s="1222" t="s">
        <v>356</v>
      </c>
      <c r="D58" s="1222" t="s">
        <v>605</v>
      </c>
      <c r="E58" s="5377"/>
      <c r="F58" s="5377"/>
      <c r="G58" s="5377"/>
      <c r="H58" s="5377"/>
      <c r="I58" s="5374"/>
      <c r="J58" s="1222"/>
      <c r="K58" s="1222"/>
      <c r="L58" s="1225"/>
      <c r="M58" s="418"/>
      <c r="N58" s="418"/>
      <c r="O58" s="418"/>
      <c r="P58" s="5375"/>
      <c r="Q58" s="1353"/>
      <c r="R58" s="273"/>
      <c r="S58" s="1264"/>
      <c r="T58" s="1265"/>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7"/>
      <c r="BE58" s="408"/>
      <c r="BF58" s="408" t="str">
        <f t="shared" si="4"/>
        <v/>
      </c>
      <c r="BG58" s="408"/>
      <c r="BH58" s="408"/>
    </row>
    <row r="59" spans="1:60" s="4856" customFormat="1" ht="0" hidden="1" customHeight="1">
      <c r="A59" s="1222" t="s">
        <v>354</v>
      </c>
      <c r="B59" s="1222" t="s">
        <v>355</v>
      </c>
      <c r="C59" s="1222" t="s">
        <v>356</v>
      </c>
      <c r="D59" s="1222" t="s">
        <v>605</v>
      </c>
      <c r="E59" s="5377"/>
      <c r="F59" s="5377"/>
      <c r="G59" s="5377"/>
      <c r="H59" s="5376"/>
      <c r="I59" s="1222"/>
      <c r="J59" s="1222"/>
      <c r="K59" s="1222"/>
      <c r="L59" s="1225"/>
      <c r="M59" s="1195"/>
      <c r="N59" s="1195"/>
      <c r="O59" s="426"/>
      <c r="P59" s="296"/>
      <c r="Q59" s="1223"/>
      <c r="R59" s="1279"/>
      <c r="S59" s="1264"/>
      <c r="T59" s="1265"/>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7"/>
      <c r="BE59" s="408"/>
      <c r="BF59" s="408" t="str">
        <f t="shared" si="4"/>
        <v/>
      </c>
      <c r="BG59" s="408"/>
      <c r="BH59" s="408"/>
    </row>
    <row r="60" spans="1:60" s="4853" customFormat="1" ht="0" hidden="1" customHeight="1">
      <c r="A60" s="1222" t="s">
        <v>354</v>
      </c>
      <c r="B60" s="1222" t="s">
        <v>355</v>
      </c>
      <c r="C60" s="1222" t="s">
        <v>356</v>
      </c>
      <c r="D60" s="1194"/>
      <c r="E60" s="5377"/>
      <c r="F60" s="5377"/>
      <c r="G60" s="5376"/>
      <c r="H60" s="1194"/>
      <c r="I60" s="1194"/>
      <c r="J60" s="1194"/>
      <c r="K60" s="1194"/>
      <c r="L60" s="1366"/>
      <c r="M60" s="1195"/>
      <c r="N60" s="1195"/>
      <c r="P60" s="1196"/>
      <c r="Q60" s="1197"/>
      <c r="R60" s="1196"/>
      <c r="S60" s="1202"/>
      <c r="T60" s="1205"/>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V60" s="1204"/>
      <c r="AW60" s="1204"/>
      <c r="AX60" s="1204"/>
      <c r="AY60" s="1204"/>
      <c r="AZ60" s="1204"/>
      <c r="BA60" s="1204"/>
      <c r="BB60" s="1204"/>
      <c r="BC60" s="1204"/>
      <c r="BE60" s="688"/>
      <c r="BF60" s="688" t="str">
        <f t="shared" si="4"/>
        <v/>
      </c>
      <c r="BG60" s="688"/>
      <c r="BH60" s="688"/>
    </row>
    <row r="61" spans="1:60" s="4853" customFormat="1" ht="0" hidden="1" customHeight="1">
      <c r="A61" s="1222" t="s">
        <v>354</v>
      </c>
      <c r="B61" s="1222" t="s">
        <v>355</v>
      </c>
      <c r="C61" s="1194"/>
      <c r="D61" s="1194"/>
      <c r="E61" s="5377"/>
      <c r="F61" s="5376"/>
      <c r="G61" s="1194"/>
      <c r="H61" s="1194"/>
      <c r="I61" s="1194"/>
      <c r="J61" s="1194"/>
      <c r="K61" s="1194"/>
      <c r="L61" s="1366"/>
      <c r="M61" s="1201"/>
      <c r="N61" s="1201"/>
      <c r="P61" s="1196"/>
      <c r="Q61" s="1197"/>
      <c r="R61" s="1196"/>
      <c r="S61" s="1202"/>
      <c r="T61" s="1205" t="s">
        <v>271</v>
      </c>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1204"/>
      <c r="AV61" s="1204"/>
      <c r="AW61" s="1204"/>
      <c r="AX61" s="1204"/>
      <c r="AY61" s="1204"/>
      <c r="AZ61" s="1204"/>
      <c r="BA61" s="1204"/>
      <c r="BB61" s="1204"/>
      <c r="BC61" s="1204"/>
      <c r="BE61" s="688"/>
      <c r="BF61" s="688" t="str">
        <f t="shared" si="4"/>
        <v>Добавить централизованную систему для дифференциации</v>
      </c>
      <c r="BG61" s="688"/>
      <c r="BH61" s="688"/>
    </row>
    <row r="62" spans="1:60" s="4856" customFormat="1" ht="0" hidden="1" customHeight="1">
      <c r="A62" s="1222" t="s">
        <v>354</v>
      </c>
      <c r="B62" s="1222"/>
      <c r="C62" s="1222"/>
      <c r="D62" s="1222"/>
      <c r="E62" s="5376"/>
      <c r="F62" s="1222"/>
      <c r="G62" s="1222"/>
      <c r="H62" s="1222"/>
      <c r="I62" s="1222"/>
      <c r="J62" s="1222"/>
      <c r="K62" s="1222"/>
      <c r="L62" s="1225"/>
      <c r="M62" s="1201"/>
      <c r="N62" s="1201"/>
      <c r="O62" s="426"/>
      <c r="P62" s="296"/>
      <c r="Q62" s="1223"/>
      <c r="R62" s="296"/>
      <c r="S62" s="1202"/>
      <c r="T62" s="1205" t="s">
        <v>330</v>
      </c>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V62" s="1204"/>
      <c r="AW62" s="1204"/>
      <c r="AX62" s="1204"/>
      <c r="AY62" s="1204"/>
      <c r="AZ62" s="1204"/>
      <c r="BA62" s="1204"/>
      <c r="BB62" s="1204"/>
      <c r="BC62" s="1204"/>
      <c r="BE62" s="408"/>
      <c r="BF62" s="408" t="str">
        <f t="shared" si="4"/>
        <v>Добавить территорию для дифференциации</v>
      </c>
      <c r="BG62" s="408"/>
      <c r="BH62" s="408"/>
    </row>
    <row r="63" spans="1:60" s="4853" customFormat="1" ht="0" hidden="1" customHeight="1">
      <c r="A63" s="1194"/>
      <c r="B63" s="1194"/>
      <c r="C63" s="1194"/>
      <c r="D63" s="1194"/>
      <c r="E63" s="1222"/>
      <c r="F63" s="1194"/>
      <c r="G63" s="1194"/>
      <c r="H63" s="1194"/>
      <c r="I63" s="1194"/>
      <c r="J63" s="1194"/>
      <c r="K63" s="1194"/>
      <c r="L63" s="1366"/>
      <c r="M63" s="1201"/>
      <c r="N63" s="1201"/>
      <c r="P63" s="1196"/>
      <c r="Q63" s="1197"/>
      <c r="R63" s="1196"/>
      <c r="S63" s="1202"/>
      <c r="T63" s="1205" t="s">
        <v>331</v>
      </c>
      <c r="U63" s="1204"/>
      <c r="V63" s="1204"/>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R63" s="1204"/>
      <c r="AS63" s="1204"/>
      <c r="AT63" s="1204"/>
      <c r="AU63" s="1204"/>
      <c r="AV63" s="1204"/>
      <c r="AW63" s="1204"/>
      <c r="AX63" s="1204"/>
      <c r="AY63" s="1204"/>
      <c r="AZ63" s="1204"/>
      <c r="BA63" s="1204"/>
      <c r="BB63" s="1204"/>
      <c r="BC63" s="1204"/>
      <c r="BE63" s="688"/>
      <c r="BF63" s="688" t="str">
        <f t="shared" si="4"/>
        <v>Добавить наименование тарифа</v>
      </c>
      <c r="BG63" s="688"/>
      <c r="BH63" s="688"/>
    </row>
    <row r="64" spans="1:60" ht="11.25" customHeight="1">
      <c r="M64" s="1042"/>
      <c r="N64" s="1042"/>
      <c r="O64" s="444"/>
      <c r="P64" s="1042"/>
      <c r="Q64" s="1042"/>
      <c r="R64" s="1037"/>
      <c r="S64" s="1037"/>
      <c r="BD64" s="1037"/>
      <c r="BE64" s="1037"/>
      <c r="BF64" s="1037"/>
      <c r="BG64" s="1037"/>
      <c r="BH64" s="1037"/>
    </row>
    <row r="65" spans="15:55" ht="14.25" customHeight="1">
      <c r="O65" s="444"/>
      <c r="S65" s="1136"/>
      <c r="T65" s="5396"/>
      <c r="U65" s="5396"/>
      <c r="V65" s="5396"/>
      <c r="W65" s="5396"/>
      <c r="X65" s="5396"/>
      <c r="Y65" s="5396"/>
      <c r="Z65" s="5396"/>
      <c r="AA65" s="5396"/>
      <c r="AB65" s="5396"/>
      <c r="AC65" s="5396"/>
      <c r="AD65" s="5396"/>
      <c r="AE65" s="5396"/>
      <c r="AF65" s="5396"/>
      <c r="AG65" s="5396"/>
      <c r="AH65" s="5396"/>
      <c r="AI65" s="5396"/>
      <c r="AJ65" s="5396"/>
      <c r="AK65" s="5396"/>
      <c r="AL65" s="5396"/>
      <c r="AM65" s="5396"/>
      <c r="AN65" s="5396"/>
      <c r="AO65" s="5396"/>
      <c r="AP65" s="5396"/>
      <c r="AQ65" s="5396"/>
      <c r="AR65" s="5396"/>
      <c r="AS65" s="5396"/>
      <c r="AT65" s="5396"/>
      <c r="AU65" s="5396"/>
      <c r="AV65" s="5396"/>
      <c r="AW65" s="5396"/>
      <c r="AX65" s="5396"/>
      <c r="AY65" s="5396"/>
      <c r="AZ65" s="5396"/>
      <c r="BA65" s="5396"/>
      <c r="BB65" s="5396"/>
      <c r="BC65" s="5396"/>
    </row>
    <row r="66" spans="15:55" ht="14.25" customHeight="1">
      <c r="O66" s="444"/>
      <c r="T66" s="1352"/>
      <c r="U66" s="1352"/>
      <c r="V66" s="1352"/>
      <c r="W66" s="1352"/>
      <c r="X66" s="1352"/>
      <c r="Y66" s="1352"/>
      <c r="Z66" s="1352"/>
      <c r="AA66" s="1352"/>
      <c r="AB66" s="1352"/>
      <c r="AC66" s="1352"/>
      <c r="AD66" s="1352"/>
      <c r="AE66" s="1352"/>
      <c r="AF66" s="1352"/>
      <c r="AG66" s="1352"/>
      <c r="AH66" s="1352"/>
      <c r="AI66" s="1352"/>
      <c r="AJ66" s="1352"/>
      <c r="AK66" s="1352"/>
      <c r="AL66" s="1352"/>
      <c r="AM66" s="1352"/>
      <c r="AN66" s="1352"/>
      <c r="AO66" s="1352"/>
      <c r="AP66" s="1352"/>
      <c r="AQ66" s="1352"/>
      <c r="AR66" s="1352"/>
      <c r="AS66" s="1352"/>
      <c r="AT66" s="1352"/>
      <c r="AU66" s="1352"/>
      <c r="AV66" s="1352"/>
      <c r="AW66" s="1352"/>
      <c r="AX66" s="1352"/>
      <c r="AY66" s="1352"/>
      <c r="AZ66" s="1352"/>
      <c r="BA66" s="1352"/>
      <c r="BB66" s="1352"/>
      <c r="BC66" s="1352"/>
    </row>
    <row r="67" spans="15:55" ht="14.25" customHeight="1">
      <c r="O67" s="444"/>
      <c r="S67" s="1136"/>
      <c r="T67" s="5396"/>
      <c r="U67" s="5396"/>
      <c r="V67" s="5396"/>
      <c r="W67" s="5396"/>
      <c r="X67" s="5396"/>
      <c r="Y67" s="5396"/>
      <c r="Z67" s="5396"/>
      <c r="AA67" s="5396"/>
      <c r="AB67" s="5396"/>
      <c r="AC67" s="5396"/>
      <c r="AD67" s="5396"/>
      <c r="AE67" s="5396"/>
      <c r="AF67" s="5396"/>
      <c r="AG67" s="5396"/>
      <c r="AH67" s="5396"/>
      <c r="AI67" s="5396"/>
      <c r="AJ67" s="5396"/>
      <c r="AK67" s="5396"/>
      <c r="AL67" s="5396"/>
      <c r="AM67" s="5396"/>
      <c r="AN67" s="5396"/>
      <c r="AO67" s="5396"/>
      <c r="AP67" s="5396"/>
      <c r="AQ67" s="5396"/>
      <c r="AR67" s="5396"/>
      <c r="AS67" s="5396"/>
      <c r="AT67" s="5396"/>
      <c r="AU67" s="5396"/>
      <c r="AV67" s="5396"/>
      <c r="AW67" s="5396"/>
      <c r="AX67" s="5396"/>
      <c r="AY67" s="5396"/>
      <c r="AZ67" s="5396"/>
      <c r="BA67" s="5396"/>
      <c r="BB67" s="5396"/>
      <c r="BC67" s="5396"/>
    </row>
    <row r="68" spans="15:55" ht="14.25" customHeight="1">
      <c r="O68" s="444"/>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43"/>
  <sheetViews>
    <sheetView showGridLines="0" topLeftCell="C2" zoomScale="90" workbookViewId="0">
      <selection activeCell="G34" sqref="G34"/>
    </sheetView>
  </sheetViews>
  <sheetFormatPr defaultColWidth="9.140625" defaultRowHeight="14.25" customHeight="1"/>
  <cols>
    <col min="1" max="1" width="8" style="4796" hidden="1" customWidth="1"/>
    <col min="2" max="2" width="6" style="4797" hidden="1" customWidth="1"/>
    <col min="3" max="3" width="3.7109375" style="4796" customWidth="1"/>
    <col min="4" max="4" width="3.7109375" style="4798" customWidth="1"/>
    <col min="5" max="5" width="6.28515625" style="4799" customWidth="1"/>
    <col min="6" max="6" width="2.7109375" style="4796" hidden="1" customWidth="1"/>
    <col min="7" max="7" width="46.7109375" style="4799" customWidth="1"/>
    <col min="8" max="8" width="43.140625" style="4799" customWidth="1"/>
    <col min="9" max="9" width="14.85546875" style="4799" customWidth="1"/>
    <col min="10" max="10" width="3.7109375" style="4800" customWidth="1"/>
    <col min="11" max="13" width="9.140625" style="4800" hidden="1"/>
    <col min="14" max="14" width="25.7109375" style="4801" hidden="1" customWidth="1"/>
    <col min="15" max="15" width="14.42578125" style="4800" hidden="1" customWidth="1"/>
    <col min="16" max="19" width="9.140625" style="4802" hidden="1"/>
    <col min="20" max="27" width="9.140625" style="4799" hidden="1"/>
    <col min="28" max="28" width="9.140625" style="4799"/>
  </cols>
  <sheetData>
    <row r="1" spans="1:28" s="4790" customFormat="1" ht="5.25" hidden="1" customHeight="1">
      <c r="A1" s="404"/>
      <c r="B1" s="419"/>
      <c r="C1" s="419"/>
      <c r="D1" s="143"/>
      <c r="F1" s="419"/>
      <c r="G1" s="167" t="s">
        <v>80</v>
      </c>
      <c r="H1" s="402" t="s">
        <v>81</v>
      </c>
      <c r="I1" s="149" t="s">
        <v>82</v>
      </c>
      <c r="J1" s="167" t="s">
        <v>80</v>
      </c>
      <c r="K1" s="167"/>
      <c r="L1" s="167"/>
      <c r="M1" s="167"/>
      <c r="N1" s="168"/>
      <c r="O1" s="167"/>
      <c r="P1" s="167"/>
      <c r="Q1" s="167"/>
      <c r="R1" s="167"/>
      <c r="S1" s="167"/>
      <c r="T1" s="149"/>
      <c r="U1" s="149"/>
      <c r="V1" s="149"/>
      <c r="W1" s="149"/>
      <c r="X1" s="149"/>
      <c r="Y1" s="149"/>
      <c r="Z1" s="149"/>
      <c r="AA1" s="149"/>
      <c r="AB1" s="149"/>
    </row>
    <row r="2" spans="1:28" s="4791" customFormat="1" ht="11.25" customHeight="1">
      <c r="A2" s="730"/>
      <c r="B2" s="150"/>
      <c r="C2" s="150"/>
      <c r="D2" s="151"/>
      <c r="E2" s="150"/>
      <c r="F2" s="150"/>
      <c r="G2" s="150"/>
      <c r="H2" s="150"/>
      <c r="I2" s="150"/>
      <c r="J2" s="167"/>
      <c r="K2" s="167"/>
      <c r="L2" s="167"/>
      <c r="M2" s="167"/>
      <c r="N2" s="168"/>
      <c r="O2" s="167"/>
      <c r="P2" s="152"/>
      <c r="Q2" s="152"/>
      <c r="R2" s="152"/>
      <c r="S2" s="152"/>
      <c r="T2" s="151"/>
      <c r="U2" s="151"/>
      <c r="V2" s="151"/>
      <c r="W2" s="151"/>
      <c r="X2" s="151"/>
      <c r="Y2" s="151"/>
      <c r="Z2" s="151"/>
      <c r="AA2" s="151"/>
      <c r="AB2" s="151"/>
    </row>
    <row r="3" spans="1:28" s="4792" customFormat="1" ht="3" customHeight="1">
      <c r="A3" s="657"/>
      <c r="B3" s="333"/>
      <c r="C3" s="657"/>
      <c r="D3" s="87"/>
      <c r="E3" s="37"/>
      <c r="F3" s="417"/>
      <c r="G3" s="37"/>
      <c r="H3" s="37"/>
      <c r="I3" s="89"/>
      <c r="J3" s="167"/>
      <c r="K3" s="79"/>
      <c r="L3" s="79"/>
      <c r="M3" s="79"/>
      <c r="N3" s="148"/>
      <c r="O3" s="79"/>
      <c r="P3" s="147"/>
      <c r="Q3" s="147"/>
      <c r="R3" s="147"/>
      <c r="S3" s="147"/>
    </row>
    <row r="4" spans="1:28" s="4792" customFormat="1" ht="25.5" customHeight="1">
      <c r="A4" s="657"/>
      <c r="B4" s="333"/>
      <c r="C4" s="657"/>
      <c r="D4" s="87"/>
      <c r="E4" s="5219" t="str">
        <f>NameTemplatesInListMO</f>
        <v>Перечень муниципальных районов и муниципальных образований (территорий действия тарифа)</v>
      </c>
      <c r="F4" s="5219"/>
      <c r="G4" s="5219"/>
      <c r="H4" s="5219"/>
      <c r="I4" s="5219"/>
      <c r="J4" s="167"/>
      <c r="K4" s="79"/>
      <c r="L4" s="79"/>
      <c r="M4" s="79"/>
      <c r="N4" s="148"/>
      <c r="O4" s="79"/>
      <c r="P4" s="147"/>
      <c r="Q4" s="147"/>
      <c r="R4" s="147"/>
      <c r="S4" s="147"/>
    </row>
    <row r="5" spans="1:28" s="4792" customFormat="1" ht="3" customHeight="1">
      <c r="A5" s="657"/>
      <c r="B5" s="333"/>
      <c r="C5" s="657"/>
      <c r="D5" s="87"/>
      <c r="E5" s="37"/>
      <c r="F5" s="417"/>
      <c r="G5" s="90"/>
      <c r="H5" s="90"/>
      <c r="I5" s="91"/>
      <c r="J5" s="79"/>
      <c r="K5" s="79"/>
      <c r="L5" s="79"/>
      <c r="M5" s="79"/>
      <c r="N5" s="148"/>
      <c r="O5" s="79"/>
      <c r="P5" s="147"/>
      <c r="Q5" s="147"/>
      <c r="R5" s="147"/>
      <c r="S5" s="147"/>
    </row>
    <row r="6" spans="1:28" s="4792" customFormat="1" ht="20.25" hidden="1" customHeight="1">
      <c r="A6" s="736"/>
      <c r="B6" s="732"/>
      <c r="C6" s="92"/>
      <c r="D6" s="87"/>
      <c r="E6" s="678"/>
      <c r="F6" s="678"/>
      <c r="G6" s="90"/>
      <c r="H6" s="93"/>
      <c r="I6" s="93"/>
      <c r="J6" s="79"/>
      <c r="K6" s="79"/>
      <c r="L6" s="79"/>
      <c r="M6" s="79"/>
      <c r="N6" s="148"/>
      <c r="O6" s="79"/>
      <c r="P6" s="147"/>
      <c r="Q6" s="147"/>
      <c r="R6" s="147"/>
      <c r="S6" s="147"/>
    </row>
    <row r="7" spans="1:28" ht="25.5" hidden="1" customHeight="1"/>
    <row r="8" spans="1:28" s="4792" customFormat="1" ht="14.25" customHeight="1">
      <c r="A8" s="657"/>
      <c r="B8" s="333"/>
      <c r="C8" s="657"/>
      <c r="D8" s="87"/>
      <c r="E8" s="5215" t="s">
        <v>83</v>
      </c>
      <c r="F8" s="5220"/>
      <c r="G8" s="5214"/>
      <c r="H8" s="5221" t="s">
        <v>84</v>
      </c>
      <c r="I8" s="5221"/>
      <c r="J8" s="79"/>
      <c r="K8" s="79"/>
      <c r="L8" s="79"/>
      <c r="M8" s="79"/>
      <c r="N8" s="148"/>
      <c r="O8" s="79"/>
      <c r="P8" s="147"/>
      <c r="Q8" s="147"/>
      <c r="R8" s="147"/>
      <c r="S8" s="147"/>
    </row>
    <row r="9" spans="1:28" s="4792" customFormat="1" ht="20.25" customHeight="1">
      <c r="A9" s="657"/>
      <c r="B9" s="333"/>
      <c r="C9" s="657"/>
      <c r="D9" s="87"/>
      <c r="E9" s="676" t="s">
        <v>85</v>
      </c>
      <c r="F9" s="676"/>
      <c r="G9" s="95" t="s">
        <v>86</v>
      </c>
      <c r="H9" s="95" t="s">
        <v>86</v>
      </c>
      <c r="I9" s="95" t="s">
        <v>82</v>
      </c>
      <c r="J9" s="79"/>
      <c r="K9" s="79"/>
      <c r="L9" s="79"/>
      <c r="M9" s="79"/>
      <c r="N9" s="148"/>
      <c r="O9" s="79"/>
      <c r="P9" s="147"/>
      <c r="Q9" s="147"/>
      <c r="R9" s="147"/>
      <c r="S9" s="147"/>
    </row>
    <row r="10" spans="1:28" ht="11.25" customHeight="1">
      <c r="D10" s="99"/>
      <c r="E10" s="677" t="s">
        <v>87</v>
      </c>
      <c r="F10" s="677"/>
      <c r="G10" s="145" t="s">
        <v>88</v>
      </c>
      <c r="H10" s="145" t="s">
        <v>89</v>
      </c>
      <c r="I10" s="145" t="s">
        <v>90</v>
      </c>
      <c r="J10" s="108"/>
      <c r="K10" s="108"/>
      <c r="L10" s="108"/>
      <c r="M10" s="108"/>
      <c r="N10" s="94"/>
      <c r="O10" s="108"/>
      <c r="P10" s="146"/>
      <c r="Q10" s="146"/>
      <c r="R10" s="146"/>
      <c r="S10" s="146"/>
    </row>
    <row r="11" spans="1:28" s="4792" customFormat="1" ht="0.75" customHeight="1">
      <c r="A11" s="657"/>
      <c r="B11" s="333"/>
      <c r="C11" s="657"/>
      <c r="D11" s="87"/>
      <c r="E11" s="689"/>
      <c r="F11" s="689"/>
      <c r="G11" s="96"/>
      <c r="H11" s="96"/>
      <c r="I11" s="98"/>
      <c r="J11" s="169" t="s">
        <v>91</v>
      </c>
      <c r="K11" s="79"/>
      <c r="L11" s="79"/>
      <c r="M11" s="79" t="s">
        <v>92</v>
      </c>
      <c r="N11" s="148" t="s">
        <v>93</v>
      </c>
      <c r="O11" s="79" t="s">
        <v>94</v>
      </c>
      <c r="P11" s="147"/>
      <c r="Q11" s="147"/>
      <c r="R11" s="147"/>
      <c r="S11" s="147"/>
    </row>
    <row r="12" spans="1:28" s="4793" customFormat="1" ht="14.25" customHeight="1">
      <c r="A12" s="5218">
        <v>1</v>
      </c>
      <c r="B12" s="333"/>
      <c r="C12" s="657"/>
      <c r="D12" s="681"/>
      <c r="E12" s="141">
        <f>A12</f>
        <v>1</v>
      </c>
      <c r="F12" s="701" t="s">
        <v>95</v>
      </c>
      <c r="G12" s="447" t="s">
        <v>96</v>
      </c>
      <c r="H12" s="691"/>
      <c r="I12" s="691"/>
      <c r="J12" s="688"/>
      <c r="K12" s="408"/>
      <c r="L12" s="408"/>
      <c r="M12" s="408"/>
      <c r="N12" s="148"/>
      <c r="O12" s="408"/>
      <c r="P12" s="147"/>
      <c r="Q12" s="147"/>
      <c r="R12" s="147"/>
      <c r="S12" s="147"/>
    </row>
    <row r="13" spans="1:28" s="4794" customFormat="1" ht="15" customHeight="1">
      <c r="A13" s="5218"/>
      <c r="B13" s="333">
        <v>1</v>
      </c>
      <c r="C13" s="333"/>
      <c r="D13" s="699"/>
      <c r="E13" s="679" t="str">
        <f>A12&amp;"."&amp;B13</f>
        <v>1.1</v>
      </c>
      <c r="F13" s="694" t="s">
        <v>97</v>
      </c>
      <c r="G13" s="692" t="s">
        <v>96</v>
      </c>
      <c r="H13" s="692" t="s">
        <v>96</v>
      </c>
      <c r="I13" s="690" t="s">
        <v>98</v>
      </c>
      <c r="J13" s="408" t="e">
        <f ca="1">MERGEVALUE(G13)</f>
        <v>#NAME?</v>
      </c>
      <c r="K13" s="419"/>
      <c r="L13" s="419"/>
      <c r="M13" s="408" t="str">
        <f t="array" ref="M13">IF(ISERROR(MATCH(MID(N13,1,250),MID(note_ter,1,250),0)),"n","y")</f>
        <v>n</v>
      </c>
      <c r="N13" s="419"/>
      <c r="O13" s="408" t="str">
        <f>H13&amp;"("&amp;I13&amp;")"</f>
        <v>Воскресенск(46710000)</v>
      </c>
      <c r="P13" s="333"/>
      <c r="Q13" s="333"/>
      <c r="R13" s="335"/>
      <c r="S13" s="333"/>
      <c r="T13" s="333"/>
      <c r="U13" s="333"/>
      <c r="V13" s="337"/>
      <c r="W13" s="337"/>
      <c r="X13" s="334"/>
      <c r="Y13" s="334"/>
      <c r="Z13" s="334"/>
      <c r="AA13" s="334"/>
      <c r="AB13" s="334"/>
    </row>
    <row r="14" spans="1:28" s="4794" customFormat="1" ht="15" customHeight="1">
      <c r="A14" s="5218"/>
      <c r="B14" s="333"/>
      <c r="C14" s="328"/>
      <c r="D14" s="700"/>
      <c r="E14" s="336"/>
      <c r="F14" s="100"/>
      <c r="G14" s="331" t="s">
        <v>99</v>
      </c>
      <c r="H14" s="109"/>
      <c r="I14" s="339"/>
      <c r="J14" s="419"/>
      <c r="K14" s="419"/>
      <c r="L14" s="419"/>
      <c r="M14" s="419"/>
      <c r="N14" s="408"/>
      <c r="O14" s="419"/>
      <c r="P14" s="333"/>
      <c r="Q14" s="333"/>
      <c r="R14" s="335"/>
      <c r="S14" s="333"/>
      <c r="T14" s="333"/>
      <c r="U14" s="333"/>
      <c r="V14" s="337"/>
      <c r="W14" s="337"/>
      <c r="X14" s="334"/>
      <c r="Y14" s="334"/>
      <c r="Z14" s="334"/>
      <c r="AA14" s="334"/>
      <c r="AB14" s="334"/>
    </row>
    <row r="15" spans="1:28" ht="15" customHeight="1">
      <c r="A15" s="5222" t="s">
        <v>100</v>
      </c>
      <c r="B15" s="1042"/>
      <c r="C15" s="700" t="s">
        <v>101</v>
      </c>
      <c r="D15" s="1681"/>
      <c r="E15" s="1668" t="str">
        <f>A15</f>
        <v>2</v>
      </c>
      <c r="F15" s="703" t="s">
        <v>102</v>
      </c>
      <c r="G15" s="447" t="s">
        <v>103</v>
      </c>
      <c r="H15" s="691"/>
      <c r="I15" s="691"/>
      <c r="J15" s="688"/>
      <c r="K15" s="1488"/>
      <c r="L15" s="1488"/>
      <c r="M15" s="1488"/>
      <c r="N15" s="148"/>
      <c r="O15" s="1488"/>
      <c r="P15" s="147"/>
      <c r="Q15" s="147"/>
      <c r="R15" s="147"/>
      <c r="S15" s="147"/>
      <c r="T15" s="1849"/>
      <c r="U15" s="1849"/>
      <c r="V15" s="1849"/>
      <c r="W15" s="1849"/>
      <c r="X15" s="1849"/>
      <c r="Y15" s="1849"/>
      <c r="Z15" s="1849"/>
      <c r="AA15" s="1849"/>
      <c r="AB15" s="1849"/>
    </row>
    <row r="16" spans="1:28" ht="15" customHeight="1">
      <c r="A16" s="5222"/>
      <c r="B16" s="1042">
        <v>1</v>
      </c>
      <c r="C16" s="1042"/>
      <c r="D16" s="699"/>
      <c r="E16" s="1676" t="str">
        <f>A15&amp;"."&amp;B16</f>
        <v>2.1</v>
      </c>
      <c r="F16" s="702" t="s">
        <v>104</v>
      </c>
      <c r="G16" s="692" t="s">
        <v>103</v>
      </c>
      <c r="H16" s="692" t="s">
        <v>103</v>
      </c>
      <c r="I16" s="690" t="s">
        <v>105</v>
      </c>
      <c r="J16" s="1488"/>
      <c r="K16" s="1500"/>
      <c r="L16" s="1500"/>
      <c r="M16" s="1488" t="str">
        <f t="array" ref="M16">IF(ISERROR(MATCH(MID(N16,1,250),MID(note_ter,1,250),0)),"n","y")</f>
        <v>n</v>
      </c>
      <c r="N16" s="1500"/>
      <c r="O16" s="1488" t="str">
        <f>H16&amp;"("&amp;I16&amp;")"</f>
        <v>Клин(46737000)</v>
      </c>
      <c r="P16" s="1042"/>
      <c r="Q16" s="1042"/>
      <c r="R16" s="335"/>
      <c r="S16" s="1042"/>
      <c r="T16" s="1042"/>
      <c r="U16" s="1042"/>
      <c r="V16" s="337"/>
      <c r="W16" s="337"/>
      <c r="X16" s="334"/>
      <c r="Y16" s="334"/>
      <c r="Z16" s="334"/>
      <c r="AA16" s="334"/>
      <c r="AB16" s="334"/>
    </row>
    <row r="17" spans="1:28" ht="15" customHeight="1">
      <c r="A17" s="5222"/>
      <c r="B17" s="1042"/>
      <c r="C17" s="328"/>
      <c r="D17" s="700"/>
      <c r="E17" s="336"/>
      <c r="F17" s="100"/>
      <c r="G17" s="331" t="s">
        <v>99</v>
      </c>
      <c r="H17" s="109"/>
      <c r="I17" s="339"/>
      <c r="J17" s="1500"/>
      <c r="K17" s="1500"/>
      <c r="L17" s="1500"/>
      <c r="M17" s="1500"/>
      <c r="N17" s="1488"/>
      <c r="O17" s="1500"/>
      <c r="P17" s="1042"/>
      <c r="Q17" s="1042"/>
      <c r="R17" s="335"/>
      <c r="S17" s="1042"/>
      <c r="T17" s="1042"/>
      <c r="U17" s="1042"/>
      <c r="V17" s="337"/>
      <c r="W17" s="337"/>
      <c r="X17" s="334"/>
      <c r="Y17" s="334"/>
      <c r="Z17" s="334"/>
      <c r="AA17" s="334"/>
      <c r="AB17" s="334"/>
    </row>
    <row r="18" spans="1:28" ht="15" customHeight="1">
      <c r="A18" s="5222" t="s">
        <v>87</v>
      </c>
      <c r="B18" s="1042"/>
      <c r="C18" s="700" t="s">
        <v>101</v>
      </c>
      <c r="D18" s="1681"/>
      <c r="E18" s="1668" t="str">
        <f>A18</f>
        <v>3</v>
      </c>
      <c r="F18" s="703" t="s">
        <v>106</v>
      </c>
      <c r="G18" s="447" t="s">
        <v>107</v>
      </c>
      <c r="H18" s="691"/>
      <c r="I18" s="691"/>
      <c r="J18" s="688"/>
      <c r="K18" s="1488"/>
      <c r="L18" s="1488"/>
      <c r="M18" s="1488"/>
      <c r="N18" s="148"/>
      <c r="O18" s="1488"/>
      <c r="P18" s="147"/>
      <c r="Q18" s="147"/>
      <c r="R18" s="147"/>
      <c r="S18" s="147"/>
      <c r="T18" s="1849"/>
      <c r="U18" s="1849"/>
      <c r="V18" s="1849"/>
      <c r="W18" s="1849"/>
      <c r="X18" s="1849"/>
      <c r="Y18" s="1849"/>
      <c r="Z18" s="1849"/>
      <c r="AA18" s="1849"/>
      <c r="AB18" s="1849"/>
    </row>
    <row r="19" spans="1:28" ht="15" customHeight="1">
      <c r="A19" s="5222"/>
      <c r="B19" s="1042">
        <v>1</v>
      </c>
      <c r="C19" s="1042"/>
      <c r="D19" s="699"/>
      <c r="E19" s="1676" t="str">
        <f>A18&amp;"."&amp;B19</f>
        <v>3.1</v>
      </c>
      <c r="F19" s="702" t="s">
        <v>108</v>
      </c>
      <c r="G19" s="692" t="s">
        <v>107</v>
      </c>
      <c r="H19" s="692" t="s">
        <v>107</v>
      </c>
      <c r="I19" s="690" t="s">
        <v>109</v>
      </c>
      <c r="J19" s="1488"/>
      <c r="K19" s="1500"/>
      <c r="L19" s="1500"/>
      <c r="M19" s="1488" t="str">
        <f t="array" ref="M19">IF(ISERROR(MATCH(MID(N19,1,250),MID(note_ter,1,250),0)),"n","y")</f>
        <v>n</v>
      </c>
      <c r="N19" s="1500"/>
      <c r="O19" s="1488" t="str">
        <f>H19&amp;"("&amp;I19&amp;")"</f>
        <v>Пушкинский(46758000)</v>
      </c>
      <c r="P19" s="1042"/>
      <c r="Q19" s="1042"/>
      <c r="R19" s="335"/>
      <c r="S19" s="1042"/>
      <c r="T19" s="1042"/>
      <c r="U19" s="1042"/>
      <c r="V19" s="337"/>
      <c r="W19" s="337"/>
      <c r="X19" s="334"/>
      <c r="Y19" s="334"/>
      <c r="Z19" s="334"/>
      <c r="AA19" s="334"/>
      <c r="AB19" s="334"/>
    </row>
    <row r="20" spans="1:28" ht="15" customHeight="1">
      <c r="A20" s="5222"/>
      <c r="B20" s="1042"/>
      <c r="C20" s="328"/>
      <c r="D20" s="700"/>
      <c r="E20" s="336"/>
      <c r="F20" s="100"/>
      <c r="G20" s="331" t="s">
        <v>99</v>
      </c>
      <c r="H20" s="109"/>
      <c r="I20" s="339"/>
      <c r="J20" s="1500"/>
      <c r="K20" s="1500"/>
      <c r="L20" s="1500"/>
      <c r="M20" s="1500"/>
      <c r="N20" s="1488"/>
      <c r="O20" s="1500"/>
      <c r="P20" s="1042"/>
      <c r="Q20" s="1042"/>
      <c r="R20" s="335"/>
      <c r="S20" s="1042"/>
      <c r="T20" s="1042"/>
      <c r="U20" s="1042"/>
      <c r="V20" s="337"/>
      <c r="W20" s="337"/>
      <c r="X20" s="334"/>
      <c r="Y20" s="334"/>
      <c r="Z20" s="334"/>
      <c r="AA20" s="334"/>
      <c r="AB20" s="334"/>
    </row>
    <row r="21" spans="1:28" ht="15" customHeight="1">
      <c r="A21" s="5222" t="s">
        <v>88</v>
      </c>
      <c r="B21" s="1042"/>
      <c r="C21" s="700" t="s">
        <v>101</v>
      </c>
      <c r="D21" s="1681"/>
      <c r="E21" s="1668" t="str">
        <f>A21</f>
        <v>4</v>
      </c>
      <c r="F21" s="703" t="s">
        <v>110</v>
      </c>
      <c r="G21" s="447" t="s">
        <v>111</v>
      </c>
      <c r="H21" s="691"/>
      <c r="I21" s="691"/>
      <c r="J21" s="688"/>
      <c r="K21" s="1488"/>
      <c r="L21" s="1488"/>
      <c r="M21" s="1488"/>
      <c r="N21" s="148"/>
      <c r="O21" s="1488"/>
      <c r="P21" s="147"/>
      <c r="Q21" s="147"/>
      <c r="R21" s="147"/>
      <c r="S21" s="147"/>
      <c r="T21" s="1849"/>
      <c r="U21" s="1849"/>
      <c r="V21" s="1849"/>
      <c r="W21" s="1849"/>
      <c r="X21" s="1849"/>
      <c r="Y21" s="1849"/>
      <c r="Z21" s="1849"/>
      <c r="AA21" s="1849"/>
      <c r="AB21" s="1849"/>
    </row>
    <row r="22" spans="1:28" ht="15" customHeight="1">
      <c r="A22" s="5222"/>
      <c r="B22" s="1042">
        <v>1</v>
      </c>
      <c r="C22" s="1042"/>
      <c r="D22" s="699"/>
      <c r="E22" s="1676" t="str">
        <f>A21&amp;"."&amp;B22</f>
        <v>4.1</v>
      </c>
      <c r="F22" s="702" t="s">
        <v>112</v>
      </c>
      <c r="G22" s="692" t="s">
        <v>111</v>
      </c>
      <c r="H22" s="692" t="s">
        <v>111</v>
      </c>
      <c r="I22" s="690" t="s">
        <v>113</v>
      </c>
      <c r="J22" s="1488"/>
      <c r="K22" s="1500"/>
      <c r="L22" s="1500"/>
      <c r="M22" s="1488" t="str">
        <f t="array" ref="M22">IF(ISERROR(MATCH(MID(N22,1,250),MID(note_ter,1,250),0)),"n","y")</f>
        <v>n</v>
      </c>
      <c r="N22" s="1500"/>
      <c r="O22" s="1488" t="str">
        <f>H22&amp;"("&amp;I22&amp;")"</f>
        <v>Сергиево-Посадский(46728000)</v>
      </c>
      <c r="P22" s="1042"/>
      <c r="Q22" s="1042"/>
      <c r="R22" s="335"/>
      <c r="S22" s="1042"/>
      <c r="T22" s="1042"/>
      <c r="U22" s="1042"/>
      <c r="V22" s="337"/>
      <c r="W22" s="337"/>
      <c r="X22" s="334"/>
      <c r="Y22" s="334"/>
      <c r="Z22" s="334"/>
      <c r="AA22" s="334"/>
      <c r="AB22" s="334"/>
    </row>
    <row r="23" spans="1:28" ht="15" customHeight="1">
      <c r="A23" s="5222"/>
      <c r="B23" s="1042"/>
      <c r="C23" s="328"/>
      <c r="D23" s="700"/>
      <c r="E23" s="336"/>
      <c r="F23" s="100"/>
      <c r="G23" s="331" t="s">
        <v>99</v>
      </c>
      <c r="H23" s="109"/>
      <c r="I23" s="339"/>
      <c r="J23" s="1500"/>
      <c r="K23" s="1500"/>
      <c r="L23" s="1500"/>
      <c r="M23" s="1500"/>
      <c r="N23" s="1488"/>
      <c r="O23" s="1500"/>
      <c r="P23" s="1042"/>
      <c r="Q23" s="1042"/>
      <c r="R23" s="335"/>
      <c r="S23" s="1042"/>
      <c r="T23" s="1042"/>
      <c r="U23" s="1042"/>
      <c r="V23" s="337"/>
      <c r="W23" s="337"/>
      <c r="X23" s="334"/>
      <c r="Y23" s="334"/>
      <c r="Z23" s="334"/>
      <c r="AA23" s="334"/>
      <c r="AB23" s="334"/>
    </row>
    <row r="24" spans="1:28" ht="15" customHeight="1">
      <c r="A24" s="5222" t="s">
        <v>114</v>
      </c>
      <c r="B24" s="1042"/>
      <c r="C24" s="700" t="s">
        <v>101</v>
      </c>
      <c r="D24" s="1681"/>
      <c r="E24" s="1668" t="str">
        <f>A24</f>
        <v>5</v>
      </c>
      <c r="F24" s="703" t="s">
        <v>115</v>
      </c>
      <c r="G24" s="447" t="s">
        <v>116</v>
      </c>
      <c r="H24" s="691"/>
      <c r="I24" s="691"/>
      <c r="J24" s="688"/>
      <c r="K24" s="1488"/>
      <c r="L24" s="1488"/>
      <c r="M24" s="1488"/>
      <c r="N24" s="148"/>
      <c r="O24" s="1488"/>
      <c r="P24" s="147"/>
      <c r="Q24" s="147"/>
      <c r="R24" s="147"/>
      <c r="S24" s="147"/>
      <c r="T24" s="1849"/>
      <c r="U24" s="1849"/>
      <c r="V24" s="1849"/>
      <c r="W24" s="1849"/>
      <c r="X24" s="1849"/>
      <c r="Y24" s="1849"/>
      <c r="Z24" s="1849"/>
      <c r="AA24" s="1849"/>
      <c r="AB24" s="1849"/>
    </row>
    <row r="25" spans="1:28" ht="15" customHeight="1">
      <c r="A25" s="5222"/>
      <c r="B25" s="1042">
        <v>1</v>
      </c>
      <c r="C25" s="1042"/>
      <c r="D25" s="699"/>
      <c r="E25" s="1676" t="str">
        <f>A24&amp;"."&amp;B25</f>
        <v>5.1</v>
      </c>
      <c r="F25" s="702" t="s">
        <v>117</v>
      </c>
      <c r="G25" s="692" t="s">
        <v>116</v>
      </c>
      <c r="H25" s="692" t="s">
        <v>116</v>
      </c>
      <c r="I25" s="690" t="s">
        <v>118</v>
      </c>
      <c r="J25" s="1488"/>
      <c r="K25" s="1500"/>
      <c r="L25" s="1500"/>
      <c r="M25" s="1488" t="str">
        <f t="array" ref="M25">IF(ISERROR(MATCH(MID(N25,1,250),MID(note_ter,1,250),0)),"n","y")</f>
        <v>n</v>
      </c>
      <c r="N25" s="1500"/>
      <c r="O25" s="1488" t="str">
        <f>H25&amp;"("&amp;I25&amp;")"</f>
        <v>городской округ Серпухов(46770000)</v>
      </c>
      <c r="P25" s="1042"/>
      <c r="Q25" s="1042"/>
      <c r="R25" s="335"/>
      <c r="S25" s="1042"/>
      <c r="T25" s="1042"/>
      <c r="U25" s="1042"/>
      <c r="V25" s="337"/>
      <c r="W25" s="337"/>
      <c r="X25" s="334"/>
      <c r="Y25" s="334"/>
      <c r="Z25" s="334"/>
      <c r="AA25" s="334"/>
      <c r="AB25" s="334"/>
    </row>
    <row r="26" spans="1:28" ht="15" customHeight="1">
      <c r="A26" s="5222"/>
      <c r="B26" s="1042"/>
      <c r="C26" s="328"/>
      <c r="D26" s="700"/>
      <c r="E26" s="336"/>
      <c r="F26" s="100"/>
      <c r="G26" s="331" t="s">
        <v>99</v>
      </c>
      <c r="H26" s="109"/>
      <c r="I26" s="339"/>
      <c r="J26" s="1500"/>
      <c r="K26" s="1500"/>
      <c r="L26" s="1500"/>
      <c r="M26" s="1500"/>
      <c r="N26" s="1488"/>
      <c r="O26" s="1500"/>
      <c r="P26" s="1042"/>
      <c r="Q26" s="1042"/>
      <c r="R26" s="335"/>
      <c r="S26" s="1042"/>
      <c r="T26" s="1042"/>
      <c r="U26" s="1042"/>
      <c r="V26" s="337"/>
      <c r="W26" s="337"/>
      <c r="X26" s="334"/>
      <c r="Y26" s="334"/>
      <c r="Z26" s="334"/>
      <c r="AA26" s="334"/>
      <c r="AB26" s="334"/>
    </row>
    <row r="27" spans="1:28" ht="15" customHeight="1">
      <c r="A27" s="5222" t="s">
        <v>89</v>
      </c>
      <c r="B27" s="1042"/>
      <c r="C27" s="700" t="s">
        <v>101</v>
      </c>
      <c r="D27" s="1681"/>
      <c r="E27" s="1668" t="str">
        <f>A27</f>
        <v>6</v>
      </c>
      <c r="F27" s="703" t="s">
        <v>119</v>
      </c>
      <c r="G27" s="447" t="s">
        <v>120</v>
      </c>
      <c r="H27" s="691"/>
      <c r="I27" s="691"/>
      <c r="J27" s="688"/>
      <c r="K27" s="1488"/>
      <c r="L27" s="1488"/>
      <c r="M27" s="1488"/>
      <c r="N27" s="148"/>
      <c r="O27" s="1488"/>
      <c r="P27" s="147"/>
      <c r="Q27" s="147"/>
      <c r="R27" s="147"/>
      <c r="S27" s="147"/>
      <c r="T27" s="1849"/>
      <c r="U27" s="1849"/>
      <c r="V27" s="1849"/>
      <c r="W27" s="1849"/>
      <c r="X27" s="1849"/>
      <c r="Y27" s="1849"/>
      <c r="Z27" s="1849"/>
      <c r="AA27" s="1849"/>
      <c r="AB27" s="1849"/>
    </row>
    <row r="28" spans="1:28" ht="15" customHeight="1">
      <c r="A28" s="5222"/>
      <c r="B28" s="1042">
        <v>1</v>
      </c>
      <c r="C28" s="1042"/>
      <c r="D28" s="699"/>
      <c r="E28" s="1676" t="str">
        <f>A27&amp;"."&amp;B28</f>
        <v>6.1</v>
      </c>
      <c r="F28" s="702" t="s">
        <v>121</v>
      </c>
      <c r="G28" s="692" t="s">
        <v>120</v>
      </c>
      <c r="H28" s="692" t="s">
        <v>120</v>
      </c>
      <c r="I28" s="690" t="s">
        <v>122</v>
      </c>
      <c r="J28" s="1488"/>
      <c r="K28" s="1500"/>
      <c r="L28" s="1500"/>
      <c r="M28" s="1488" t="str">
        <f t="array" ref="M28">IF(ISERROR(MATCH(MID(N28,1,250),MID(note_ter,1,250),0)),"n","y")</f>
        <v>n</v>
      </c>
      <c r="N28" s="1500"/>
      <c r="O28" s="1488" t="str">
        <f>H28&amp;"("&amp;I28&amp;")"</f>
        <v>Солнечногорск(46771000)</v>
      </c>
      <c r="P28" s="1042"/>
      <c r="Q28" s="1042"/>
      <c r="R28" s="335"/>
      <c r="S28" s="1042"/>
      <c r="T28" s="1042"/>
      <c r="U28" s="1042"/>
      <c r="V28" s="337"/>
      <c r="W28" s="337"/>
      <c r="X28" s="334"/>
      <c r="Y28" s="334"/>
      <c r="Z28" s="334"/>
      <c r="AA28" s="334"/>
      <c r="AB28" s="334"/>
    </row>
    <row r="29" spans="1:28" ht="15" customHeight="1">
      <c r="A29" s="5222"/>
      <c r="B29" s="1042"/>
      <c r="C29" s="328"/>
      <c r="D29" s="700"/>
      <c r="E29" s="336"/>
      <c r="F29" s="100"/>
      <c r="G29" s="331" t="s">
        <v>99</v>
      </c>
      <c r="H29" s="109"/>
      <c r="I29" s="339"/>
      <c r="J29" s="1500"/>
      <c r="K29" s="1500"/>
      <c r="L29" s="1500"/>
      <c r="M29" s="1500"/>
      <c r="N29" s="1488"/>
      <c r="O29" s="1500"/>
      <c r="P29" s="1042"/>
      <c r="Q29" s="1042"/>
      <c r="R29" s="335"/>
      <c r="S29" s="1042"/>
      <c r="T29" s="1042"/>
      <c r="U29" s="1042"/>
      <c r="V29" s="337"/>
      <c r="W29" s="337"/>
      <c r="X29" s="334"/>
      <c r="Y29" s="334"/>
      <c r="Z29" s="334"/>
      <c r="AA29" s="334"/>
      <c r="AB29" s="334"/>
    </row>
    <row r="30" spans="1:28" s="4792" customFormat="1" ht="14.25" customHeight="1">
      <c r="A30" s="657"/>
      <c r="B30" s="333"/>
      <c r="C30" s="657"/>
      <c r="D30" s="681"/>
      <c r="E30" s="693"/>
      <c r="F30" s="101"/>
      <c r="G30" s="332" t="s">
        <v>123</v>
      </c>
      <c r="H30" s="101"/>
      <c r="I30" s="102"/>
      <c r="J30" s="169"/>
      <c r="K30" s="79"/>
      <c r="L30" s="79"/>
      <c r="M30" s="79"/>
      <c r="N30" s="148" t="s">
        <v>124</v>
      </c>
      <c r="O30" s="79"/>
      <c r="P30" s="147"/>
      <c r="Q30" s="147"/>
      <c r="R30" s="147"/>
      <c r="S30" s="147"/>
    </row>
    <row r="31" spans="1:28" s="4792" customFormat="1" ht="21" customHeight="1">
      <c r="A31" s="657"/>
      <c r="B31" s="333"/>
      <c r="C31" s="657"/>
      <c r="D31" s="88"/>
      <c r="E31" s="103"/>
      <c r="F31" s="103"/>
      <c r="G31" s="103"/>
      <c r="H31" s="103"/>
      <c r="I31" s="103"/>
      <c r="J31" s="79"/>
      <c r="K31" s="79"/>
      <c r="L31" s="79"/>
      <c r="M31" s="79"/>
      <c r="N31" s="148"/>
      <c r="O31" s="79"/>
      <c r="P31" s="147"/>
      <c r="Q31" s="147"/>
      <c r="R31" s="147"/>
      <c r="S31" s="147"/>
    </row>
    <row r="32" spans="1:28" s="4792" customFormat="1" ht="14.25" customHeight="1">
      <c r="A32" s="657"/>
      <c r="B32" s="333"/>
      <c r="C32" s="657"/>
      <c r="D32" s="88"/>
      <c r="E32" s="19"/>
      <c r="F32" s="657"/>
      <c r="G32" s="19"/>
      <c r="H32" s="19"/>
      <c r="I32" s="19"/>
      <c r="J32" s="79"/>
      <c r="K32" s="79"/>
      <c r="L32" s="79"/>
      <c r="M32" s="79"/>
      <c r="N32" s="148"/>
      <c r="O32" s="79"/>
      <c r="P32" s="147"/>
      <c r="Q32" s="147"/>
      <c r="R32" s="147"/>
      <c r="S32" s="147"/>
    </row>
    <row r="33" spans="1:19" s="4792" customFormat="1" ht="0.75" customHeight="1">
      <c r="A33" s="657"/>
      <c r="B33" s="333"/>
      <c r="C33" s="657"/>
      <c r="D33" s="88"/>
      <c r="E33" s="19"/>
      <c r="F33" s="657"/>
      <c r="G33" s="19"/>
      <c r="H33" s="19"/>
      <c r="I33" s="19"/>
      <c r="J33" s="79"/>
      <c r="K33" s="79"/>
      <c r="L33" s="79"/>
      <c r="M33" s="79"/>
      <c r="N33" s="148"/>
      <c r="O33" s="79"/>
      <c r="P33" s="147"/>
      <c r="Q33" s="147"/>
      <c r="R33" s="147"/>
      <c r="S33" s="147"/>
    </row>
    <row r="34" spans="1:19" s="4795" customFormat="1" ht="10.5" customHeight="1">
      <c r="B34" s="733"/>
      <c r="D34" s="105"/>
      <c r="J34" s="79"/>
      <c r="K34" s="79"/>
      <c r="L34" s="79"/>
      <c r="M34" s="79"/>
      <c r="N34" s="148"/>
      <c r="O34" s="79"/>
      <c r="P34" s="147"/>
      <c r="Q34" s="147"/>
      <c r="R34" s="147"/>
      <c r="S34" s="147"/>
    </row>
    <row r="35" spans="1:19" s="4795" customFormat="1" ht="10.5" customHeight="1">
      <c r="B35" s="733"/>
      <c r="D35" s="105"/>
      <c r="J35" s="79"/>
      <c r="K35" s="79"/>
      <c r="L35" s="79"/>
      <c r="M35" s="79"/>
      <c r="N35" s="148"/>
      <c r="O35" s="79"/>
      <c r="P35" s="147"/>
      <c r="Q35" s="147"/>
      <c r="R35" s="147"/>
      <c r="S35" s="147"/>
    </row>
    <row r="39" spans="1:19" ht="14.25" customHeight="1">
      <c r="H39" s="3"/>
    </row>
    <row r="43" spans="1:19" ht="14.25" customHeight="1">
      <c r="J43" s="19"/>
      <c r="K43" s="19"/>
      <c r="L43" s="19"/>
    </row>
  </sheetData>
  <sheetProtection formatColumns="0" formatRows="0" insertRows="0" deleteColumns="0" deleteRows="0" sort="0" autoFilter="0"/>
  <mergeCells count="9">
    <mergeCell ref="A18:A20"/>
    <mergeCell ref="A21:A23"/>
    <mergeCell ref="A24:A26"/>
    <mergeCell ref="A27:A29"/>
    <mergeCell ref="A12:A14"/>
    <mergeCell ref="E4:I4"/>
    <mergeCell ref="E8:G8"/>
    <mergeCell ref="H8:I8"/>
    <mergeCell ref="A15:A17"/>
  </mergeCells>
  <dataValidations count="6">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288"/>
  <sheetViews>
    <sheetView showGridLines="0" tabSelected="1" topLeftCell="P23" zoomScale="75" workbookViewId="0">
      <selection activeCell="AG45" sqref="AG45:BC45"/>
    </sheetView>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4.140625" style="4854" hidden="1" customWidth="1"/>
    <col min="10" max="10" width="9.85546875" style="4854" hidden="1" customWidth="1"/>
    <col min="11" max="11" width="14.7109375" style="4854" hidden="1" customWidth="1"/>
    <col min="12" max="12" width="19.140625" style="4880" hidden="1" customWidth="1"/>
    <col min="13" max="14" width="12.28515625" style="4858" hidden="1" customWidth="1"/>
    <col min="15" max="15" width="23.42578125" style="4858" hidden="1" customWidth="1"/>
    <col min="16" max="16" width="3.7109375" style="4881" customWidth="1"/>
    <col min="17" max="18" width="3.7109375" style="4860" customWidth="1"/>
    <col min="19" max="19" width="12.7109375" style="4861" customWidth="1"/>
    <col min="20" max="20" width="35.7109375" style="4862" customWidth="1"/>
    <col min="21" max="21" width="0.140625" style="4862" customWidth="1"/>
    <col min="22" max="22" width="19.7109375" style="4862" hidden="1" customWidth="1"/>
    <col min="23" max="28" width="19.7109375" style="4868" hidden="1" customWidth="1"/>
    <col min="29" max="29" width="11.7109375" style="4862" hidden="1" customWidth="1"/>
    <col min="30" max="30" width="3.7109375" style="4862" hidden="1" customWidth="1"/>
    <col min="31" max="31" width="11.7109375" style="4862" hidden="1" customWidth="1"/>
    <col min="32" max="32" width="8.5703125" style="4862" hidden="1" customWidth="1"/>
    <col min="33" max="33" width="19.7109375" style="4862" customWidth="1"/>
    <col min="34" max="38" width="19.7109375" style="4868" customWidth="1"/>
    <col min="39" max="39" width="19.7109375" style="4862" customWidth="1"/>
    <col min="40" max="40" width="11.7109375" style="4862" customWidth="1"/>
    <col min="41" max="41" width="3.7109375" style="4862" customWidth="1"/>
    <col min="42" max="42" width="11.7109375" style="4862" customWidth="1"/>
    <col min="43" max="43" width="8.5703125" style="4862" customWidth="1"/>
    <col min="54" max="54" width="10.5703125" style="5112" hidden="1"/>
    <col min="55" max="55" width="4.7109375" style="4862" customWidth="1"/>
    <col min="56" max="56" width="115.7109375" style="4862" customWidth="1"/>
    <col min="57" max="58" width="10.5703125" style="4856"/>
    <col min="59" max="59" width="11.140625" style="4856" customWidth="1"/>
    <col min="60" max="61" width="10.5703125" style="4856"/>
  </cols>
  <sheetData>
    <row r="1" spans="1:61" ht="14.25" hidden="1" customHeight="1">
      <c r="AC1" s="245"/>
      <c r="AN1" s="245"/>
      <c r="AR1" s="1892"/>
      <c r="AS1" s="1892"/>
      <c r="AT1" s="1892"/>
      <c r="AU1" s="1892"/>
      <c r="AV1" s="1892"/>
      <c r="AW1" s="1892"/>
      <c r="AX1" s="1892"/>
      <c r="AY1" s="1892"/>
      <c r="AZ1" s="1892"/>
      <c r="BA1" s="1892"/>
      <c r="BB1" s="1892"/>
    </row>
    <row r="2" spans="1:61" ht="23.25" hidden="1" customHeight="1">
      <c r="A2" s="1241"/>
      <c r="B2" s="1241"/>
      <c r="C2" s="1241"/>
      <c r="D2" s="1241"/>
      <c r="E2" s="5376">
        <v>1</v>
      </c>
      <c r="F2" s="1241"/>
      <c r="G2" s="1241"/>
      <c r="H2" s="1241"/>
      <c r="I2" s="1241"/>
      <c r="J2" s="1241"/>
      <c r="K2" s="1241"/>
      <c r="L2" s="1242"/>
      <c r="M2" s="1243"/>
      <c r="N2" s="1243"/>
      <c r="O2" s="1243"/>
      <c r="P2" s="278"/>
      <c r="Q2" s="277"/>
      <c r="R2" s="272"/>
      <c r="S2" s="1365" t="e">
        <f>INDEX(PT_DIFFERENTIATION_NUM_NTAR,MATCH(A2,PT_DIFFERENTIATION_NTAR_ID,0))</f>
        <v>#N/A</v>
      </c>
      <c r="T2" s="216" t="s">
        <v>141</v>
      </c>
      <c r="U2" s="218"/>
      <c r="V2" s="5362"/>
      <c r="W2" s="5363"/>
      <c r="X2" s="5363"/>
      <c r="Y2" s="5363"/>
      <c r="Z2" s="5363"/>
      <c r="AA2" s="5363"/>
      <c r="AB2" s="5363"/>
      <c r="AC2" s="5363"/>
      <c r="AD2" s="5363"/>
      <c r="AE2" s="5363"/>
      <c r="AF2" s="5364"/>
      <c r="AG2" s="5362" t="e">
        <f>INDEX(PT_DIFFERENTIATION_NTAR,MATCH(A2,PT_DIFFERENTIATION_NTAR_ID,0))</f>
        <v>#N/A</v>
      </c>
      <c r="AH2" s="5363"/>
      <c r="AI2" s="5363"/>
      <c r="AJ2" s="5363"/>
      <c r="AK2" s="5363"/>
      <c r="AL2" s="5363"/>
      <c r="AM2" s="5363"/>
      <c r="AN2" s="5363"/>
      <c r="AO2" s="5363"/>
      <c r="AP2" s="5363"/>
      <c r="AQ2" s="5363"/>
      <c r="AR2" s="5362"/>
      <c r="AS2" s="5363"/>
      <c r="AT2" s="5363"/>
      <c r="AU2" s="5363"/>
      <c r="AV2" s="5363"/>
      <c r="AW2" s="5363"/>
      <c r="AX2" s="5363"/>
      <c r="AY2" s="5363"/>
      <c r="AZ2" s="5363"/>
      <c r="BA2" s="5363"/>
      <c r="BB2" s="5364"/>
      <c r="BC2" s="5364"/>
      <c r="BD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F2" s="408"/>
      <c r="BG2" s="408" t="str">
        <f t="shared" ref="BG2:BG13" si="0">IF(T2="","",T2)</f>
        <v>Наименование тарифа</v>
      </c>
      <c r="BH2" s="408"/>
      <c r="BI2" s="408"/>
    </row>
    <row r="3" spans="1:61" ht="23.25" hidden="1" customHeight="1">
      <c r="A3" s="1241"/>
      <c r="B3" s="1241"/>
      <c r="C3" s="1241"/>
      <c r="D3" s="1241"/>
      <c r="E3" s="5377"/>
      <c r="F3" s="5376">
        <v>1</v>
      </c>
      <c r="G3" s="1241"/>
      <c r="H3" s="1241"/>
      <c r="I3" s="1241"/>
      <c r="J3" s="1241"/>
      <c r="K3" s="1241"/>
      <c r="L3" s="1242"/>
      <c r="M3" s="1243"/>
      <c r="N3" s="1243"/>
      <c r="O3" s="1243"/>
      <c r="P3" s="1359"/>
      <c r="Q3" s="269"/>
      <c r="R3" s="270"/>
      <c r="S3" s="1365" t="e">
        <f>INDEX(PT_DIFFERENTIATION_NUM_TER,MATCH(B3,PT_DIFFERENTIATION_TER_ID,0))</f>
        <v>#N/A</v>
      </c>
      <c r="T3" s="226" t="s">
        <v>475</v>
      </c>
      <c r="U3" s="218"/>
      <c r="V3" s="5362"/>
      <c r="W3" s="5363"/>
      <c r="X3" s="5363"/>
      <c r="Y3" s="5363"/>
      <c r="Z3" s="5363"/>
      <c r="AA3" s="5363"/>
      <c r="AB3" s="5363"/>
      <c r="AC3" s="5363"/>
      <c r="AD3" s="5363"/>
      <c r="AE3" s="5363"/>
      <c r="AF3" s="5364"/>
      <c r="AG3" s="5362" t="e">
        <f>INDEX(PT_DIFFERENTIATION_TER,MATCH(B3,PT_DIFFERENTIATION_TER_ID,0))</f>
        <v>#N/A</v>
      </c>
      <c r="AH3" s="5363"/>
      <c r="AI3" s="5363"/>
      <c r="AJ3" s="5363"/>
      <c r="AK3" s="5363"/>
      <c r="AL3" s="5363"/>
      <c r="AM3" s="5363"/>
      <c r="AN3" s="5363"/>
      <c r="AO3" s="5363"/>
      <c r="AP3" s="5363"/>
      <c r="AQ3" s="5363"/>
      <c r="AR3" s="5362"/>
      <c r="AS3" s="5363"/>
      <c r="AT3" s="5363"/>
      <c r="AU3" s="5363"/>
      <c r="AV3" s="5363"/>
      <c r="AW3" s="5363"/>
      <c r="AX3" s="5363"/>
      <c r="AY3" s="5363"/>
      <c r="AZ3" s="5363"/>
      <c r="BA3" s="5363"/>
      <c r="BB3" s="5364"/>
      <c r="BC3" s="5364"/>
      <c r="BD3" s="1141" t="s">
        <v>476</v>
      </c>
      <c r="BF3" s="408"/>
      <c r="BG3" s="408" t="str">
        <f t="shared" si="0"/>
        <v>Территория действия тарифа</v>
      </c>
      <c r="BH3" s="408"/>
      <c r="BI3" s="408"/>
    </row>
    <row r="4" spans="1:61" ht="23.25" hidden="1" customHeight="1">
      <c r="A4" s="1241"/>
      <c r="B4" s="1241"/>
      <c r="C4" s="1241"/>
      <c r="D4" s="1241"/>
      <c r="E4" s="5377"/>
      <c r="F4" s="5377"/>
      <c r="G4" s="5376">
        <v>1</v>
      </c>
      <c r="H4" s="1241"/>
      <c r="I4" s="1241"/>
      <c r="J4" s="1241"/>
      <c r="K4" s="1241"/>
      <c r="L4" s="1242"/>
      <c r="M4" s="1243"/>
      <c r="N4" s="1243"/>
      <c r="O4" s="1243"/>
      <c r="P4" s="271"/>
      <c r="Q4" s="269"/>
      <c r="R4" s="270"/>
      <c r="S4" s="1365" t="e">
        <f>INDEX(PT_DIFFERENTIATION_NUM_CS,MATCH(C4,PT_DIFFERENTIATION_CS_ID,0))</f>
        <v>#N/A</v>
      </c>
      <c r="T4" s="227" t="s">
        <v>606</v>
      </c>
      <c r="U4" s="218"/>
      <c r="V4" s="5362"/>
      <c r="W4" s="5363"/>
      <c r="X4" s="5363"/>
      <c r="Y4" s="5363"/>
      <c r="Z4" s="5363"/>
      <c r="AA4" s="5363"/>
      <c r="AB4" s="5363"/>
      <c r="AC4" s="5363"/>
      <c r="AD4" s="5363"/>
      <c r="AE4" s="5363"/>
      <c r="AF4" s="5364"/>
      <c r="AG4" s="5362" t="e">
        <f>INDEX(PT_DIFFERENTIATION_CS,MATCH(C4,PT_DIFFERENTIATION_CS_ID,0))</f>
        <v>#N/A</v>
      </c>
      <c r="AH4" s="5363"/>
      <c r="AI4" s="5363"/>
      <c r="AJ4" s="5363"/>
      <c r="AK4" s="5363"/>
      <c r="AL4" s="5363"/>
      <c r="AM4" s="5363"/>
      <c r="AN4" s="5363"/>
      <c r="AO4" s="5363"/>
      <c r="AP4" s="5363"/>
      <c r="AQ4" s="5363"/>
      <c r="AR4" s="5362"/>
      <c r="AS4" s="5363"/>
      <c r="AT4" s="5363"/>
      <c r="AU4" s="5363"/>
      <c r="AV4" s="5363"/>
      <c r="AW4" s="5363"/>
      <c r="AX4" s="5363"/>
      <c r="AY4" s="5363"/>
      <c r="AZ4" s="5363"/>
      <c r="BA4" s="5363"/>
      <c r="BB4" s="5364"/>
      <c r="BC4" s="5364"/>
      <c r="BD4" s="1141" t="s">
        <v>607</v>
      </c>
      <c r="BF4" s="408"/>
      <c r="BG4" s="408" t="str">
        <f t="shared" si="0"/>
        <v>Наименование централизованной системы горячего водоснабжения</v>
      </c>
      <c r="BH4" s="408"/>
      <c r="BI4" s="408"/>
    </row>
    <row r="5" spans="1:61" ht="23.25" hidden="1" customHeight="1">
      <c r="A5" s="1241"/>
      <c r="B5" s="1241"/>
      <c r="C5" s="1241"/>
      <c r="D5" s="1241"/>
      <c r="E5" s="5377"/>
      <c r="F5" s="5377"/>
      <c r="G5" s="5377"/>
      <c r="H5" s="5377"/>
      <c r="I5" s="5374" t="e">
        <f>S4&amp;".1"</f>
        <v>#N/A</v>
      </c>
      <c r="J5" s="1241"/>
      <c r="K5" s="1241"/>
      <c r="L5" s="1242"/>
      <c r="P5" s="5375">
        <v>1</v>
      </c>
      <c r="Q5" s="1353"/>
      <c r="R5" s="273"/>
      <c r="S5" s="1365" t="e">
        <f>$I5</f>
        <v>#N/A</v>
      </c>
      <c r="T5" s="203" t="s">
        <v>559</v>
      </c>
      <c r="U5" s="218"/>
      <c r="V5" s="5435"/>
      <c r="W5" s="5436"/>
      <c r="X5" s="5436"/>
      <c r="Y5" s="5436"/>
      <c r="Z5" s="5436"/>
      <c r="AA5" s="5436"/>
      <c r="AB5" s="5436"/>
      <c r="AC5" s="5436"/>
      <c r="AD5" s="5436"/>
      <c r="AE5" s="5436"/>
      <c r="AF5" s="5437"/>
      <c r="AG5" s="5438"/>
      <c r="AH5" s="5439"/>
      <c r="AI5" s="5439"/>
      <c r="AJ5" s="5439"/>
      <c r="AK5" s="5439"/>
      <c r="AL5" s="5439"/>
      <c r="AM5" s="5439"/>
      <c r="AN5" s="5439"/>
      <c r="AO5" s="5439"/>
      <c r="AP5" s="5439"/>
      <c r="AQ5" s="5439"/>
      <c r="AR5" s="5435"/>
      <c r="AS5" s="5436"/>
      <c r="AT5" s="5436"/>
      <c r="AU5" s="5436"/>
      <c r="AV5" s="5436"/>
      <c r="AW5" s="5436"/>
      <c r="AX5" s="5436"/>
      <c r="AY5" s="5436"/>
      <c r="AZ5" s="5436"/>
      <c r="BA5" s="5436"/>
      <c r="BB5" s="5437"/>
      <c r="BC5" s="5440"/>
      <c r="BD5" s="1141" t="s">
        <v>560</v>
      </c>
      <c r="BF5" s="408"/>
      <c r="BG5" s="408" t="str">
        <f t="shared" si="0"/>
        <v>Наименование признака дифференциации</v>
      </c>
      <c r="BH5" s="408"/>
      <c r="BI5" s="408"/>
    </row>
    <row r="6" spans="1:61" ht="23.25" hidden="1" customHeight="1">
      <c r="A6" s="1241"/>
      <c r="B6" s="1241"/>
      <c r="C6" s="1241"/>
      <c r="D6" s="1241"/>
      <c r="E6" s="5377"/>
      <c r="F6" s="5377"/>
      <c r="G6" s="5377"/>
      <c r="H6" s="5377"/>
      <c r="I6" s="5397"/>
      <c r="J6" s="5374" t="e">
        <f>I5&amp;".1"</f>
        <v>#N/A</v>
      </c>
      <c r="K6" s="1241"/>
      <c r="L6" s="1242" t="s">
        <v>484</v>
      </c>
      <c r="P6" s="5375"/>
      <c r="Q6" s="5375">
        <v>1</v>
      </c>
      <c r="R6" s="274"/>
      <c r="S6" s="1365" t="e">
        <f>$J6</f>
        <v>#N/A</v>
      </c>
      <c r="T6" s="204" t="s">
        <v>485</v>
      </c>
      <c r="U6" s="218"/>
      <c r="V6" s="5365"/>
      <c r="W6" s="5366"/>
      <c r="X6" s="5366"/>
      <c r="Y6" s="5366"/>
      <c r="Z6" s="5366"/>
      <c r="AA6" s="5366"/>
      <c r="AB6" s="5366"/>
      <c r="AC6" s="5366"/>
      <c r="AD6" s="5366"/>
      <c r="AE6" s="5366"/>
      <c r="AF6" s="5367"/>
      <c r="AG6" s="5365"/>
      <c r="AH6" s="5366"/>
      <c r="AI6" s="5366"/>
      <c r="AJ6" s="5366"/>
      <c r="AK6" s="5366"/>
      <c r="AL6" s="5366"/>
      <c r="AM6" s="5366"/>
      <c r="AN6" s="5366"/>
      <c r="AO6" s="5366"/>
      <c r="AP6" s="5366"/>
      <c r="AQ6" s="5366"/>
      <c r="AR6" s="5365"/>
      <c r="AS6" s="5366"/>
      <c r="AT6" s="5366"/>
      <c r="AU6" s="5366"/>
      <c r="AV6" s="5366"/>
      <c r="AW6" s="5366"/>
      <c r="AX6" s="5366"/>
      <c r="AY6" s="5366"/>
      <c r="AZ6" s="5366"/>
      <c r="BA6" s="5366"/>
      <c r="BB6" s="5367"/>
      <c r="BC6" s="5367"/>
      <c r="BD6" s="1188" t="s">
        <v>561</v>
      </c>
      <c r="BF6" s="408"/>
      <c r="BG6" s="408" t="str">
        <f t="shared" si="0"/>
        <v>Группа потребителей</v>
      </c>
      <c r="BH6" s="408"/>
      <c r="BI6" s="408"/>
    </row>
    <row r="7" spans="1:61" ht="23.25" hidden="1" customHeight="1">
      <c r="A7" s="1241"/>
      <c r="B7" s="1241"/>
      <c r="C7" s="1241"/>
      <c r="D7" s="1241"/>
      <c r="E7" s="5377"/>
      <c r="F7" s="5377"/>
      <c r="G7" s="5377"/>
      <c r="H7" s="5377"/>
      <c r="I7" s="5397"/>
      <c r="J7" s="5397"/>
      <c r="K7" s="5374" t="e">
        <f>J6&amp;".1"</f>
        <v>#N/A</v>
      </c>
      <c r="L7" s="1242"/>
      <c r="P7" s="5375"/>
      <c r="Q7" s="5375"/>
      <c r="R7" s="274">
        <v>1</v>
      </c>
      <c r="S7" s="1365" t="e">
        <f>$K7</f>
        <v>#N/A</v>
      </c>
      <c r="T7" s="1314"/>
      <c r="U7" s="218"/>
      <c r="V7" s="650"/>
      <c r="W7" s="650"/>
      <c r="X7" s="650"/>
      <c r="Y7" s="650"/>
      <c r="Z7" s="650"/>
      <c r="AA7" s="650"/>
      <c r="AB7" s="650"/>
      <c r="AC7" s="5379"/>
      <c r="AD7" s="5225" t="s">
        <v>64</v>
      </c>
      <c r="AE7" s="5379"/>
      <c r="AF7" s="5225" t="s">
        <v>64</v>
      </c>
      <c r="AG7" s="650"/>
      <c r="AH7" s="650"/>
      <c r="AI7" s="650"/>
      <c r="AJ7" s="650"/>
      <c r="AK7" s="650"/>
      <c r="AL7" s="650"/>
      <c r="AM7" s="650"/>
      <c r="AN7" s="5379"/>
      <c r="AO7" s="5225" t="s">
        <v>64</v>
      </c>
      <c r="AP7" s="5398"/>
      <c r="AQ7" s="5225" t="s">
        <v>64</v>
      </c>
      <c r="AR7" s="1893"/>
      <c r="AS7" s="1893"/>
      <c r="AT7" s="1893"/>
      <c r="AU7" s="1893"/>
      <c r="AV7" s="1893"/>
      <c r="AW7" s="1893"/>
      <c r="AX7" s="1893"/>
      <c r="AY7" s="5379"/>
      <c r="AZ7" s="5225" t="s">
        <v>64</v>
      </c>
      <c r="BA7" s="5379"/>
      <c r="BB7" s="5225" t="s">
        <v>64</v>
      </c>
      <c r="BC7" s="1315"/>
      <c r="BD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 s="419" t="e">
        <f ca="1">STRCHECKDATE(V8:BC8)</f>
        <v>#NAME?</v>
      </c>
      <c r="BF7" s="408"/>
      <c r="BG7" s="408" t="str">
        <f t="shared" si="0"/>
        <v/>
      </c>
      <c r="BH7" s="408"/>
      <c r="BI7" s="408"/>
    </row>
    <row r="8" spans="1:61" ht="14.25" hidden="1" customHeight="1">
      <c r="A8" s="1241"/>
      <c r="B8" s="1241"/>
      <c r="C8" s="1241"/>
      <c r="D8" s="1241"/>
      <c r="E8" s="5377"/>
      <c r="F8" s="5377"/>
      <c r="G8" s="5377"/>
      <c r="H8" s="5377"/>
      <c r="I8" s="5397"/>
      <c r="J8" s="5397"/>
      <c r="K8" s="5374"/>
      <c r="L8" s="1242"/>
      <c r="P8" s="5375"/>
      <c r="Q8" s="5375"/>
      <c r="R8" s="274"/>
      <c r="S8" s="1362"/>
      <c r="T8" s="218"/>
      <c r="U8" s="218"/>
      <c r="V8" s="243"/>
      <c r="W8" s="243"/>
      <c r="X8" s="243"/>
      <c r="Y8" s="243"/>
      <c r="Z8" s="243"/>
      <c r="AA8" s="243"/>
      <c r="AB8" s="243"/>
      <c r="AC8" s="5380"/>
      <c r="AD8" s="5225"/>
      <c r="AE8" s="5380"/>
      <c r="AF8" s="5225"/>
      <c r="AG8" s="243"/>
      <c r="AH8" s="243"/>
      <c r="AI8" s="243"/>
      <c r="AJ8" s="243"/>
      <c r="AK8" s="243"/>
      <c r="AL8" s="243"/>
      <c r="AM8" s="243"/>
      <c r="AN8" s="5380"/>
      <c r="AO8" s="5225"/>
      <c r="AP8" s="5399"/>
      <c r="AQ8" s="5225"/>
      <c r="AR8" s="1894"/>
      <c r="AS8" s="1894"/>
      <c r="AT8" s="1894"/>
      <c r="AU8" s="1894"/>
      <c r="AV8" s="1894"/>
      <c r="AW8" s="1894"/>
      <c r="AX8" s="1894"/>
      <c r="AY8" s="5380"/>
      <c r="AZ8" s="5225"/>
      <c r="BA8" s="5380"/>
      <c r="BB8" s="5225"/>
      <c r="BC8" s="1316"/>
      <c r="BD8" s="5434"/>
      <c r="BF8" s="408"/>
      <c r="BG8" s="408" t="str">
        <f t="shared" si="0"/>
        <v/>
      </c>
      <c r="BH8" s="408"/>
      <c r="BI8" s="408"/>
    </row>
    <row r="9" spans="1:61" ht="21" hidden="1" customHeight="1">
      <c r="A9" s="1241"/>
      <c r="B9" s="1241"/>
      <c r="C9" s="1241"/>
      <c r="D9" s="1241"/>
      <c r="E9" s="5377"/>
      <c r="F9" s="5377"/>
      <c r="G9" s="5377"/>
      <c r="H9" s="5377"/>
      <c r="I9" s="5397"/>
      <c r="J9" s="5374"/>
      <c r="K9" s="1241"/>
      <c r="L9" s="1242"/>
      <c r="P9" s="5375"/>
      <c r="Q9" s="5375"/>
      <c r="R9" s="273"/>
      <c r="S9" s="1161"/>
      <c r="T9" s="205" t="s">
        <v>562</v>
      </c>
      <c r="U9" s="283"/>
      <c r="V9" s="283"/>
      <c r="W9" s="504"/>
      <c r="X9" s="504"/>
      <c r="Y9" s="504"/>
      <c r="Z9" s="504"/>
      <c r="AA9" s="504"/>
      <c r="AB9" s="504"/>
      <c r="AC9" s="283"/>
      <c r="AD9" s="283"/>
      <c r="AE9" s="283"/>
      <c r="AF9" s="283"/>
      <c r="AG9" s="283"/>
      <c r="AH9" s="504"/>
      <c r="AI9" s="504"/>
      <c r="AJ9" s="504"/>
      <c r="AK9" s="504"/>
      <c r="AL9" s="504"/>
      <c r="AM9" s="283"/>
      <c r="AN9" s="283"/>
      <c r="AO9" s="283"/>
      <c r="AP9" s="283"/>
      <c r="AQ9" s="283"/>
      <c r="AR9" s="1895"/>
      <c r="AS9" s="1896"/>
      <c r="AT9" s="1897"/>
      <c r="AU9" s="1898"/>
      <c r="AV9" s="1899"/>
      <c r="AW9" s="1900"/>
      <c r="AX9" s="1901"/>
      <c r="AY9" s="1902"/>
      <c r="AZ9" s="1903"/>
      <c r="BA9" s="1904"/>
      <c r="BB9" s="1905"/>
      <c r="BC9" s="283"/>
      <c r="BD9" s="1141" t="s">
        <v>563</v>
      </c>
      <c r="BF9" s="408"/>
      <c r="BG9" s="408" t="str">
        <f t="shared" si="0"/>
        <v>Добавить значение признака дифференциации</v>
      </c>
      <c r="BH9" s="408"/>
      <c r="BI9" s="408"/>
    </row>
    <row r="10" spans="1:61" ht="21" hidden="1" customHeight="1">
      <c r="A10" s="1241"/>
      <c r="B10" s="1241"/>
      <c r="C10" s="1241"/>
      <c r="D10" s="1241"/>
      <c r="E10" s="5377"/>
      <c r="F10" s="5377"/>
      <c r="G10" s="5377"/>
      <c r="H10" s="5377"/>
      <c r="I10" s="5374"/>
      <c r="J10" s="1241"/>
      <c r="K10" s="1241"/>
      <c r="L10" s="1242"/>
      <c r="P10" s="5375"/>
      <c r="Q10" s="1353"/>
      <c r="R10" s="273"/>
      <c r="S10" s="1161"/>
      <c r="T10" s="281" t="s">
        <v>490</v>
      </c>
      <c r="U10" s="283"/>
      <c r="V10" s="283"/>
      <c r="W10" s="504"/>
      <c r="X10" s="504"/>
      <c r="Y10" s="504"/>
      <c r="Z10" s="504"/>
      <c r="AA10" s="504"/>
      <c r="AB10" s="504"/>
      <c r="AC10" s="283"/>
      <c r="AD10" s="283"/>
      <c r="AE10" s="283"/>
      <c r="AF10" s="282"/>
      <c r="AG10" s="283"/>
      <c r="AH10" s="504"/>
      <c r="AI10" s="504"/>
      <c r="AJ10" s="504"/>
      <c r="AK10" s="504"/>
      <c r="AL10" s="504"/>
      <c r="AM10" s="283"/>
      <c r="AN10" s="283"/>
      <c r="AO10" s="283"/>
      <c r="AP10" s="283"/>
      <c r="AQ10" s="282"/>
      <c r="AR10" s="1906"/>
      <c r="AS10" s="1907"/>
      <c r="AT10" s="1908"/>
      <c r="AU10" s="1909"/>
      <c r="AV10" s="1910"/>
      <c r="AW10" s="1911"/>
      <c r="AX10" s="1912"/>
      <c r="AY10" s="1913"/>
      <c r="AZ10" s="1914"/>
      <c r="BA10" s="1915"/>
      <c r="BB10" s="1916"/>
      <c r="BC10" s="283"/>
      <c r="BD10" s="1317"/>
      <c r="BF10" s="408"/>
      <c r="BG10" s="408" t="str">
        <f t="shared" si="0"/>
        <v>Добавить группу потребителей</v>
      </c>
      <c r="BH10" s="408"/>
      <c r="BI10" s="408"/>
    </row>
    <row r="11" spans="1:61" ht="21" hidden="1" customHeight="1">
      <c r="A11" s="1241"/>
      <c r="B11" s="1241"/>
      <c r="C11" s="1241"/>
      <c r="D11" s="1241"/>
      <c r="E11" s="5377"/>
      <c r="F11" s="5377"/>
      <c r="G11" s="5377"/>
      <c r="H11" s="5376"/>
      <c r="I11" s="1241"/>
      <c r="J11" s="1241"/>
      <c r="K11" s="1241"/>
      <c r="L11" s="1242"/>
      <c r="M11" s="1243"/>
      <c r="N11" s="1243"/>
      <c r="O11" s="444"/>
      <c r="P11" s="277"/>
      <c r="Q11" s="291"/>
      <c r="R11" s="272"/>
      <c r="S11" s="1161"/>
      <c r="T11" s="288" t="s">
        <v>564</v>
      </c>
      <c r="U11" s="283"/>
      <c r="V11" s="283"/>
      <c r="W11" s="504"/>
      <c r="X11" s="504"/>
      <c r="Y11" s="504"/>
      <c r="Z11" s="504"/>
      <c r="AA11" s="504"/>
      <c r="AB11" s="504"/>
      <c r="AC11" s="283"/>
      <c r="AD11" s="283"/>
      <c r="AE11" s="283"/>
      <c r="AF11" s="282"/>
      <c r="AG11" s="283"/>
      <c r="AH11" s="504"/>
      <c r="AI11" s="504"/>
      <c r="AJ11" s="504"/>
      <c r="AK11" s="504"/>
      <c r="AL11" s="504"/>
      <c r="AM11" s="283"/>
      <c r="AN11" s="283"/>
      <c r="AO11" s="283"/>
      <c r="AP11" s="283"/>
      <c r="AQ11" s="282"/>
      <c r="AR11" s="1917"/>
      <c r="AS11" s="1918"/>
      <c r="AT11" s="1919"/>
      <c r="AU11" s="1920"/>
      <c r="AV11" s="1921"/>
      <c r="AW11" s="1922"/>
      <c r="AX11" s="1923"/>
      <c r="AY11" s="1924"/>
      <c r="AZ11" s="1925"/>
      <c r="BA11" s="1926"/>
      <c r="BB11" s="1927"/>
      <c r="BC11" s="283"/>
      <c r="BD11" s="221"/>
      <c r="BF11" s="408"/>
      <c r="BG11" s="408" t="str">
        <f t="shared" si="0"/>
        <v>Добавить наименование признака дифференциации</v>
      </c>
      <c r="BH11" s="408"/>
      <c r="BI11" s="408"/>
    </row>
    <row r="12" spans="1:61" s="4853" customFormat="1" ht="14.25" hidden="1" customHeight="1">
      <c r="A12" s="1222"/>
      <c r="B12" s="1222"/>
      <c r="C12" s="1194"/>
      <c r="D12" s="1194"/>
      <c r="E12" s="5377"/>
      <c r="F12" s="5376"/>
      <c r="G12" s="1194"/>
      <c r="H12" s="1194"/>
      <c r="I12" s="1194"/>
      <c r="J12" s="1194"/>
      <c r="K12" s="1194"/>
      <c r="L12" s="1366"/>
      <c r="M12" s="1201"/>
      <c r="N12" s="1201"/>
      <c r="P12" s="1196"/>
      <c r="Q12" s="1197"/>
      <c r="R12" s="1196"/>
      <c r="S12" s="1202"/>
      <c r="T12" s="1205" t="s">
        <v>271</v>
      </c>
      <c r="U12" s="1204"/>
      <c r="V12" s="1204"/>
      <c r="W12" s="1204"/>
      <c r="X12" s="1204"/>
      <c r="Y12" s="1204"/>
      <c r="Z12" s="1204"/>
      <c r="AA12" s="1204"/>
      <c r="AB12" s="1204"/>
      <c r="AC12" s="1204"/>
      <c r="AD12" s="1204"/>
      <c r="AE12" s="1204"/>
      <c r="AF12" s="1204"/>
      <c r="AG12" s="1204"/>
      <c r="AH12" s="1204"/>
      <c r="AI12" s="1204"/>
      <c r="AJ12" s="1204"/>
      <c r="AK12" s="1204"/>
      <c r="AL12" s="1204"/>
      <c r="AM12" s="1204"/>
      <c r="AN12" s="1204"/>
      <c r="AO12" s="1204"/>
      <c r="AP12" s="1204"/>
      <c r="AQ12" s="1204"/>
      <c r="AR12" s="1928"/>
      <c r="AS12" s="1928"/>
      <c r="AT12" s="1928"/>
      <c r="AU12" s="1928"/>
      <c r="AV12" s="1928"/>
      <c r="AW12" s="1928"/>
      <c r="AX12" s="1928"/>
      <c r="AY12" s="1928"/>
      <c r="AZ12" s="1928"/>
      <c r="BA12" s="1928"/>
      <c r="BB12" s="1928"/>
      <c r="BC12" s="1204"/>
      <c r="BD12" s="1204"/>
      <c r="BF12" s="688"/>
      <c r="BG12" s="688" t="str">
        <f t="shared" si="0"/>
        <v>Добавить централизованную систему для дифференциации</v>
      </c>
      <c r="BH12" s="688"/>
      <c r="BI12" s="688"/>
    </row>
    <row r="13" spans="1:61" s="4856" customFormat="1" ht="14.25" hidden="1" customHeight="1">
      <c r="A13" s="1222"/>
      <c r="B13" s="1222"/>
      <c r="C13" s="1222"/>
      <c r="D13" s="1222"/>
      <c r="E13" s="5376"/>
      <c r="F13" s="1222"/>
      <c r="G13" s="1222"/>
      <c r="H13" s="1222"/>
      <c r="I13" s="1222"/>
      <c r="J13" s="1222"/>
      <c r="K13" s="1222"/>
      <c r="L13" s="1225"/>
      <c r="M13" s="1201"/>
      <c r="N13" s="1201"/>
      <c r="O13" s="426"/>
      <c r="P13" s="296"/>
      <c r="Q13" s="1223"/>
      <c r="R13" s="296"/>
      <c r="S13" s="1202"/>
      <c r="T13" s="1205" t="s">
        <v>330</v>
      </c>
      <c r="U13" s="1204"/>
      <c r="V13" s="1204"/>
      <c r="W13" s="1204"/>
      <c r="X13" s="1204"/>
      <c r="Y13" s="1204"/>
      <c r="Z13" s="1204"/>
      <c r="AA13" s="1204"/>
      <c r="AB13" s="1204"/>
      <c r="AC13" s="1204"/>
      <c r="AD13" s="1204"/>
      <c r="AE13" s="1204"/>
      <c r="AF13" s="1204"/>
      <c r="AG13" s="1204"/>
      <c r="AH13" s="1204"/>
      <c r="AI13" s="1204"/>
      <c r="AJ13" s="1204"/>
      <c r="AK13" s="1204"/>
      <c r="AL13" s="1204"/>
      <c r="AM13" s="1204"/>
      <c r="AN13" s="1204"/>
      <c r="AO13" s="1204"/>
      <c r="AP13" s="1204"/>
      <c r="AQ13" s="1204"/>
      <c r="AR13" s="1928"/>
      <c r="AS13" s="1928"/>
      <c r="AT13" s="1928"/>
      <c r="AU13" s="1928"/>
      <c r="AV13" s="1928"/>
      <c r="AW13" s="1928"/>
      <c r="AX13" s="1928"/>
      <c r="AY13" s="1928"/>
      <c r="AZ13" s="1928"/>
      <c r="BA13" s="1928"/>
      <c r="BB13" s="1928"/>
      <c r="BC13" s="1204"/>
      <c r="BD13" s="1204"/>
      <c r="BF13" s="408"/>
      <c r="BG13" s="408" t="str">
        <f t="shared" si="0"/>
        <v>Добавить территорию для дифференциации</v>
      </c>
      <c r="BH13" s="408"/>
      <c r="BI13" s="408"/>
    </row>
    <row r="14" spans="1:61" ht="14.25" hidden="1" customHeight="1">
      <c r="AF14" s="245"/>
      <c r="AQ14" s="245"/>
      <c r="AR14" s="1892"/>
      <c r="AS14" s="1892"/>
      <c r="AT14" s="1892"/>
      <c r="AU14" s="1892"/>
      <c r="AV14" s="1892"/>
      <c r="AW14" s="1892"/>
      <c r="AX14" s="1892"/>
      <c r="AY14" s="1892"/>
      <c r="AZ14" s="1892"/>
      <c r="BA14" s="1892"/>
      <c r="BB14" s="1892"/>
    </row>
    <row r="15" spans="1:61" ht="14.25" hidden="1" customHeight="1">
      <c r="AG15" s="1238"/>
      <c r="AH15" s="1238"/>
      <c r="AI15" s="1238"/>
      <c r="AJ15" s="1238"/>
      <c r="AK15" s="1238"/>
      <c r="AL15" s="1238"/>
      <c r="AM15" s="1238"/>
      <c r="AN15" s="5381"/>
      <c r="AO15" s="5382" t="s">
        <v>64</v>
      </c>
      <c r="AP15" s="5381"/>
      <c r="AQ15" s="5382" t="s">
        <v>64</v>
      </c>
      <c r="AR15" s="1892"/>
      <c r="AS15" s="1892"/>
      <c r="AT15" s="1892"/>
      <c r="AU15" s="1892"/>
      <c r="AV15" s="1892"/>
      <c r="AW15" s="1892"/>
      <c r="AX15" s="1892"/>
      <c r="AY15" s="1892"/>
      <c r="AZ15" s="1892"/>
      <c r="BA15" s="1892"/>
      <c r="BB15" s="1892"/>
    </row>
    <row r="16" spans="1:61" ht="14.25" hidden="1" customHeight="1">
      <c r="AG16" s="1238"/>
      <c r="AH16" s="1238"/>
      <c r="AI16" s="1238"/>
      <c r="AJ16" s="1238"/>
      <c r="AK16" s="1238"/>
      <c r="AL16" s="1238"/>
      <c r="AM16" s="1238"/>
      <c r="AN16" s="5382"/>
      <c r="AO16" s="5382"/>
      <c r="AP16" s="5382"/>
      <c r="AQ16" s="5382"/>
      <c r="AR16" s="1892"/>
      <c r="AS16" s="1892"/>
      <c r="AT16" s="1892"/>
      <c r="AU16" s="1892"/>
      <c r="AV16" s="1892"/>
      <c r="AW16" s="1892"/>
      <c r="AX16" s="1892"/>
      <c r="AY16" s="1892"/>
      <c r="AZ16" s="1892"/>
      <c r="BA16" s="1892"/>
      <c r="BB16" s="1892"/>
    </row>
    <row r="17" spans="1:61" ht="14.25" hidden="1" customHeight="1">
      <c r="AQ17" s="245"/>
      <c r="AR17" s="1892"/>
      <c r="AS17" s="1892"/>
      <c r="AT17" s="1892"/>
      <c r="AU17" s="1892"/>
      <c r="AV17" s="1892"/>
      <c r="AW17" s="1892"/>
      <c r="AX17" s="1892"/>
      <c r="AY17" s="1892"/>
      <c r="AZ17" s="1892"/>
      <c r="BA17" s="1892"/>
      <c r="BB17" s="1892"/>
    </row>
    <row r="18" spans="1:61" s="4854" customFormat="1" ht="22.5" hidden="1" customHeight="1">
      <c r="L18" s="1350"/>
      <c r="M18" s="1240"/>
      <c r="N18" s="1240"/>
      <c r="O18" s="1245" t="s">
        <v>493</v>
      </c>
      <c r="P18" s="1240"/>
      <c r="Q18" s="1249"/>
      <c r="R18" s="1249"/>
      <c r="S18" s="630"/>
      <c r="W18" s="1244"/>
      <c r="X18" s="1244"/>
      <c r="Y18" s="1244"/>
      <c r="Z18" s="1244"/>
      <c r="AA18" s="1244"/>
      <c r="AB18" s="1244"/>
      <c r="AC18" s="1245"/>
      <c r="AE18" s="1245"/>
      <c r="AF18" s="1244"/>
      <c r="AH18" s="1244"/>
      <c r="AI18" s="1244"/>
      <c r="AJ18" s="1244"/>
      <c r="AK18" s="1244"/>
      <c r="AL18" s="1244"/>
      <c r="AN18" s="1245"/>
      <c r="AP18" s="1245"/>
      <c r="AQ18" s="1244"/>
      <c r="AR18" s="1929"/>
      <c r="AS18" s="1929"/>
      <c r="AT18" s="1929"/>
      <c r="AU18" s="1929"/>
      <c r="AV18" s="1929"/>
      <c r="AW18" s="1929"/>
      <c r="AX18" s="1929"/>
      <c r="AY18" s="1930"/>
      <c r="AZ18" s="1929"/>
      <c r="BA18" s="1930"/>
      <c r="BB18" s="1929"/>
      <c r="BE18" s="419"/>
      <c r="BF18" s="419"/>
      <c r="BG18" s="419"/>
      <c r="BH18" s="419"/>
      <c r="BI18" s="419"/>
    </row>
    <row r="19" spans="1:61" s="4854" customFormat="1" ht="14.25" hidden="1" customHeight="1">
      <c r="L19" s="1350"/>
      <c r="M19" s="1240"/>
      <c r="N19" s="1240"/>
      <c r="O19" s="1240"/>
      <c r="P19" s="1240"/>
      <c r="Q19" s="1249"/>
      <c r="R19" s="1249"/>
      <c r="S19" s="630"/>
      <c r="W19" s="1244"/>
      <c r="X19" s="1244"/>
      <c r="Y19" s="1244"/>
      <c r="Z19" s="1244"/>
      <c r="AA19" s="1244"/>
      <c r="AB19" s="1244"/>
      <c r="AF19" s="1244"/>
      <c r="AH19" s="1244"/>
      <c r="AI19" s="1244"/>
      <c r="AJ19" s="1244"/>
      <c r="AK19" s="1244"/>
      <c r="AL19" s="1244"/>
      <c r="AQ19" s="1244"/>
      <c r="AR19" s="1929"/>
      <c r="AS19" s="1929"/>
      <c r="AT19" s="1929"/>
      <c r="AU19" s="1929"/>
      <c r="AV19" s="1929"/>
      <c r="AW19" s="1929"/>
      <c r="AX19" s="1929"/>
      <c r="AY19" s="1929"/>
      <c r="AZ19" s="1929"/>
      <c r="BA19" s="1929"/>
      <c r="BB19" s="1929"/>
      <c r="BE19" s="419"/>
      <c r="BF19" s="419"/>
      <c r="BG19" s="419"/>
      <c r="BH19" s="419"/>
      <c r="BI19" s="419"/>
    </row>
    <row r="20" spans="1:61" s="4854" customFormat="1" ht="12" hidden="1" customHeight="1">
      <c r="L20" s="1350"/>
      <c r="M20" s="1240"/>
      <c r="N20" s="1240"/>
      <c r="O20" s="1242" t="s">
        <v>494</v>
      </c>
      <c r="P20" s="1240"/>
      <c r="Q20" s="1318"/>
      <c r="R20" s="1318"/>
      <c r="S20" s="630"/>
      <c r="T20" s="1042" t="s">
        <v>495</v>
      </c>
      <c r="W20" s="1244"/>
      <c r="X20" s="1244"/>
      <c r="Y20" s="1244"/>
      <c r="Z20" s="1244"/>
      <c r="AA20" s="1244"/>
      <c r="AB20" s="1244"/>
      <c r="AD20" s="108" t="s">
        <v>496</v>
      </c>
      <c r="AF20" s="108" t="s">
        <v>497</v>
      </c>
      <c r="AG20" s="1042" t="s">
        <v>495</v>
      </c>
      <c r="AH20" s="1244"/>
      <c r="AI20" s="1244"/>
      <c r="AJ20" s="1244"/>
      <c r="AK20" s="1244"/>
      <c r="AL20" s="1244"/>
      <c r="AO20" s="108" t="s">
        <v>498</v>
      </c>
      <c r="AQ20" s="108" t="s">
        <v>497</v>
      </c>
      <c r="AR20" s="1929"/>
      <c r="AS20" s="1929"/>
      <c r="AT20" s="1929"/>
      <c r="AU20" s="1929"/>
      <c r="AV20" s="1929"/>
      <c r="AW20" s="1929"/>
      <c r="AX20" s="1929"/>
      <c r="AY20" s="1929"/>
      <c r="AZ20" s="1931" t="s">
        <v>496</v>
      </c>
      <c r="BA20" s="1929"/>
      <c r="BB20" s="1931" t="s">
        <v>497</v>
      </c>
    </row>
    <row r="21" spans="1:61" ht="14.25" hidden="1" customHeight="1">
      <c r="O21" s="1242"/>
      <c r="AR21" s="1892"/>
      <c r="AS21" s="1892"/>
      <c r="AT21" s="1892"/>
      <c r="AU21" s="1892"/>
      <c r="AV21" s="1892"/>
      <c r="AW21" s="1892"/>
      <c r="AX21" s="1892"/>
      <c r="AY21" s="1892"/>
      <c r="AZ21" s="1892"/>
      <c r="BA21" s="1892"/>
      <c r="BB21" s="1892"/>
    </row>
    <row r="22" spans="1:61" ht="14.25" hidden="1" customHeight="1">
      <c r="O22" s="1242"/>
      <c r="AR22" s="1892"/>
      <c r="AS22" s="1892"/>
      <c r="AT22" s="1892"/>
      <c r="AU22" s="1892"/>
      <c r="AV22" s="1892"/>
      <c r="AW22" s="1892"/>
      <c r="AX22" s="1892"/>
      <c r="AY22" s="1892"/>
      <c r="AZ22" s="1892"/>
      <c r="BA22" s="1892"/>
      <c r="BB22" s="1892"/>
    </row>
    <row r="23" spans="1:61" ht="14.25" customHeight="1">
      <c r="Q23" s="292"/>
      <c r="R23" s="292"/>
      <c r="S23" s="1158"/>
      <c r="T23" s="280"/>
      <c r="U23" s="280"/>
      <c r="V23" s="417"/>
      <c r="W23" s="1499"/>
      <c r="X23" s="1499"/>
      <c r="Y23" s="1499"/>
      <c r="Z23" s="1499"/>
      <c r="AA23" s="1499"/>
      <c r="AB23" s="1499"/>
      <c r="AC23" s="417"/>
      <c r="AD23" s="417"/>
      <c r="AE23" s="417"/>
      <c r="AF23" s="417"/>
      <c r="AG23" s="417"/>
      <c r="AH23" s="1499"/>
      <c r="AI23" s="1499"/>
      <c r="AJ23" s="1499"/>
      <c r="AK23" s="1499"/>
      <c r="AL23" s="1499"/>
      <c r="AM23" s="417"/>
      <c r="AN23" s="417"/>
      <c r="AO23" s="417"/>
      <c r="AP23" s="417"/>
      <c r="AQ23" s="417"/>
      <c r="AR23" s="1892"/>
      <c r="AS23" s="1892"/>
      <c r="AT23" s="1892"/>
      <c r="AU23" s="1892"/>
      <c r="AV23" s="1892"/>
      <c r="AW23" s="1892"/>
      <c r="AX23" s="1892"/>
      <c r="AY23" s="1892"/>
      <c r="AZ23" s="1892"/>
      <c r="BA23" s="1892"/>
      <c r="BB23" s="1892"/>
    </row>
    <row r="24" spans="1:61" ht="24.75" customHeight="1">
      <c r="Q24" s="292"/>
      <c r="R24" s="292"/>
      <c r="S24" s="536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360"/>
      <c r="U24" s="5360"/>
      <c r="V24" s="5360"/>
      <c r="W24" s="5360"/>
      <c r="X24" s="5360"/>
      <c r="Y24" s="5360"/>
      <c r="Z24" s="5360"/>
      <c r="AA24" s="5360"/>
      <c r="AB24" s="5360"/>
      <c r="AC24" s="5360"/>
      <c r="AD24" s="5360"/>
      <c r="AE24" s="5360"/>
      <c r="AF24" s="5360"/>
      <c r="AG24" s="5360"/>
      <c r="AH24" s="5360"/>
      <c r="AI24" s="5360"/>
      <c r="AJ24" s="5360"/>
      <c r="AK24" s="5360"/>
      <c r="AL24" s="5360"/>
      <c r="AM24" s="5360"/>
      <c r="AN24" s="5360"/>
      <c r="AO24" s="5360"/>
      <c r="AP24" s="5360"/>
      <c r="AQ24" s="1126"/>
      <c r="AR24" s="1932"/>
      <c r="AS24" s="1932"/>
      <c r="AT24" s="1932"/>
      <c r="AU24" s="1932"/>
      <c r="AV24" s="1932"/>
      <c r="AW24" s="1932"/>
      <c r="AX24" s="1932"/>
      <c r="AY24" s="1932"/>
      <c r="AZ24" s="1932"/>
      <c r="BA24" s="1932"/>
      <c r="BB24" s="1932"/>
    </row>
    <row r="25" spans="1:61" ht="14.25" customHeight="1">
      <c r="Q25" s="292"/>
      <c r="R25" s="292"/>
      <c r="S25" s="5308" t="str">
        <f>IF(org=0,"Не определено",org)</f>
        <v>ООО «Газпром теплоэнерго МО»</v>
      </c>
      <c r="T25" s="5308"/>
      <c r="U25" s="5308"/>
      <c r="V25" s="5308"/>
      <c r="W25" s="5308"/>
      <c r="X25" s="5308"/>
      <c r="Y25" s="5308"/>
      <c r="Z25" s="5308"/>
      <c r="AA25" s="5308"/>
      <c r="AB25" s="5308"/>
      <c r="AC25" s="5308"/>
      <c r="AD25" s="5308"/>
      <c r="AE25" s="5308"/>
      <c r="AF25" s="5308"/>
      <c r="AG25" s="5308"/>
      <c r="AH25" s="5308"/>
      <c r="AI25" s="5308"/>
      <c r="AJ25" s="5308"/>
      <c r="AK25" s="5308"/>
      <c r="AL25" s="5308"/>
      <c r="AM25" s="5308"/>
      <c r="AN25" s="5308"/>
      <c r="AO25" s="5308"/>
      <c r="AP25" s="5308"/>
      <c r="AQ25" s="1126"/>
      <c r="AR25" s="1933"/>
      <c r="AS25" s="1933"/>
      <c r="AT25" s="1933"/>
      <c r="AU25" s="1933"/>
      <c r="AV25" s="1933"/>
      <c r="AW25" s="1933"/>
      <c r="AX25" s="1933"/>
      <c r="AY25" s="1933"/>
      <c r="AZ25" s="1933"/>
      <c r="BA25" s="1933"/>
      <c r="BB25" s="1933"/>
    </row>
    <row r="26" spans="1:61" ht="14.25" customHeight="1">
      <c r="Q26" s="292"/>
      <c r="R26" s="292"/>
      <c r="S26" s="1158"/>
      <c r="T26" s="280"/>
      <c r="U26" s="28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1934"/>
      <c r="AS26" s="1934"/>
      <c r="AT26" s="1934"/>
      <c r="AU26" s="1934"/>
      <c r="AV26" s="1934"/>
      <c r="AW26" s="1934"/>
      <c r="AX26" s="1934"/>
      <c r="AY26" s="1934"/>
      <c r="AZ26" s="1934"/>
      <c r="BA26" s="1934"/>
      <c r="BB26" s="1934"/>
      <c r="BC26" s="417"/>
    </row>
    <row r="27" spans="1:61" s="4855" customFormat="1" ht="25.5" customHeight="1">
      <c r="A27" s="1246"/>
      <c r="B27" s="1246"/>
      <c r="C27" s="1246"/>
      <c r="D27" s="1246"/>
      <c r="E27" s="1246"/>
      <c r="F27" s="1246"/>
      <c r="G27" s="1246"/>
      <c r="H27" s="1246"/>
      <c r="I27" s="1246"/>
      <c r="J27" s="1246"/>
      <c r="K27" s="1246"/>
      <c r="L27" s="1247"/>
      <c r="M27" s="1246"/>
      <c r="N27" s="1246"/>
      <c r="O27" s="1246"/>
      <c r="S27" s="5368" t="s">
        <v>38</v>
      </c>
      <c r="T27" s="5368"/>
      <c r="U27" s="1250"/>
      <c r="V27" s="5369" t="str">
        <f>IF(TITLE_NAME_OR_PR_CHANGE="",IF(TITLE_NAME_OR_PR="","",TITLE_NAME_OR_PR),TITLE_NAME_OR_PR_CHANGE)</f>
        <v>Комитет по ценам и тарифам Московской области</v>
      </c>
      <c r="W27" s="5369"/>
      <c r="X27" s="5369"/>
      <c r="Y27" s="5369"/>
      <c r="Z27" s="5369"/>
      <c r="AA27" s="5369"/>
      <c r="AB27" s="5369"/>
      <c r="AC27" s="5369"/>
      <c r="AD27" s="5369"/>
      <c r="AE27" s="5369"/>
      <c r="AF27" s="244"/>
      <c r="AG27" s="5369" t="str">
        <f>IF(TITLE_NAME_OR_PR_CHANGE="",IF(TITLE_NAME_OR_PR="","",TITLE_NAME_OR_PR),TITLE_NAME_OR_PR_CHANGE)</f>
        <v>Комитет по ценам и тарифам Московской области</v>
      </c>
      <c r="AH27" s="5369"/>
      <c r="AI27" s="5369"/>
      <c r="AJ27" s="5369"/>
      <c r="AK27" s="5369"/>
      <c r="AL27" s="5369"/>
      <c r="AM27" s="5369"/>
      <c r="AN27" s="5369"/>
      <c r="AO27" s="5369"/>
      <c r="AP27" s="5369"/>
      <c r="AQ27" s="244"/>
      <c r="AR27" s="5369" t="str">
        <f>IF(TITLE_NAME_OR_PR_CHANGE="",IF(TITLE_NAME_OR_PR="","",TITLE_NAME_OR_PR),TITLE_NAME_OR_PR_CHANGE)</f>
        <v>Комитет по ценам и тарифам Московской области</v>
      </c>
      <c r="AS27" s="5369"/>
      <c r="AT27" s="5369"/>
      <c r="AU27" s="5369"/>
      <c r="AV27" s="5369"/>
      <c r="AW27" s="5369"/>
      <c r="AX27" s="5369"/>
      <c r="AY27" s="5369"/>
      <c r="AZ27" s="5369"/>
      <c r="BA27" s="5369"/>
      <c r="BB27" s="1892"/>
      <c r="BC27" s="244"/>
      <c r="BD27" s="199"/>
      <c r="BE27" s="284"/>
      <c r="BF27" s="284"/>
      <c r="BG27" s="284"/>
      <c r="BH27" s="284"/>
      <c r="BI27" s="284"/>
    </row>
    <row r="28" spans="1:61" s="4855" customFormat="1" ht="18.75" customHeight="1">
      <c r="A28" s="1246"/>
      <c r="B28" s="1246"/>
      <c r="C28" s="1246"/>
      <c r="D28" s="1246"/>
      <c r="E28" s="1246"/>
      <c r="F28" s="1246"/>
      <c r="G28" s="1246"/>
      <c r="H28" s="1246"/>
      <c r="I28" s="1246"/>
      <c r="J28" s="1246"/>
      <c r="K28" s="1246"/>
      <c r="L28" s="1247"/>
      <c r="M28" s="1246"/>
      <c r="N28" s="1246"/>
      <c r="O28" s="1246"/>
      <c r="S28" s="5368" t="s">
        <v>499</v>
      </c>
      <c r="T28" s="5368"/>
      <c r="U28" s="1250"/>
      <c r="V28" s="5378">
        <f>IF(TITLE_DATE_PR_CHANGE="",IF(TITLE_DATE_PR="","",TITLE_DATE_PR),TITLE_DATE_PR_CHANGE)</f>
        <v>45280</v>
      </c>
      <c r="W28" s="5378"/>
      <c r="X28" s="5378"/>
      <c r="Y28" s="5378"/>
      <c r="Z28" s="5378"/>
      <c r="AA28" s="5378"/>
      <c r="AB28" s="5378"/>
      <c r="AC28" s="5378"/>
      <c r="AD28" s="5378"/>
      <c r="AE28" s="5378"/>
      <c r="AF28" s="244"/>
      <c r="AG28" s="5378">
        <f>IF(TITLE_DATE_PR_CHANGE="",IF(TITLE_DATE_PR="","",TITLE_DATE_PR),TITLE_DATE_PR_CHANGE)</f>
        <v>45280</v>
      </c>
      <c r="AH28" s="5378"/>
      <c r="AI28" s="5378"/>
      <c r="AJ28" s="5378"/>
      <c r="AK28" s="5378"/>
      <c r="AL28" s="5378"/>
      <c r="AM28" s="5378"/>
      <c r="AN28" s="5378"/>
      <c r="AO28" s="5378"/>
      <c r="AP28" s="5378"/>
      <c r="AQ28" s="244"/>
      <c r="AR28" s="5378">
        <f>IF(TITLE_DATE_PR_CHANGE="",IF(TITLE_DATE_PR="","",TITLE_DATE_PR),TITLE_DATE_PR_CHANGE)</f>
        <v>45280</v>
      </c>
      <c r="AS28" s="5378"/>
      <c r="AT28" s="5378"/>
      <c r="AU28" s="5378"/>
      <c r="AV28" s="5378"/>
      <c r="AW28" s="5378"/>
      <c r="AX28" s="5378"/>
      <c r="AY28" s="5378"/>
      <c r="AZ28" s="5378"/>
      <c r="BA28" s="5378"/>
      <c r="BB28" s="1892"/>
      <c r="BC28" s="244"/>
      <c r="BD28" s="199"/>
      <c r="BE28" s="284"/>
      <c r="BF28" s="284"/>
      <c r="BG28" s="284"/>
      <c r="BH28" s="284"/>
      <c r="BI28" s="284"/>
    </row>
    <row r="29" spans="1:61" s="4855" customFormat="1" ht="18.75" customHeight="1">
      <c r="A29" s="1246"/>
      <c r="B29" s="1246"/>
      <c r="C29" s="1246"/>
      <c r="D29" s="1246"/>
      <c r="E29" s="1246"/>
      <c r="F29" s="1246"/>
      <c r="G29" s="1246"/>
      <c r="H29" s="1246"/>
      <c r="I29" s="1246"/>
      <c r="J29" s="1246"/>
      <c r="K29" s="1246"/>
      <c r="L29" s="1247"/>
      <c r="M29" s="1246"/>
      <c r="N29" s="1246"/>
      <c r="O29" s="1246"/>
      <c r="S29" s="5368" t="s">
        <v>500</v>
      </c>
      <c r="T29" s="5368"/>
      <c r="U29" s="1250"/>
      <c r="V29" s="5369" t="str">
        <f>IF(TITLE_NUMBER_PR_CHANGE="",IF(TITLE_NUMBER_PR="","",TITLE_NUMBER_PR),TITLE_NUMBER_PR_CHANGE)</f>
        <v>317-Р</v>
      </c>
      <c r="W29" s="5369"/>
      <c r="X29" s="5369"/>
      <c r="Y29" s="5369"/>
      <c r="Z29" s="5369"/>
      <c r="AA29" s="5369"/>
      <c r="AB29" s="5369"/>
      <c r="AC29" s="5369"/>
      <c r="AD29" s="5369"/>
      <c r="AE29" s="5369"/>
      <c r="AF29" s="244"/>
      <c r="AG29" s="5369" t="str">
        <f>IF(TITLE_NUMBER_PR_CHANGE="",IF(TITLE_NUMBER_PR="","",TITLE_NUMBER_PR),TITLE_NUMBER_PR_CHANGE)</f>
        <v>317-Р</v>
      </c>
      <c r="AH29" s="5369"/>
      <c r="AI29" s="5369"/>
      <c r="AJ29" s="5369"/>
      <c r="AK29" s="5369"/>
      <c r="AL29" s="5369"/>
      <c r="AM29" s="5369"/>
      <c r="AN29" s="5369"/>
      <c r="AO29" s="5369"/>
      <c r="AP29" s="5369"/>
      <c r="AQ29" s="244"/>
      <c r="AR29" s="5369" t="str">
        <f>IF(TITLE_NUMBER_PR_CHANGE="",IF(TITLE_NUMBER_PR="","",TITLE_NUMBER_PR),TITLE_NUMBER_PR_CHANGE)</f>
        <v>317-Р</v>
      </c>
      <c r="AS29" s="5369"/>
      <c r="AT29" s="5369"/>
      <c r="AU29" s="5369"/>
      <c r="AV29" s="5369"/>
      <c r="AW29" s="5369"/>
      <c r="AX29" s="5369"/>
      <c r="AY29" s="5369"/>
      <c r="AZ29" s="5369"/>
      <c r="BA29" s="5369"/>
      <c r="BB29" s="1892"/>
      <c r="BC29" s="244"/>
      <c r="BD29" s="199"/>
      <c r="BE29" s="284"/>
      <c r="BF29" s="284"/>
      <c r="BG29" s="284"/>
      <c r="BH29" s="284"/>
      <c r="BI29" s="284"/>
    </row>
    <row r="30" spans="1:61" s="4855" customFormat="1" ht="18.75" customHeight="1">
      <c r="A30" s="1246"/>
      <c r="B30" s="1246"/>
      <c r="C30" s="1246"/>
      <c r="D30" s="1246"/>
      <c r="E30" s="1246"/>
      <c r="F30" s="1246"/>
      <c r="G30" s="1246"/>
      <c r="H30" s="1246"/>
      <c r="I30" s="1246"/>
      <c r="J30" s="1246"/>
      <c r="K30" s="1246"/>
      <c r="L30" s="1247"/>
      <c r="M30" s="1246"/>
      <c r="N30" s="1246"/>
      <c r="O30" s="1246"/>
      <c r="S30" s="5368" t="s">
        <v>40</v>
      </c>
      <c r="T30" s="5368"/>
      <c r="U30" s="1250"/>
      <c r="V30" s="5369" t="str">
        <f>IF(TITLE_IST_PUB_CHANGE="",IF(TITLE_IST_PUB="","",TITLE_IST_PUB),TITLE_IST_PUB_CHANGE)</f>
        <v>https://ktc.mosreg.ru/dokumenty/normotvorchestvo/rasporyazheniya/gosudarstvennoe-regulirovanie-tarifov-na-teplovuyu-energiyu-raspor/29-12-2023-16-47-50-rasporyazhenie-komiteta-po-tsenam-i-tarifam-moskov</v>
      </c>
      <c r="W30" s="5369"/>
      <c r="X30" s="5369"/>
      <c r="Y30" s="5369"/>
      <c r="Z30" s="5369"/>
      <c r="AA30" s="5369"/>
      <c r="AB30" s="5369"/>
      <c r="AC30" s="5369"/>
      <c r="AD30" s="5369"/>
      <c r="AE30" s="5369"/>
      <c r="AF30" s="244"/>
      <c r="AG30" s="5369" t="str">
        <f>IF(TITLE_IST_PUB_CHANGE="",IF(TITLE_IST_PUB="","",TITLE_IST_PUB),TITLE_IST_PUB_CHANGE)</f>
        <v>https://ktc.mosreg.ru/dokumenty/normotvorchestvo/rasporyazheniya/gosudarstvennoe-regulirovanie-tarifov-na-teplovuyu-energiyu-raspor/29-12-2023-16-47-50-rasporyazhenie-komiteta-po-tsenam-i-tarifam-moskov</v>
      </c>
      <c r="AH30" s="5369"/>
      <c r="AI30" s="5369"/>
      <c r="AJ30" s="5369"/>
      <c r="AK30" s="5369"/>
      <c r="AL30" s="5369"/>
      <c r="AM30" s="5369"/>
      <c r="AN30" s="5369"/>
      <c r="AO30" s="5369"/>
      <c r="AP30" s="5369"/>
      <c r="AQ30" s="244"/>
      <c r="AR30" s="5369" t="str">
        <f>IF(TITLE_IST_PUB_CHANGE="",IF(TITLE_IST_PUB="","",TITLE_IST_PUB),TITLE_IST_PUB_CHANGE)</f>
        <v>https://ktc.mosreg.ru/dokumenty/normotvorchestvo/rasporyazheniya/gosudarstvennoe-regulirovanie-tarifov-na-teplovuyu-energiyu-raspor/29-12-2023-16-47-50-rasporyazhenie-komiteta-po-tsenam-i-tarifam-moskov</v>
      </c>
      <c r="AS30" s="5369"/>
      <c r="AT30" s="5369"/>
      <c r="AU30" s="5369"/>
      <c r="AV30" s="5369"/>
      <c r="AW30" s="5369"/>
      <c r="AX30" s="5369"/>
      <c r="AY30" s="5369"/>
      <c r="AZ30" s="5369"/>
      <c r="BA30" s="5369"/>
      <c r="BB30" s="1892"/>
      <c r="BC30" s="244"/>
      <c r="BD30" s="199"/>
      <c r="BE30" s="284"/>
      <c r="BF30" s="284"/>
      <c r="BG30" s="284"/>
      <c r="BH30" s="284"/>
      <c r="BI30" s="284"/>
    </row>
    <row r="31" spans="1:61" ht="14.25" hidden="1" customHeight="1">
      <c r="Q31" s="292"/>
      <c r="R31" s="292"/>
      <c r="S31" s="1158"/>
      <c r="T31" s="280"/>
      <c r="U31" s="28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1934"/>
      <c r="AS31" s="1934"/>
      <c r="AT31" s="1934"/>
      <c r="AU31" s="1934"/>
      <c r="AV31" s="1934"/>
      <c r="AW31" s="1934"/>
      <c r="AX31" s="1934"/>
      <c r="AY31" s="1934"/>
      <c r="AZ31" s="1934"/>
      <c r="BA31" s="1934"/>
      <c r="BB31" s="1934"/>
      <c r="BC31" s="417"/>
    </row>
    <row r="32" spans="1:61" s="4855" customFormat="1" ht="18.75" hidden="1" customHeight="1">
      <c r="A32" s="1246"/>
      <c r="B32" s="1246"/>
      <c r="C32" s="1246"/>
      <c r="D32" s="1246"/>
      <c r="E32" s="1246"/>
      <c r="F32" s="1246"/>
      <c r="G32" s="1246"/>
      <c r="H32" s="1246"/>
      <c r="I32" s="1246"/>
      <c r="J32" s="1246"/>
      <c r="K32" s="1246"/>
      <c r="L32" s="1247"/>
      <c r="M32" s="1246"/>
      <c r="N32" s="1246"/>
      <c r="O32" s="1246"/>
      <c r="S32" s="5368" t="s">
        <v>501</v>
      </c>
      <c r="T32" s="5368"/>
      <c r="U32" s="1250"/>
      <c r="V32" s="5378">
        <f>IF(TITLE_DATE_PR_CHANGE="",IF(TITLE_DATE_PR="","",TITLE_DATE_PR),TITLE_DATE_PR_CHANGE)</f>
        <v>45280</v>
      </c>
      <c r="W32" s="5378"/>
      <c r="X32" s="5378"/>
      <c r="Y32" s="5378"/>
      <c r="Z32" s="5378"/>
      <c r="AA32" s="5378"/>
      <c r="AB32" s="5378"/>
      <c r="AC32" s="5378"/>
      <c r="AD32" s="5378"/>
      <c r="AE32" s="5378"/>
      <c r="AF32" s="244"/>
      <c r="AG32" s="5378">
        <f>IF(TITLE_DATE_PR_CHANGE="",IF(TITLE_DATE_PR="","",TITLE_DATE_PR),TITLE_DATE_PR_CHANGE)</f>
        <v>45280</v>
      </c>
      <c r="AH32" s="5378"/>
      <c r="AI32" s="5378"/>
      <c r="AJ32" s="5378"/>
      <c r="AK32" s="5378"/>
      <c r="AL32" s="5378"/>
      <c r="AM32" s="5378"/>
      <c r="AN32" s="5378"/>
      <c r="AO32" s="5378"/>
      <c r="AP32" s="5378"/>
      <c r="AQ32" s="244"/>
      <c r="AR32" s="5378">
        <f>IF(TITLE_DATE_PR_CHANGE="",IF(TITLE_DATE_PR="","",TITLE_DATE_PR),TITLE_DATE_PR_CHANGE)</f>
        <v>45280</v>
      </c>
      <c r="AS32" s="5378"/>
      <c r="AT32" s="5378"/>
      <c r="AU32" s="5378"/>
      <c r="AV32" s="5378"/>
      <c r="AW32" s="5378"/>
      <c r="AX32" s="5378"/>
      <c r="AY32" s="5378"/>
      <c r="AZ32" s="5378"/>
      <c r="BA32" s="5378"/>
      <c r="BB32" s="1892"/>
      <c r="BC32" s="244"/>
      <c r="BD32" s="199"/>
      <c r="BE32" s="284"/>
      <c r="BF32" s="284"/>
      <c r="BG32" s="284"/>
      <c r="BH32" s="284"/>
      <c r="BI32" s="284"/>
    </row>
    <row r="33" spans="1:61" s="4855" customFormat="1" ht="18.75" hidden="1" customHeight="1">
      <c r="A33" s="1246"/>
      <c r="B33" s="1246"/>
      <c r="C33" s="1246"/>
      <c r="D33" s="1246"/>
      <c r="E33" s="1246"/>
      <c r="F33" s="1246"/>
      <c r="G33" s="1246"/>
      <c r="H33" s="1246"/>
      <c r="I33" s="1246"/>
      <c r="J33" s="1246"/>
      <c r="K33" s="1246"/>
      <c r="L33" s="1247"/>
      <c r="M33" s="1246"/>
      <c r="N33" s="1246"/>
      <c r="O33" s="1246"/>
      <c r="S33" s="5368" t="s">
        <v>502</v>
      </c>
      <c r="T33" s="5368"/>
      <c r="U33" s="1250"/>
      <c r="V33" s="5369" t="str">
        <f>IF(TITLE_NUMBER_PR_CHANGE="",IF(TITLE_NUMBER_PR="","",TITLE_NUMBER_PR),TITLE_NUMBER_PR_CHANGE)</f>
        <v>317-Р</v>
      </c>
      <c r="W33" s="5369"/>
      <c r="X33" s="5369"/>
      <c r="Y33" s="5369"/>
      <c r="Z33" s="5369"/>
      <c r="AA33" s="5369"/>
      <c r="AB33" s="5369"/>
      <c r="AC33" s="5369"/>
      <c r="AD33" s="5369"/>
      <c r="AE33" s="5369"/>
      <c r="AF33" s="244"/>
      <c r="AG33" s="5369" t="str">
        <f>IF(TITLE_NUMBER_PR_CHANGE="",IF(TITLE_NUMBER_PR="","",TITLE_NUMBER_PR),TITLE_NUMBER_PR_CHANGE)</f>
        <v>317-Р</v>
      </c>
      <c r="AH33" s="5369"/>
      <c r="AI33" s="5369"/>
      <c r="AJ33" s="5369"/>
      <c r="AK33" s="5369"/>
      <c r="AL33" s="5369"/>
      <c r="AM33" s="5369"/>
      <c r="AN33" s="5369"/>
      <c r="AO33" s="5369"/>
      <c r="AP33" s="5369"/>
      <c r="AQ33" s="244"/>
      <c r="AR33" s="5369" t="str">
        <f>IF(TITLE_NUMBER_PR_CHANGE="",IF(TITLE_NUMBER_PR="","",TITLE_NUMBER_PR),TITLE_NUMBER_PR_CHANGE)</f>
        <v>317-Р</v>
      </c>
      <c r="AS33" s="5369"/>
      <c r="AT33" s="5369"/>
      <c r="AU33" s="5369"/>
      <c r="AV33" s="5369"/>
      <c r="AW33" s="5369"/>
      <c r="AX33" s="5369"/>
      <c r="AY33" s="5369"/>
      <c r="AZ33" s="5369"/>
      <c r="BA33" s="5369"/>
      <c r="BB33" s="1892"/>
      <c r="BC33" s="244"/>
      <c r="BD33" s="199"/>
      <c r="BE33" s="284"/>
      <c r="BF33" s="284"/>
      <c r="BG33" s="284"/>
      <c r="BH33" s="284"/>
      <c r="BI33" s="284"/>
    </row>
    <row r="34" spans="1:61" s="4855" customFormat="1" ht="0.75" customHeight="1">
      <c r="A34" s="1246"/>
      <c r="B34" s="1246"/>
      <c r="C34" s="1246"/>
      <c r="D34" s="1246"/>
      <c r="E34" s="1246"/>
      <c r="F34" s="1246"/>
      <c r="G34" s="1246"/>
      <c r="H34" s="1246"/>
      <c r="I34" s="1246"/>
      <c r="J34" s="1246"/>
      <c r="K34" s="1246"/>
      <c r="L34" s="1247"/>
      <c r="M34" s="1246"/>
      <c r="N34" s="1246"/>
      <c r="O34" s="1246"/>
      <c r="S34" s="241"/>
      <c r="T34" s="241"/>
      <c r="U34" s="1360"/>
      <c r="V34" s="244"/>
      <c r="W34" s="1499"/>
      <c r="X34" s="1499"/>
      <c r="Y34" s="1499"/>
      <c r="Z34" s="1499"/>
      <c r="AA34" s="1499"/>
      <c r="AB34" s="1499"/>
      <c r="AC34" s="244"/>
      <c r="AD34" s="244"/>
      <c r="AE34" s="244"/>
      <c r="AF34" s="197" t="s">
        <v>503</v>
      </c>
      <c r="AG34" s="244"/>
      <c r="AH34" s="1499"/>
      <c r="AI34" s="1499"/>
      <c r="AJ34" s="1499"/>
      <c r="AK34" s="1499"/>
      <c r="AL34" s="1499"/>
      <c r="AM34" s="244"/>
      <c r="AN34" s="244"/>
      <c r="AO34" s="244"/>
      <c r="AP34" s="244"/>
      <c r="AQ34" s="197" t="s">
        <v>503</v>
      </c>
      <c r="AR34" s="1892"/>
      <c r="AS34" s="1892"/>
      <c r="AT34" s="1892"/>
      <c r="AU34" s="1892"/>
      <c r="AV34" s="1892"/>
      <c r="AW34" s="1892"/>
      <c r="AX34" s="1892"/>
      <c r="AY34" s="1892"/>
      <c r="AZ34" s="1892"/>
      <c r="BA34" s="1892"/>
      <c r="BB34" s="1935" t="s">
        <v>503</v>
      </c>
      <c r="BE34" s="284"/>
      <c r="BF34" s="284"/>
      <c r="BG34" s="284"/>
      <c r="BH34" s="284"/>
      <c r="BI34" s="284"/>
    </row>
    <row r="35" spans="1:61" ht="14.25" customHeight="1">
      <c r="Q35" s="292"/>
      <c r="R35" s="292"/>
      <c r="S35" s="1158"/>
      <c r="T35" s="280"/>
      <c r="U35" s="1127"/>
      <c r="V35" s="5370"/>
      <c r="W35" s="5370"/>
      <c r="X35" s="5370"/>
      <c r="Y35" s="5370"/>
      <c r="Z35" s="5370"/>
      <c r="AA35" s="5370"/>
      <c r="AB35" s="5370"/>
      <c r="AC35" s="5370"/>
      <c r="AD35" s="5370"/>
      <c r="AE35" s="5370"/>
      <c r="AF35" s="5370"/>
      <c r="AG35" s="5370"/>
      <c r="AH35" s="5370"/>
      <c r="AI35" s="5370"/>
      <c r="AJ35" s="5370"/>
      <c r="AK35" s="5370"/>
      <c r="AL35" s="5370"/>
      <c r="AM35" s="5370"/>
      <c r="AN35" s="5370"/>
      <c r="AO35" s="5370"/>
      <c r="AP35" s="5370"/>
      <c r="AQ35" s="5370"/>
      <c r="AR35" s="5370" t="s">
        <v>101</v>
      </c>
      <c r="AS35" s="5370"/>
      <c r="AT35" s="5370"/>
      <c r="AU35" s="5370"/>
      <c r="AV35" s="5370"/>
      <c r="AW35" s="5370"/>
      <c r="AX35" s="5370"/>
      <c r="AY35" s="5370"/>
      <c r="AZ35" s="5370"/>
      <c r="BA35" s="5370"/>
      <c r="BB35" s="5370"/>
    </row>
    <row r="36" spans="1:61" ht="14.25" customHeight="1">
      <c r="Q36" s="292"/>
      <c r="R36" s="292"/>
      <c r="S36" s="5244" t="s">
        <v>378</v>
      </c>
      <c r="T36" s="5244"/>
      <c r="U36" s="5244"/>
      <c r="V36" s="5244"/>
      <c r="W36" s="5244"/>
      <c r="X36" s="5244"/>
      <c r="Y36" s="5244"/>
      <c r="Z36" s="5244"/>
      <c r="AA36" s="5244"/>
      <c r="AB36" s="5244"/>
      <c r="AC36" s="5244"/>
      <c r="AD36" s="5244"/>
      <c r="AE36" s="5244"/>
      <c r="AF36" s="5244"/>
      <c r="AG36" s="5244"/>
      <c r="AH36" s="5244"/>
      <c r="AI36" s="5244"/>
      <c r="AJ36" s="5244"/>
      <c r="AK36" s="5244"/>
      <c r="AL36" s="5244"/>
      <c r="AM36" s="5244"/>
      <c r="AN36" s="5244"/>
      <c r="AO36" s="5244"/>
      <c r="AP36" s="5244"/>
      <c r="AQ36" s="5244"/>
      <c r="AR36" s="5244" t="s">
        <v>378</v>
      </c>
      <c r="AS36" s="5244"/>
      <c r="AT36" s="5244"/>
      <c r="AU36" s="5244"/>
      <c r="AV36" s="5244"/>
      <c r="AW36" s="5244"/>
      <c r="AX36" s="5244"/>
      <c r="AY36" s="5244"/>
      <c r="AZ36" s="5244"/>
      <c r="BA36" s="5244"/>
      <c r="BB36" s="5244"/>
      <c r="BC36" s="5244"/>
      <c r="BD36" s="5244"/>
    </row>
    <row r="37" spans="1:61" ht="14.25" customHeight="1">
      <c r="Q37" s="292"/>
      <c r="R37" s="292"/>
      <c r="S37" s="5384" t="s">
        <v>85</v>
      </c>
      <c r="T37" s="5336" t="s">
        <v>504</v>
      </c>
      <c r="U37" s="219"/>
      <c r="V37" s="5385" t="s">
        <v>505</v>
      </c>
      <c r="W37" s="5402"/>
      <c r="X37" s="5402"/>
      <c r="Y37" s="5402"/>
      <c r="Z37" s="5402"/>
      <c r="AA37" s="5402"/>
      <c r="AB37" s="5402"/>
      <c r="AC37" s="5386"/>
      <c r="AD37" s="5386"/>
      <c r="AE37" s="5387"/>
      <c r="AF37" s="5388" t="s">
        <v>506</v>
      </c>
      <c r="AG37" s="5385" t="s">
        <v>505</v>
      </c>
      <c r="AH37" s="5386"/>
      <c r="AI37" s="5386"/>
      <c r="AJ37" s="5386"/>
      <c r="AK37" s="5386"/>
      <c r="AL37" s="5386"/>
      <c r="AM37" s="5386"/>
      <c r="AN37" s="5386"/>
      <c r="AO37" s="5386"/>
      <c r="AP37" s="5387"/>
      <c r="AQ37" s="5388" t="s">
        <v>507</v>
      </c>
      <c r="AR37" s="5385" t="s">
        <v>505</v>
      </c>
      <c r="AS37" s="5402"/>
      <c r="AT37" s="5402"/>
      <c r="AU37" s="5402"/>
      <c r="AV37" s="5402"/>
      <c r="AW37" s="5402"/>
      <c r="AX37" s="5402"/>
      <c r="AY37" s="5386"/>
      <c r="AZ37" s="5386"/>
      <c r="BA37" s="5387"/>
      <c r="BB37" s="5388" t="s">
        <v>506</v>
      </c>
      <c r="BC37" s="5391" t="s">
        <v>508</v>
      </c>
      <c r="BD37" s="5244"/>
    </row>
    <row r="38" spans="1:61" ht="18.75" customHeight="1">
      <c r="Q38" s="292"/>
      <c r="R38" s="292"/>
      <c r="S38" s="5384"/>
      <c r="T38" s="5336"/>
      <c r="U38" s="920"/>
      <c r="V38" s="5244" t="s">
        <v>608</v>
      </c>
      <c r="W38" s="5332" t="s">
        <v>609</v>
      </c>
      <c r="X38" s="5332"/>
      <c r="Y38" s="5332"/>
      <c r="Z38" s="5332" t="s">
        <v>610</v>
      </c>
      <c r="AA38" s="5332"/>
      <c r="AB38" s="5332"/>
      <c r="AC38" s="5322" t="s">
        <v>512</v>
      </c>
      <c r="AD38" s="5409"/>
      <c r="AE38" s="5323"/>
      <c r="AF38" s="5389"/>
      <c r="AG38" s="5244" t="s">
        <v>608</v>
      </c>
      <c r="AH38" s="5332" t="s">
        <v>609</v>
      </c>
      <c r="AI38" s="5332"/>
      <c r="AJ38" s="5332"/>
      <c r="AK38" s="5332" t="s">
        <v>610</v>
      </c>
      <c r="AL38" s="5332"/>
      <c r="AM38" s="5332"/>
      <c r="AN38" s="5322" t="s">
        <v>512</v>
      </c>
      <c r="AO38" s="5409"/>
      <c r="AP38" s="5323"/>
      <c r="AQ38" s="5389"/>
      <c r="AR38" s="5244" t="s">
        <v>608</v>
      </c>
      <c r="AS38" s="5332" t="s">
        <v>609</v>
      </c>
      <c r="AT38" s="5332"/>
      <c r="AU38" s="5332"/>
      <c r="AV38" s="5332" t="s">
        <v>610</v>
      </c>
      <c r="AW38" s="5332"/>
      <c r="AX38" s="5332"/>
      <c r="AY38" s="5322" t="s">
        <v>512</v>
      </c>
      <c r="AZ38" s="5409"/>
      <c r="BA38" s="5323"/>
      <c r="BB38" s="5389"/>
      <c r="BC38" s="5392"/>
      <c r="BD38" s="5244"/>
    </row>
    <row r="39" spans="1:61" s="4868" customFormat="1" ht="18.75" customHeight="1">
      <c r="A39" s="1244"/>
      <c r="B39" s="1244"/>
      <c r="C39" s="1244"/>
      <c r="D39" s="1244"/>
      <c r="E39" s="1244"/>
      <c r="F39" s="1244"/>
      <c r="G39" s="1244"/>
      <c r="H39" s="1244"/>
      <c r="I39" s="1244"/>
      <c r="J39" s="1244"/>
      <c r="K39" s="1244"/>
      <c r="L39" s="1812"/>
      <c r="M39" s="1240"/>
      <c r="N39" s="1240"/>
      <c r="O39" s="1240"/>
      <c r="P39" s="1826"/>
      <c r="Q39" s="292"/>
      <c r="R39" s="292"/>
      <c r="S39" s="5384"/>
      <c r="T39" s="5336"/>
      <c r="U39" s="920"/>
      <c r="V39" s="5244"/>
      <c r="W39" s="5332" t="s">
        <v>611</v>
      </c>
      <c r="X39" s="5332" t="s">
        <v>612</v>
      </c>
      <c r="Y39" s="5332"/>
      <c r="Z39" s="5332" t="s">
        <v>613</v>
      </c>
      <c r="AA39" s="5332" t="s">
        <v>612</v>
      </c>
      <c r="AB39" s="5332"/>
      <c r="AC39" s="5327"/>
      <c r="AD39" s="5410"/>
      <c r="AE39" s="5328"/>
      <c r="AF39" s="5389"/>
      <c r="AG39" s="5244"/>
      <c r="AH39" s="5332" t="s">
        <v>611</v>
      </c>
      <c r="AI39" s="5332" t="s">
        <v>612</v>
      </c>
      <c r="AJ39" s="5332"/>
      <c r="AK39" s="5332" t="s">
        <v>613</v>
      </c>
      <c r="AL39" s="5332" t="s">
        <v>612</v>
      </c>
      <c r="AM39" s="5332"/>
      <c r="AN39" s="5327"/>
      <c r="AO39" s="5410"/>
      <c r="AP39" s="5328"/>
      <c r="AQ39" s="5389"/>
      <c r="AR39" s="5244"/>
      <c r="AS39" s="5332" t="s">
        <v>611</v>
      </c>
      <c r="AT39" s="5332" t="s">
        <v>612</v>
      </c>
      <c r="AU39" s="5332"/>
      <c r="AV39" s="5332" t="s">
        <v>613</v>
      </c>
      <c r="AW39" s="5332" t="s">
        <v>612</v>
      </c>
      <c r="AX39" s="5332"/>
      <c r="AY39" s="5327"/>
      <c r="AZ39" s="5410"/>
      <c r="BA39" s="5328"/>
      <c r="BB39" s="5389"/>
      <c r="BC39" s="5392"/>
      <c r="BD39" s="5244"/>
      <c r="BE39" s="1500"/>
      <c r="BF39" s="1500"/>
      <c r="BG39" s="1500"/>
      <c r="BH39" s="1500"/>
      <c r="BI39" s="1500"/>
    </row>
    <row r="40" spans="1:61" ht="59.25" customHeight="1">
      <c r="A40" s="1248"/>
      <c r="B40" s="1248" t="s">
        <v>153</v>
      </c>
      <c r="C40" s="1248" t="s">
        <v>154</v>
      </c>
      <c r="D40" s="1248" t="s">
        <v>155</v>
      </c>
      <c r="E40" s="1242" t="s">
        <v>513</v>
      </c>
      <c r="F40" s="1242" t="s">
        <v>514</v>
      </c>
      <c r="G40" s="1242" t="s">
        <v>515</v>
      </c>
      <c r="H40" s="1242"/>
      <c r="I40" s="1242" t="s">
        <v>566</v>
      </c>
      <c r="J40" s="1242" t="s">
        <v>518</v>
      </c>
      <c r="K40" s="1242" t="s">
        <v>567</v>
      </c>
      <c r="L40" s="1242" t="s">
        <v>494</v>
      </c>
      <c r="Q40" s="292"/>
      <c r="R40" s="292"/>
      <c r="S40" s="5384"/>
      <c r="T40" s="5336"/>
      <c r="U40" s="220"/>
      <c r="V40" s="5244"/>
      <c r="W40" s="5332"/>
      <c r="X40" s="1845" t="s">
        <v>614</v>
      </c>
      <c r="Y40" s="1845" t="s">
        <v>615</v>
      </c>
      <c r="Z40" s="5332"/>
      <c r="AA40" s="1845" t="s">
        <v>616</v>
      </c>
      <c r="AB40" s="1845" t="s">
        <v>617</v>
      </c>
      <c r="AC40" s="1361" t="s">
        <v>522</v>
      </c>
      <c r="AD40" s="5344" t="s">
        <v>523</v>
      </c>
      <c r="AE40" s="5346"/>
      <c r="AF40" s="5390"/>
      <c r="AG40" s="5244"/>
      <c r="AH40" s="5332"/>
      <c r="AI40" s="1845" t="s">
        <v>614</v>
      </c>
      <c r="AJ40" s="1845" t="s">
        <v>615</v>
      </c>
      <c r="AK40" s="5332"/>
      <c r="AL40" s="1845" t="s">
        <v>616</v>
      </c>
      <c r="AM40" s="1845" t="s">
        <v>617</v>
      </c>
      <c r="AN40" s="1361" t="s">
        <v>522</v>
      </c>
      <c r="AO40" s="5344" t="s">
        <v>523</v>
      </c>
      <c r="AP40" s="5346"/>
      <c r="AQ40" s="5390"/>
      <c r="AR40" s="5244"/>
      <c r="AS40" s="5332"/>
      <c r="AT40" s="1936" t="s">
        <v>614</v>
      </c>
      <c r="AU40" s="1936" t="s">
        <v>615</v>
      </c>
      <c r="AV40" s="5332"/>
      <c r="AW40" s="1936" t="s">
        <v>616</v>
      </c>
      <c r="AX40" s="1936" t="s">
        <v>617</v>
      </c>
      <c r="AY40" s="1937" t="s">
        <v>522</v>
      </c>
      <c r="AZ40" s="5344" t="s">
        <v>523</v>
      </c>
      <c r="BA40" s="5346"/>
      <c r="BB40" s="5390"/>
      <c r="BC40" s="5393"/>
      <c r="BD40" s="5244"/>
    </row>
    <row r="41" spans="1:61" s="4840" customFormat="1" ht="11.25" hidden="1" customHeight="1">
      <c r="A41" s="1248"/>
      <c r="B41" s="1248"/>
      <c r="C41" s="1248"/>
      <c r="D41" s="1248"/>
      <c r="E41" s="1248"/>
      <c r="F41" s="1248"/>
      <c r="G41" s="1248"/>
      <c r="H41" s="1248"/>
      <c r="I41" s="1248"/>
      <c r="J41" s="1248"/>
      <c r="K41" s="1248"/>
      <c r="L41" s="1242"/>
      <c r="M41" s="1240"/>
      <c r="N41" s="1240"/>
      <c r="O41" s="1240"/>
      <c r="P41" s="1129"/>
      <c r="Q41" s="1130"/>
      <c r="R41" s="1137">
        <v>1</v>
      </c>
      <c r="S41" s="1160" t="s">
        <v>129</v>
      </c>
      <c r="T41" s="1138" t="s">
        <v>100</v>
      </c>
      <c r="U41" s="1128" t="str">
        <f ca="1">OFFSET(U41,0,-1)</f>
        <v>2</v>
      </c>
      <c r="V41" s="1354">
        <f ca="1">OFFSET(V41,0,-1)+1</f>
        <v>3</v>
      </c>
      <c r="W41" s="1220"/>
      <c r="X41" s="1220"/>
      <c r="Y41" s="1220"/>
      <c r="Z41" s="1220"/>
      <c r="AA41" s="1220"/>
      <c r="AB41" s="1220"/>
      <c r="AC41" s="1354">
        <f ca="1">OFFSET(AC41,0,-1)+1</f>
        <v>1</v>
      </c>
      <c r="AD41" s="5383">
        <f ca="1">OFFSET(AD41,0,-1)+1</f>
        <v>2</v>
      </c>
      <c r="AE41" s="5383"/>
      <c r="AF41" s="1354">
        <f ca="1">OFFSET(AF41,0,-2)+1</f>
        <v>3</v>
      </c>
      <c r="AG41" s="1354">
        <f ca="1">OFFSET(AG41,0,-1)+1</f>
        <v>4</v>
      </c>
      <c r="AH41" s="1817"/>
      <c r="AI41" s="1817"/>
      <c r="AJ41" s="1817"/>
      <c r="AK41" s="1817"/>
      <c r="AL41" s="1817"/>
      <c r="AM41" s="1354">
        <f ca="1">OFFSET(AM41,0,-1)+1</f>
        <v>1</v>
      </c>
      <c r="AN41" s="1354">
        <f ca="1">OFFSET(AN41,0,-1)+1</f>
        <v>2</v>
      </c>
      <c r="AO41" s="5383">
        <f ca="1">OFFSET(AO41,0,-1)+1</f>
        <v>3</v>
      </c>
      <c r="AP41" s="5383"/>
      <c r="AQ41" s="1354">
        <f ca="1">OFFSET(AQ41,0,-2)+1</f>
        <v>4</v>
      </c>
      <c r="AR41" s="1938">
        <f ca="1">OFFSET(AR41,0,-1)+1</f>
        <v>5</v>
      </c>
      <c r="AS41" s="1939"/>
      <c r="AT41" s="1939"/>
      <c r="AU41" s="1939"/>
      <c r="AV41" s="1939"/>
      <c r="AW41" s="1939"/>
      <c r="AX41" s="1939"/>
      <c r="AY41" s="1938">
        <f ca="1">OFFSET(AY41,0,-1)+1</f>
        <v>1</v>
      </c>
      <c r="AZ41" s="5383">
        <f ca="1">OFFSET(AZ41,0,-1)+1</f>
        <v>2</v>
      </c>
      <c r="BA41" s="5383"/>
      <c r="BB41" s="1938">
        <f ca="1">OFFSET(BB41,0,-2)+1</f>
        <v>3</v>
      </c>
      <c r="BC41" s="1128">
        <f ca="1">OFFSET(BC41,0,-1)</f>
        <v>3</v>
      </c>
      <c r="BD41" s="1354">
        <f ca="1">OFFSET(BD41,0,-1)+1</f>
        <v>4</v>
      </c>
      <c r="BE41" s="419"/>
      <c r="BF41" s="419"/>
      <c r="BG41" s="419"/>
      <c r="BH41" s="419"/>
      <c r="BI41" s="419"/>
    </row>
    <row r="42" spans="1:61" ht="23.25" customHeight="1">
      <c r="A42" s="1241" t="s">
        <v>268</v>
      </c>
      <c r="B42" s="1241"/>
      <c r="C42" s="1241"/>
      <c r="D42" s="1241"/>
      <c r="E42" s="5376">
        <v>1</v>
      </c>
      <c r="F42" s="1241"/>
      <c r="G42" s="1241"/>
      <c r="H42" s="1241"/>
      <c r="I42" s="1241"/>
      <c r="J42" s="1241"/>
      <c r="K42" s="1241"/>
      <c r="L42" s="1242"/>
      <c r="M42" s="1243"/>
      <c r="N42" s="1243"/>
      <c r="O42" s="1243"/>
      <c r="P42" s="278"/>
      <c r="Q42" s="277"/>
      <c r="R42" s="272"/>
      <c r="S42" s="1365">
        <f>INDEX(PT_DIFFERENTIATION_NUM_NTAR,MATCH(A42,PT_DIFFERENTIATION_NTAR_ID,0))</f>
        <v>1</v>
      </c>
      <c r="T42" s="216" t="s">
        <v>141</v>
      </c>
      <c r="U42" s="218"/>
      <c r="V42" s="5362"/>
      <c r="W42" s="5363"/>
      <c r="X42" s="5363"/>
      <c r="Y42" s="5363"/>
      <c r="Z42" s="5363"/>
      <c r="AA42" s="5363"/>
      <c r="AB42" s="5363"/>
      <c r="AC42" s="5363"/>
      <c r="AD42" s="5363"/>
      <c r="AE42" s="5363"/>
      <c r="AF42" s="5364"/>
      <c r="AG42" s="5362" t="str">
        <f>INDEX(PT_DIFFERENTIATION_NTAR,MATCH(A42,PT_DIFFERENTIATION_NTAR_ID,0))</f>
        <v>Тариф на горячую воду в закрытых системах горячего водоснабжения</v>
      </c>
      <c r="AH42" s="5363"/>
      <c r="AI42" s="5363"/>
      <c r="AJ42" s="5363"/>
      <c r="AK42" s="5363"/>
      <c r="AL42" s="5363"/>
      <c r="AM42" s="5363"/>
      <c r="AN42" s="5363"/>
      <c r="AO42" s="5363"/>
      <c r="AP42" s="5363"/>
      <c r="AQ42" s="5363"/>
      <c r="AR42" s="5362"/>
      <c r="AS42" s="5363"/>
      <c r="AT42" s="5363"/>
      <c r="AU42" s="5363"/>
      <c r="AV42" s="5363"/>
      <c r="AW42" s="5363"/>
      <c r="AX42" s="5363"/>
      <c r="AY42" s="5363"/>
      <c r="AZ42" s="5363"/>
      <c r="BA42" s="5363"/>
      <c r="BB42" s="5364"/>
      <c r="BC42" s="5364"/>
      <c r="BD4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F42" s="408"/>
      <c r="BG42" s="408" t="str">
        <f t="shared" ref="BG42:BG105" si="1">IF(T42="","",T42)</f>
        <v>Наименование тарифа</v>
      </c>
      <c r="BH42" s="408"/>
      <c r="BI42" s="408"/>
    </row>
    <row r="43" spans="1:61" ht="23.25" customHeight="1">
      <c r="A43" s="1241" t="s">
        <v>268</v>
      </c>
      <c r="B43" s="1241" t="s">
        <v>269</v>
      </c>
      <c r="C43" s="1241"/>
      <c r="D43" s="1241"/>
      <c r="E43" s="5377"/>
      <c r="F43" s="5376">
        <v>1</v>
      </c>
      <c r="G43" s="1241"/>
      <c r="H43" s="1241"/>
      <c r="I43" s="1241"/>
      <c r="J43" s="1241"/>
      <c r="K43" s="1241"/>
      <c r="L43" s="1242"/>
      <c r="M43" s="1243"/>
      <c r="N43" s="1243"/>
      <c r="O43" s="1243"/>
      <c r="P43" s="1359"/>
      <c r="Q43" s="269"/>
      <c r="R43" s="270"/>
      <c r="S43" s="1365" t="str">
        <f>INDEX(PT_DIFFERENTIATION_NUM_TER,MATCH(B43,PT_DIFFERENTIATION_TER_ID,0))</f>
        <v>1.1</v>
      </c>
      <c r="T43" s="226" t="s">
        <v>475</v>
      </c>
      <c r="U43" s="218"/>
      <c r="V43" s="5362"/>
      <c r="W43" s="5363"/>
      <c r="X43" s="5363"/>
      <c r="Y43" s="5363"/>
      <c r="Z43" s="5363"/>
      <c r="AA43" s="5363"/>
      <c r="AB43" s="5363"/>
      <c r="AC43" s="5363"/>
      <c r="AD43" s="5363"/>
      <c r="AE43" s="5363"/>
      <c r="AF43" s="5364"/>
      <c r="AG43" s="5362" t="str">
        <f>INDEX(PT_DIFFERENTIATION_TER,MATCH(B43,PT_DIFFERENTIATION_TER_ID,0))</f>
        <v>Воскресенск</v>
      </c>
      <c r="AH43" s="5363"/>
      <c r="AI43" s="5363"/>
      <c r="AJ43" s="5363"/>
      <c r="AK43" s="5363"/>
      <c r="AL43" s="5363"/>
      <c r="AM43" s="5363"/>
      <c r="AN43" s="5363"/>
      <c r="AO43" s="5363"/>
      <c r="AP43" s="5363"/>
      <c r="AQ43" s="5363"/>
      <c r="AR43" s="5362"/>
      <c r="AS43" s="5363"/>
      <c r="AT43" s="5363"/>
      <c r="AU43" s="5363"/>
      <c r="AV43" s="5363"/>
      <c r="AW43" s="5363"/>
      <c r="AX43" s="5363"/>
      <c r="AY43" s="5363"/>
      <c r="AZ43" s="5363"/>
      <c r="BA43" s="5363"/>
      <c r="BB43" s="5364"/>
      <c r="BC43" s="5364"/>
      <c r="BD43" s="1141" t="s">
        <v>476</v>
      </c>
      <c r="BF43" s="408"/>
      <c r="BG43" s="408" t="str">
        <f t="shared" si="1"/>
        <v>Территория действия тарифа</v>
      </c>
      <c r="BH43" s="408"/>
      <c r="BI43" s="408"/>
    </row>
    <row r="44" spans="1:61" ht="23.25" customHeight="1">
      <c r="A44" s="1241" t="s">
        <v>268</v>
      </c>
      <c r="B44" s="1241" t="s">
        <v>269</v>
      </c>
      <c r="C44" s="1241" t="s">
        <v>270</v>
      </c>
      <c r="D44" s="1241"/>
      <c r="E44" s="5377"/>
      <c r="F44" s="5377"/>
      <c r="G44" s="5376">
        <v>1</v>
      </c>
      <c r="H44" s="1241"/>
      <c r="I44" s="1241"/>
      <c r="J44" s="1241"/>
      <c r="K44" s="1241"/>
      <c r="L44" s="1242"/>
      <c r="M44" s="1243"/>
      <c r="N44" s="1243"/>
      <c r="O44" s="1243"/>
      <c r="P44" s="271"/>
      <c r="Q44" s="269"/>
      <c r="R44" s="270"/>
      <c r="S44" s="1365" t="str">
        <f>INDEX(PT_DIFFERENTIATION_NUM_CS,MATCH(C44,PT_DIFFERENTIATION_CS_ID,0))</f>
        <v>1.1.1</v>
      </c>
      <c r="T44" s="227" t="s">
        <v>606</v>
      </c>
      <c r="U44" s="218"/>
      <c r="V44" s="5362"/>
      <c r="W44" s="5363"/>
      <c r="X44" s="5363"/>
      <c r="Y44" s="5363"/>
      <c r="Z44" s="5363"/>
      <c r="AA44" s="5363"/>
      <c r="AB44" s="5363"/>
      <c r="AC44" s="5363"/>
      <c r="AD44" s="5363"/>
      <c r="AE44" s="5363"/>
      <c r="AF44" s="5364"/>
      <c r="AG44" s="5362" t="str">
        <f>INDEX(PT_DIFFERENTIATION_CS,MATCH(C44,PT_DIFFERENTIATION_CS_ID,0))</f>
        <v>без дифференциации</v>
      </c>
      <c r="AH44" s="5363"/>
      <c r="AI44" s="5363"/>
      <c r="AJ44" s="5363"/>
      <c r="AK44" s="5363"/>
      <c r="AL44" s="5363"/>
      <c r="AM44" s="5363"/>
      <c r="AN44" s="5363"/>
      <c r="AO44" s="5363"/>
      <c r="AP44" s="5363"/>
      <c r="AQ44" s="5363"/>
      <c r="AR44" s="5362"/>
      <c r="AS44" s="5363"/>
      <c r="AT44" s="5363"/>
      <c r="AU44" s="5363"/>
      <c r="AV44" s="5363"/>
      <c r="AW44" s="5363"/>
      <c r="AX44" s="5363"/>
      <c r="AY44" s="5363"/>
      <c r="AZ44" s="5363"/>
      <c r="BA44" s="5363"/>
      <c r="BB44" s="5364"/>
      <c r="BC44" s="5364"/>
      <c r="BD44" s="1141" t="s">
        <v>607</v>
      </c>
      <c r="BF44" s="408"/>
      <c r="BG44" s="408" t="str">
        <f t="shared" si="1"/>
        <v>Наименование централизованной системы горячего водоснабжения</v>
      </c>
      <c r="BH44" s="408"/>
      <c r="BI44" s="408"/>
    </row>
    <row r="45" spans="1:61" ht="23.25" customHeight="1">
      <c r="A45" s="1241" t="s">
        <v>268</v>
      </c>
      <c r="B45" s="1241" t="s">
        <v>269</v>
      </c>
      <c r="C45" s="1241" t="s">
        <v>270</v>
      </c>
      <c r="D45" s="1241" t="s">
        <v>618</v>
      </c>
      <c r="E45" s="5377"/>
      <c r="F45" s="5377"/>
      <c r="G45" s="5377"/>
      <c r="H45" s="5377"/>
      <c r="I45" s="5374" t="str">
        <f>S44&amp;".1"</f>
        <v>1.1.1.1</v>
      </c>
      <c r="J45" s="1241"/>
      <c r="K45" s="1241"/>
      <c r="L45" s="1242"/>
      <c r="P45" s="5375">
        <v>1</v>
      </c>
      <c r="Q45" s="1353"/>
      <c r="R45" s="273"/>
      <c r="S45" s="1365" t="str">
        <f>$I45</f>
        <v>1.1.1.1</v>
      </c>
      <c r="T45" s="203" t="s">
        <v>559</v>
      </c>
      <c r="U45" s="218"/>
      <c r="V45" s="5435"/>
      <c r="W45" s="5436"/>
      <c r="X45" s="5436"/>
      <c r="Y45" s="5436"/>
      <c r="Z45" s="5436"/>
      <c r="AA45" s="5436"/>
      <c r="AB45" s="5436"/>
      <c r="AC45" s="5436"/>
      <c r="AD45" s="5436"/>
      <c r="AE45" s="5436"/>
      <c r="AF45" s="5437"/>
      <c r="AG45" s="5438"/>
      <c r="AH45" s="5439"/>
      <c r="AI45" s="5439"/>
      <c r="AJ45" s="5439"/>
      <c r="AK45" s="5439"/>
      <c r="AL45" s="5439"/>
      <c r="AM45" s="5439"/>
      <c r="AN45" s="5439"/>
      <c r="AO45" s="5439"/>
      <c r="AP45" s="5439"/>
      <c r="AQ45" s="5439"/>
      <c r="AR45" s="5435"/>
      <c r="AS45" s="5436"/>
      <c r="AT45" s="5436"/>
      <c r="AU45" s="5436"/>
      <c r="AV45" s="5436"/>
      <c r="AW45" s="5436"/>
      <c r="AX45" s="5436"/>
      <c r="AY45" s="5436"/>
      <c r="AZ45" s="5436"/>
      <c r="BA45" s="5436"/>
      <c r="BB45" s="5437"/>
      <c r="BC45" s="5440"/>
      <c r="BD45" s="1141" t="s">
        <v>560</v>
      </c>
      <c r="BF45" s="408"/>
      <c r="BG45" s="408" t="str">
        <f t="shared" si="1"/>
        <v>Наименование признака дифференциации</v>
      </c>
      <c r="BH45" s="408"/>
      <c r="BI45" s="408"/>
    </row>
    <row r="46" spans="1:61" ht="23.25" customHeight="1">
      <c r="A46" s="1241" t="s">
        <v>268</v>
      </c>
      <c r="B46" s="1241" t="s">
        <v>269</v>
      </c>
      <c r="C46" s="1241" t="s">
        <v>270</v>
      </c>
      <c r="D46" s="1241" t="s">
        <v>618</v>
      </c>
      <c r="E46" s="5377"/>
      <c r="F46" s="5377"/>
      <c r="G46" s="5377"/>
      <c r="H46" s="5377"/>
      <c r="I46" s="5397"/>
      <c r="J46" s="5374" t="str">
        <f>I45&amp;".1"</f>
        <v>1.1.1.1.1</v>
      </c>
      <c r="K46" s="1241"/>
      <c r="L46" s="1242" t="s">
        <v>484</v>
      </c>
      <c r="P46" s="5375"/>
      <c r="Q46" s="5375">
        <v>1</v>
      </c>
      <c r="R46" s="274"/>
      <c r="S46" s="1365" t="str">
        <f>$J46</f>
        <v>1.1.1.1.1</v>
      </c>
      <c r="T46" s="204" t="s">
        <v>485</v>
      </c>
      <c r="U46" s="218"/>
      <c r="V46" s="5365"/>
      <c r="W46" s="5366"/>
      <c r="X46" s="5366"/>
      <c r="Y46" s="5366"/>
      <c r="Z46" s="5366"/>
      <c r="AA46" s="5366"/>
      <c r="AB46" s="5366"/>
      <c r="AC46" s="5366"/>
      <c r="AD46" s="5366"/>
      <c r="AE46" s="5366"/>
      <c r="AF46" s="5367"/>
      <c r="AG46" s="5365" t="s">
        <v>619</v>
      </c>
      <c r="AH46" s="5366"/>
      <c r="AI46" s="5366"/>
      <c r="AJ46" s="5366"/>
      <c r="AK46" s="5366"/>
      <c r="AL46" s="5366"/>
      <c r="AM46" s="5366"/>
      <c r="AN46" s="5366"/>
      <c r="AO46" s="5366"/>
      <c r="AP46" s="5366"/>
      <c r="AQ46" s="5366"/>
      <c r="AR46" s="5365"/>
      <c r="AS46" s="5366"/>
      <c r="AT46" s="5366"/>
      <c r="AU46" s="5366"/>
      <c r="AV46" s="5366"/>
      <c r="AW46" s="5366"/>
      <c r="AX46" s="5366"/>
      <c r="AY46" s="5366"/>
      <c r="AZ46" s="5366"/>
      <c r="BA46" s="5366"/>
      <c r="BB46" s="5367"/>
      <c r="BC46" s="5367"/>
      <c r="BD46" s="1188" t="s">
        <v>561</v>
      </c>
      <c r="BF46" s="408"/>
      <c r="BG46" s="408" t="str">
        <f t="shared" si="1"/>
        <v>Группа потребителей</v>
      </c>
      <c r="BH46" s="408"/>
      <c r="BI46" s="408"/>
    </row>
    <row r="47" spans="1:61" ht="23.25" customHeight="1">
      <c r="A47" s="1241" t="s">
        <v>268</v>
      </c>
      <c r="B47" s="1241" t="s">
        <v>269</v>
      </c>
      <c r="C47" s="1241" t="s">
        <v>270</v>
      </c>
      <c r="D47" s="1241" t="s">
        <v>618</v>
      </c>
      <c r="E47" s="5377"/>
      <c r="F47" s="5377"/>
      <c r="G47" s="5377"/>
      <c r="H47" s="5377"/>
      <c r="I47" s="5397"/>
      <c r="J47" s="5397"/>
      <c r="K47" s="5374" t="str">
        <f>J46&amp;".1"</f>
        <v>1.1.1.1.1.1</v>
      </c>
      <c r="L47" s="1242"/>
      <c r="P47" s="5375"/>
      <c r="Q47" s="5375"/>
      <c r="R47" s="274">
        <v>1</v>
      </c>
      <c r="S47" s="1365" t="str">
        <f>$K47</f>
        <v>1.1.1.1.1.1</v>
      </c>
      <c r="T47" s="1314" t="s">
        <v>620</v>
      </c>
      <c r="U47" s="218"/>
      <c r="V47" s="3931"/>
      <c r="W47" s="3931"/>
      <c r="X47" s="3931"/>
      <c r="Y47" s="3931"/>
      <c r="Z47" s="3931"/>
      <c r="AA47" s="3931"/>
      <c r="AB47" s="3931"/>
      <c r="AC47" s="5379"/>
      <c r="AD47" s="5225" t="s">
        <v>64</v>
      </c>
      <c r="AE47" s="5398"/>
      <c r="AF47" s="5225" t="s">
        <v>64</v>
      </c>
      <c r="AG47" s="650"/>
      <c r="AH47" s="650">
        <v>23.38</v>
      </c>
      <c r="AI47" s="650"/>
      <c r="AJ47" s="650"/>
      <c r="AK47" s="650">
        <v>2519.91</v>
      </c>
      <c r="AL47" s="650"/>
      <c r="AM47" s="650"/>
      <c r="AN47" s="5379">
        <v>45292.490740740737</v>
      </c>
      <c r="AO47" s="5225" t="s">
        <v>64</v>
      </c>
      <c r="AP47" s="5398">
        <v>45473.490671296298</v>
      </c>
      <c r="AQ47" s="5225" t="s">
        <v>64</v>
      </c>
      <c r="AR47" s="3931"/>
      <c r="AS47" s="3931">
        <v>25.58</v>
      </c>
      <c r="AT47" s="3931"/>
      <c r="AU47" s="3931"/>
      <c r="AV47" s="3931">
        <v>2926.32</v>
      </c>
      <c r="AW47" s="3931"/>
      <c r="AX47" s="3931"/>
      <c r="AY47" s="5379">
        <v>45474.492280092592</v>
      </c>
      <c r="AZ47" s="5225" t="s">
        <v>64</v>
      </c>
      <c r="BA47" s="5398">
        <v>45657.492349537039</v>
      </c>
      <c r="BB47" s="5451" t="s">
        <v>64</v>
      </c>
      <c r="BC47" s="1315"/>
      <c r="BD4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47" s="419" t="e">
        <f ca="1">STRCHECKDATE(V48:BC48)</f>
        <v>#NAME?</v>
      </c>
      <c r="BF47" s="408"/>
      <c r="BG47" s="408" t="str">
        <f t="shared" si="1"/>
        <v>МУП "Белоозерское ЖКХ"</v>
      </c>
      <c r="BH47" s="408"/>
      <c r="BI47" s="408"/>
    </row>
    <row r="48" spans="1:61" ht="0" hidden="1" customHeight="1">
      <c r="A48" s="1241" t="s">
        <v>268</v>
      </c>
      <c r="B48" s="1241" t="s">
        <v>269</v>
      </c>
      <c r="C48" s="1241" t="s">
        <v>270</v>
      </c>
      <c r="D48" s="1241" t="s">
        <v>618</v>
      </c>
      <c r="E48" s="5377"/>
      <c r="F48" s="5377"/>
      <c r="G48" s="5377"/>
      <c r="H48" s="5377"/>
      <c r="I48" s="5397"/>
      <c r="J48" s="5397"/>
      <c r="K48" s="5374"/>
      <c r="L48" s="1242"/>
      <c r="P48" s="5375"/>
      <c r="Q48" s="5375"/>
      <c r="R48" s="274"/>
      <c r="S48" s="1362"/>
      <c r="T48" s="218"/>
      <c r="U48" s="218"/>
      <c r="V48" s="3932"/>
      <c r="W48" s="3932"/>
      <c r="X48" s="3932"/>
      <c r="Y48" s="3932"/>
      <c r="Z48" s="3932"/>
      <c r="AA48" s="3932"/>
      <c r="AB48" s="3932"/>
      <c r="AC48" s="5380"/>
      <c r="AD48" s="5225"/>
      <c r="AE48" s="5399"/>
      <c r="AF48" s="5225"/>
      <c r="AG48" s="243"/>
      <c r="AH48" s="243"/>
      <c r="AI48" s="243"/>
      <c r="AJ48" s="243"/>
      <c r="AK48" s="243"/>
      <c r="AL48" s="243"/>
      <c r="AM48" s="243"/>
      <c r="AN48" s="5380"/>
      <c r="AO48" s="5225"/>
      <c r="AP48" s="5399"/>
      <c r="AQ48" s="5225"/>
      <c r="AR48" s="3932"/>
      <c r="AS48" s="3932"/>
      <c r="AT48" s="3932"/>
      <c r="AU48" s="3932"/>
      <c r="AV48" s="3932"/>
      <c r="AW48" s="3932"/>
      <c r="AX48" s="3932"/>
      <c r="AY48" s="5380"/>
      <c r="AZ48" s="5225"/>
      <c r="BA48" s="5399"/>
      <c r="BB48" s="5451"/>
      <c r="BC48" s="1316"/>
      <c r="BD48" s="5434"/>
      <c r="BF48" s="408"/>
      <c r="BG48" s="408" t="str">
        <f t="shared" si="1"/>
        <v/>
      </c>
      <c r="BH48" s="408"/>
      <c r="BI48" s="408"/>
    </row>
    <row r="49" spans="1:61" ht="21" customHeight="1">
      <c r="A49" s="1241" t="s">
        <v>268</v>
      </c>
      <c r="B49" s="1241" t="s">
        <v>269</v>
      </c>
      <c r="C49" s="1241" t="s">
        <v>270</v>
      </c>
      <c r="D49" s="1241" t="s">
        <v>618</v>
      </c>
      <c r="E49" s="5377"/>
      <c r="F49" s="5377"/>
      <c r="G49" s="5377"/>
      <c r="H49" s="5377"/>
      <c r="I49" s="5397"/>
      <c r="J49" s="5374"/>
      <c r="K49" s="1241"/>
      <c r="L49" s="1242"/>
      <c r="P49" s="5375"/>
      <c r="Q49" s="5375"/>
      <c r="R49" s="273"/>
      <c r="S49" s="1161"/>
      <c r="T49" s="205" t="s">
        <v>562</v>
      </c>
      <c r="U49" s="283"/>
      <c r="V49" s="283"/>
      <c r="W49" s="504"/>
      <c r="X49" s="504"/>
      <c r="Y49" s="504"/>
      <c r="Z49" s="504"/>
      <c r="AA49" s="504"/>
      <c r="AB49" s="504"/>
      <c r="AC49" s="283"/>
      <c r="AD49" s="283"/>
      <c r="AE49" s="283"/>
      <c r="AF49" s="283"/>
      <c r="AG49" s="283"/>
      <c r="AH49" s="504"/>
      <c r="AI49" s="504"/>
      <c r="AJ49" s="504"/>
      <c r="AK49" s="504"/>
      <c r="AL49" s="504"/>
      <c r="AM49" s="283"/>
      <c r="AN49" s="283"/>
      <c r="AO49" s="283"/>
      <c r="AP49" s="283"/>
      <c r="AQ49" s="283"/>
      <c r="AR49" s="1940"/>
      <c r="AS49" s="1941"/>
      <c r="AT49" s="1942"/>
      <c r="AU49" s="1943"/>
      <c r="AV49" s="1944"/>
      <c r="AW49" s="1945"/>
      <c r="AX49" s="1946"/>
      <c r="AY49" s="1947"/>
      <c r="AZ49" s="1948"/>
      <c r="BA49" s="1949"/>
      <c r="BB49" s="1950"/>
      <c r="BC49" s="283"/>
      <c r="BD49" s="1141" t="s">
        <v>563</v>
      </c>
      <c r="BF49" s="408"/>
      <c r="BG49" s="408" t="str">
        <f t="shared" si="1"/>
        <v>Добавить значение признака дифференциации</v>
      </c>
      <c r="BH49" s="408"/>
      <c r="BI49" s="408"/>
    </row>
    <row r="50" spans="1:61" s="4882" customFormat="1" ht="23.25" customHeight="1">
      <c r="A50" s="3933"/>
      <c r="B50" s="3933"/>
      <c r="C50" s="3933"/>
      <c r="D50" s="3933"/>
      <c r="E50" s="5377"/>
      <c r="F50" s="5377"/>
      <c r="G50" s="5377"/>
      <c r="H50" s="5377"/>
      <c r="I50" s="5397"/>
      <c r="J50" s="5374" t="str">
        <f>I45&amp;".2"</f>
        <v>1.1.1.1.2</v>
      </c>
      <c r="K50" s="3933"/>
      <c r="L50" s="3934" t="s">
        <v>484</v>
      </c>
      <c r="M50" s="3935"/>
      <c r="N50" s="3935"/>
      <c r="O50" s="3935"/>
      <c r="P50" s="5375"/>
      <c r="Q50" s="5452" t="s">
        <v>101</v>
      </c>
      <c r="R50" s="3937"/>
      <c r="S50" s="3938" t="str">
        <f>$J50</f>
        <v>1.1.1.1.2</v>
      </c>
      <c r="T50" s="3939" t="s">
        <v>485</v>
      </c>
      <c r="U50" s="3940"/>
      <c r="V50" s="5365"/>
      <c r="W50" s="5366"/>
      <c r="X50" s="5366"/>
      <c r="Y50" s="5366"/>
      <c r="Z50" s="5366"/>
      <c r="AA50" s="5366"/>
      <c r="AB50" s="5366"/>
      <c r="AC50" s="5366"/>
      <c r="AD50" s="5366"/>
      <c r="AE50" s="5366"/>
      <c r="AF50" s="5367"/>
      <c r="AG50" s="5365" t="s">
        <v>621</v>
      </c>
      <c r="AH50" s="5366"/>
      <c r="AI50" s="5366"/>
      <c r="AJ50" s="5366"/>
      <c r="AK50" s="5366"/>
      <c r="AL50" s="5366"/>
      <c r="AM50" s="5366"/>
      <c r="AN50" s="5366"/>
      <c r="AO50" s="5366"/>
      <c r="AP50" s="5366"/>
      <c r="AQ50" s="5366"/>
      <c r="AR50" s="5365"/>
      <c r="AS50" s="5366"/>
      <c r="AT50" s="5366"/>
      <c r="AU50" s="5366"/>
      <c r="AV50" s="5366"/>
      <c r="AW50" s="5366"/>
      <c r="AX50" s="5366"/>
      <c r="AY50" s="5366"/>
      <c r="AZ50" s="5366"/>
      <c r="BA50" s="5366"/>
      <c r="BB50" s="5453"/>
      <c r="BC50" s="5367"/>
      <c r="BD50" s="3941" t="s">
        <v>561</v>
      </c>
      <c r="BE50" s="3942"/>
      <c r="BF50" s="3943"/>
      <c r="BG50" s="3943" t="str">
        <f t="shared" si="1"/>
        <v>Группа потребителей</v>
      </c>
      <c r="BH50" s="3943"/>
      <c r="BI50" s="3943"/>
    </row>
    <row r="51" spans="1:61" s="4883" customFormat="1" ht="23.25" customHeight="1">
      <c r="A51" s="3933"/>
      <c r="B51" s="3933"/>
      <c r="C51" s="3933"/>
      <c r="D51" s="3933"/>
      <c r="E51" s="5377"/>
      <c r="F51" s="5377"/>
      <c r="G51" s="5377"/>
      <c r="H51" s="5377"/>
      <c r="I51" s="5397"/>
      <c r="J51" s="5397" t="str">
        <f>I45&amp;".1"</f>
        <v>1.1.1.1.1</v>
      </c>
      <c r="K51" s="5374" t="str">
        <f>J50&amp;".1"</f>
        <v>1.1.1.1.2.1</v>
      </c>
      <c r="L51" s="3934"/>
      <c r="M51" s="3935"/>
      <c r="N51" s="3935"/>
      <c r="O51" s="3935"/>
      <c r="P51" s="5375"/>
      <c r="Q51" s="5375"/>
      <c r="R51" s="3937">
        <v>1</v>
      </c>
      <c r="S51" s="3938" t="str">
        <f>$K51</f>
        <v>1.1.1.1.2.1</v>
      </c>
      <c r="T51" s="3944" t="s">
        <v>620</v>
      </c>
      <c r="U51" s="3940"/>
      <c r="V51" s="3931"/>
      <c r="W51" s="3931"/>
      <c r="X51" s="3931"/>
      <c r="Y51" s="3931"/>
      <c r="Z51" s="3931"/>
      <c r="AA51" s="3931"/>
      <c r="AB51" s="3931"/>
      <c r="AC51" s="5379"/>
      <c r="AD51" s="5225" t="s">
        <v>64</v>
      </c>
      <c r="AE51" s="5379"/>
      <c r="AF51" s="5225" t="s">
        <v>64</v>
      </c>
      <c r="AG51" s="3931"/>
      <c r="AH51" s="3931">
        <v>28.06</v>
      </c>
      <c r="AI51" s="3931"/>
      <c r="AJ51" s="3931"/>
      <c r="AK51" s="3931">
        <v>3023.89</v>
      </c>
      <c r="AL51" s="3931"/>
      <c r="AM51" s="3931"/>
      <c r="AN51" s="5379">
        <v>45292</v>
      </c>
      <c r="AO51" s="5225" t="s">
        <v>64</v>
      </c>
      <c r="AP51" s="5398">
        <v>45473.396493055552</v>
      </c>
      <c r="AQ51" s="5225" t="s">
        <v>64</v>
      </c>
      <c r="AR51" s="3931"/>
      <c r="AS51" s="3931">
        <v>30.7</v>
      </c>
      <c r="AT51" s="3931"/>
      <c r="AU51" s="3931"/>
      <c r="AV51" s="3931">
        <v>3477.47</v>
      </c>
      <c r="AW51" s="3931"/>
      <c r="AX51" s="3931"/>
      <c r="AY51" s="5379">
        <v>45474.492280092592</v>
      </c>
      <c r="AZ51" s="5225" t="s">
        <v>64</v>
      </c>
      <c r="BA51" s="5379">
        <v>45657.397303240738</v>
      </c>
      <c r="BB51" s="5451" t="s">
        <v>64</v>
      </c>
      <c r="BC51" s="3945"/>
      <c r="BD51"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51" s="3942" t="e">
        <f ca="1">STRCHECKDATE(V52:BC52)</f>
        <v>#NAME?</v>
      </c>
      <c r="BF51" s="3943"/>
      <c r="BG51" s="3943" t="str">
        <f t="shared" si="1"/>
        <v>МУП "Белоозерское ЖКХ"</v>
      </c>
      <c r="BH51" s="3943"/>
      <c r="BI51" s="3943"/>
    </row>
    <row r="52" spans="1:61" s="4884" customFormat="1" ht="14.25" customHeight="1">
      <c r="A52" s="3933"/>
      <c r="B52" s="3933"/>
      <c r="C52" s="3933"/>
      <c r="D52" s="3933"/>
      <c r="E52" s="5377"/>
      <c r="F52" s="5377"/>
      <c r="G52" s="5377"/>
      <c r="H52" s="5377"/>
      <c r="I52" s="5397"/>
      <c r="J52" s="5397" t="str">
        <f>I45&amp;".1"</f>
        <v>1.1.1.1.1</v>
      </c>
      <c r="K52" s="5374"/>
      <c r="L52" s="3934"/>
      <c r="M52" s="3935"/>
      <c r="N52" s="3935"/>
      <c r="O52" s="3935"/>
      <c r="P52" s="5375"/>
      <c r="Q52" s="5375"/>
      <c r="R52" s="3937"/>
      <c r="S52" s="3946"/>
      <c r="T52" s="3940"/>
      <c r="U52" s="3940"/>
      <c r="V52" s="3932"/>
      <c r="W52" s="3932"/>
      <c r="X52" s="3932"/>
      <c r="Y52" s="3932"/>
      <c r="Z52" s="3932"/>
      <c r="AA52" s="3932"/>
      <c r="AB52" s="3932"/>
      <c r="AC52" s="5380"/>
      <c r="AD52" s="5225"/>
      <c r="AE52" s="5380"/>
      <c r="AF52" s="5225"/>
      <c r="AG52" s="3932"/>
      <c r="AH52" s="3932"/>
      <c r="AI52" s="3932"/>
      <c r="AJ52" s="3932"/>
      <c r="AK52" s="3932"/>
      <c r="AL52" s="3932"/>
      <c r="AM52" s="3932"/>
      <c r="AN52" s="5380"/>
      <c r="AO52" s="5225"/>
      <c r="AP52" s="5399"/>
      <c r="AQ52" s="5225"/>
      <c r="AR52" s="3932"/>
      <c r="AS52" s="3932"/>
      <c r="AT52" s="3932"/>
      <c r="AU52" s="3932"/>
      <c r="AV52" s="3932"/>
      <c r="AW52" s="3932"/>
      <c r="AX52" s="3932"/>
      <c r="AY52" s="5380"/>
      <c r="AZ52" s="5225"/>
      <c r="BA52" s="5380"/>
      <c r="BB52" s="5451"/>
      <c r="BC52" s="3947"/>
      <c r="BD52" s="5434"/>
      <c r="BE52" s="3942"/>
      <c r="BF52" s="3943"/>
      <c r="BG52" s="3943" t="str">
        <f t="shared" si="1"/>
        <v/>
      </c>
      <c r="BH52" s="3943"/>
      <c r="BI52" s="3943"/>
    </row>
    <row r="53" spans="1:61" s="4885" customFormat="1" ht="21" customHeight="1">
      <c r="A53" s="3933"/>
      <c r="B53" s="3933"/>
      <c r="C53" s="3933"/>
      <c r="D53" s="3933"/>
      <c r="E53" s="5377"/>
      <c r="F53" s="5377"/>
      <c r="G53" s="5377"/>
      <c r="H53" s="5377"/>
      <c r="I53" s="5397"/>
      <c r="J53" s="5374" t="str">
        <f>I45&amp;".1"</f>
        <v>1.1.1.1.1</v>
      </c>
      <c r="K53" s="3933"/>
      <c r="L53" s="3934"/>
      <c r="M53" s="3935"/>
      <c r="N53" s="3935"/>
      <c r="O53" s="3935"/>
      <c r="P53" s="5375"/>
      <c r="Q53" s="5375"/>
      <c r="R53" s="3948"/>
      <c r="S53" s="3949"/>
      <c r="T53" s="3950" t="s">
        <v>562</v>
      </c>
      <c r="U53" s="3951"/>
      <c r="V53" s="3952"/>
      <c r="W53" s="3953"/>
      <c r="X53" s="3954"/>
      <c r="Y53" s="3955"/>
      <c r="Z53" s="3956"/>
      <c r="AA53" s="3957"/>
      <c r="AB53" s="3958"/>
      <c r="AC53" s="3959"/>
      <c r="AD53" s="3960"/>
      <c r="AE53" s="3961"/>
      <c r="AF53" s="3962"/>
      <c r="AG53" s="3963"/>
      <c r="AH53" s="3964"/>
      <c r="AI53" s="3965"/>
      <c r="AJ53" s="3966"/>
      <c r="AK53" s="3967"/>
      <c r="AL53" s="3968"/>
      <c r="AM53" s="3969"/>
      <c r="AN53" s="3970"/>
      <c r="AO53" s="3971"/>
      <c r="AP53" s="3972"/>
      <c r="AQ53" s="3973"/>
      <c r="AR53" s="3974"/>
      <c r="AS53" s="3975"/>
      <c r="AT53" s="3976"/>
      <c r="AU53" s="3977"/>
      <c r="AV53" s="3978"/>
      <c r="AW53" s="3979"/>
      <c r="AX53" s="3980"/>
      <c r="AY53" s="3981"/>
      <c r="AZ53" s="3982"/>
      <c r="BA53" s="3983"/>
      <c r="BB53" s="3984"/>
      <c r="BC53" s="3985"/>
      <c r="BD53" s="3986" t="s">
        <v>563</v>
      </c>
      <c r="BE53" s="3942"/>
      <c r="BF53" s="3943"/>
      <c r="BG53" s="3943" t="str">
        <f t="shared" si="1"/>
        <v>Добавить значение признака дифференциации</v>
      </c>
      <c r="BH53" s="3943"/>
      <c r="BI53" s="3943"/>
    </row>
    <row r="54" spans="1:61" ht="21" customHeight="1">
      <c r="A54" s="1241" t="s">
        <v>268</v>
      </c>
      <c r="B54" s="1241" t="s">
        <v>269</v>
      </c>
      <c r="C54" s="1241" t="s">
        <v>270</v>
      </c>
      <c r="D54" s="1241" t="s">
        <v>618</v>
      </c>
      <c r="E54" s="5377"/>
      <c r="F54" s="5377"/>
      <c r="G54" s="5377"/>
      <c r="H54" s="5377"/>
      <c r="I54" s="5374"/>
      <c r="J54" s="1241"/>
      <c r="K54" s="1241"/>
      <c r="L54" s="1242"/>
      <c r="P54" s="5375"/>
      <c r="Q54" s="1353"/>
      <c r="R54" s="273"/>
      <c r="S54" s="1161"/>
      <c r="T54" s="281" t="s">
        <v>490</v>
      </c>
      <c r="U54" s="283"/>
      <c r="V54" s="283"/>
      <c r="W54" s="504"/>
      <c r="X54" s="504"/>
      <c r="Y54" s="504"/>
      <c r="Z54" s="504"/>
      <c r="AA54" s="504"/>
      <c r="AB54" s="504"/>
      <c r="AC54" s="283"/>
      <c r="AD54" s="283"/>
      <c r="AE54" s="283"/>
      <c r="AF54" s="282"/>
      <c r="AG54" s="283"/>
      <c r="AH54" s="504"/>
      <c r="AI54" s="504"/>
      <c r="AJ54" s="504"/>
      <c r="AK54" s="504"/>
      <c r="AL54" s="504"/>
      <c r="AM54" s="283"/>
      <c r="AN54" s="283"/>
      <c r="AO54" s="283"/>
      <c r="AP54" s="283"/>
      <c r="AQ54" s="282"/>
      <c r="AR54" s="1951"/>
      <c r="AS54" s="1952"/>
      <c r="AT54" s="1953"/>
      <c r="AU54" s="1954"/>
      <c r="AV54" s="1955"/>
      <c r="AW54" s="1956"/>
      <c r="AX54" s="1957"/>
      <c r="AY54" s="1958"/>
      <c r="AZ54" s="1959"/>
      <c r="BA54" s="1960"/>
      <c r="BB54" s="1961"/>
      <c r="BC54" s="283"/>
      <c r="BD54" s="1317"/>
      <c r="BF54" s="408"/>
      <c r="BG54" s="408" t="str">
        <f t="shared" si="1"/>
        <v>Добавить группу потребителей</v>
      </c>
      <c r="BH54" s="408"/>
      <c r="BI54" s="408"/>
    </row>
    <row r="55" spans="1:61" ht="21" customHeight="1">
      <c r="A55" s="1241" t="s">
        <v>268</v>
      </c>
      <c r="B55" s="1241" t="s">
        <v>269</v>
      </c>
      <c r="C55" s="1241" t="s">
        <v>270</v>
      </c>
      <c r="D55" s="1241" t="s">
        <v>618</v>
      </c>
      <c r="E55" s="5377"/>
      <c r="F55" s="5377"/>
      <c r="G55" s="5377"/>
      <c r="H55" s="5376"/>
      <c r="I55" s="1241"/>
      <c r="J55" s="1241"/>
      <c r="K55" s="1241"/>
      <c r="L55" s="1242"/>
      <c r="M55" s="1243"/>
      <c r="N55" s="1243"/>
      <c r="O55" s="444"/>
      <c r="P55" s="277"/>
      <c r="Q55" s="291"/>
      <c r="R55" s="272"/>
      <c r="S55" s="1161"/>
      <c r="T55" s="288" t="s">
        <v>564</v>
      </c>
      <c r="U55" s="283"/>
      <c r="V55" s="283"/>
      <c r="W55" s="504"/>
      <c r="X55" s="504"/>
      <c r="Y55" s="504"/>
      <c r="Z55" s="504"/>
      <c r="AA55" s="504"/>
      <c r="AB55" s="504"/>
      <c r="AC55" s="283"/>
      <c r="AD55" s="283"/>
      <c r="AE55" s="283"/>
      <c r="AF55" s="282"/>
      <c r="AG55" s="283"/>
      <c r="AH55" s="504"/>
      <c r="AI55" s="504"/>
      <c r="AJ55" s="504"/>
      <c r="AK55" s="504"/>
      <c r="AL55" s="504"/>
      <c r="AM55" s="283"/>
      <c r="AN55" s="283"/>
      <c r="AO55" s="283"/>
      <c r="AP55" s="283"/>
      <c r="AQ55" s="282"/>
      <c r="AR55" s="1962"/>
      <c r="AS55" s="1963"/>
      <c r="AT55" s="1964"/>
      <c r="AU55" s="1965"/>
      <c r="AV55" s="1966"/>
      <c r="AW55" s="1967"/>
      <c r="AX55" s="1968"/>
      <c r="AY55" s="1969"/>
      <c r="AZ55" s="1970"/>
      <c r="BA55" s="1971"/>
      <c r="BB55" s="1972"/>
      <c r="BC55" s="283"/>
      <c r="BD55" s="221"/>
      <c r="BF55" s="408"/>
      <c r="BG55" s="408" t="str">
        <f t="shared" si="1"/>
        <v>Добавить наименование признака дифференциации</v>
      </c>
      <c r="BH55" s="408"/>
      <c r="BI55" s="408"/>
    </row>
    <row r="56" spans="1:61" s="4853" customFormat="1" ht="0" hidden="1" customHeight="1">
      <c r="A56" s="1222" t="s">
        <v>268</v>
      </c>
      <c r="B56" s="1222" t="s">
        <v>269</v>
      </c>
      <c r="C56" s="1194"/>
      <c r="D56" s="1194"/>
      <c r="E56" s="5377"/>
      <c r="F56" s="5376"/>
      <c r="G56" s="1194"/>
      <c r="H56" s="1194"/>
      <c r="I56" s="1194"/>
      <c r="J56" s="1194"/>
      <c r="K56" s="1194"/>
      <c r="L56" s="1366"/>
      <c r="M56" s="1201"/>
      <c r="N56" s="1201"/>
      <c r="P56" s="1196"/>
      <c r="Q56" s="1197"/>
      <c r="R56" s="1196"/>
      <c r="S56" s="1202"/>
      <c r="T56" s="1205" t="s">
        <v>271</v>
      </c>
      <c r="U56" s="1204"/>
      <c r="V56" s="1204"/>
      <c r="W56" s="1204"/>
      <c r="X56" s="1204"/>
      <c r="Y56" s="1204"/>
      <c r="Z56" s="1204"/>
      <c r="AA56" s="1204"/>
      <c r="AB56" s="1204"/>
      <c r="AC56" s="1204"/>
      <c r="AD56" s="1204"/>
      <c r="AE56" s="1204"/>
      <c r="AF56" s="1204"/>
      <c r="AG56" s="1204"/>
      <c r="AH56" s="1204"/>
      <c r="AI56" s="1204"/>
      <c r="AJ56" s="1204"/>
      <c r="AK56" s="1204"/>
      <c r="AL56" s="1204"/>
      <c r="AM56" s="1204"/>
      <c r="AN56" s="1204"/>
      <c r="AO56" s="1204"/>
      <c r="AP56" s="1204"/>
      <c r="AQ56" s="1204"/>
      <c r="AR56" s="1928"/>
      <c r="AS56" s="1928"/>
      <c r="AT56" s="1928"/>
      <c r="AU56" s="1928"/>
      <c r="AV56" s="1928"/>
      <c r="AW56" s="1928"/>
      <c r="AX56" s="1928"/>
      <c r="AY56" s="1928"/>
      <c r="AZ56" s="1928"/>
      <c r="BA56" s="1928"/>
      <c r="BB56" s="1928"/>
      <c r="BC56" s="1204"/>
      <c r="BD56" s="1204"/>
      <c r="BF56" s="688"/>
      <c r="BG56" s="688" t="str">
        <f t="shared" si="1"/>
        <v>Добавить централизованную систему для дифференциации</v>
      </c>
      <c r="BH56" s="688"/>
      <c r="BI56" s="688"/>
    </row>
    <row r="57" spans="1:61" s="4886" customFormat="1" ht="23.25" customHeight="1">
      <c r="A57" s="1973"/>
      <c r="B57" s="1973" t="s">
        <v>273</v>
      </c>
      <c r="C57" s="1973"/>
      <c r="D57" s="1973"/>
      <c r="E57" s="5377"/>
      <c r="F57" s="5376" t="s">
        <v>100</v>
      </c>
      <c r="G57" s="1973"/>
      <c r="H57" s="1973"/>
      <c r="I57" s="1973"/>
      <c r="J57" s="1973"/>
      <c r="K57" s="1973"/>
      <c r="L57" s="1974"/>
      <c r="M57" s="1975"/>
      <c r="N57" s="1975"/>
      <c r="O57" s="1975"/>
      <c r="P57" s="1976"/>
      <c r="Q57" s="1977"/>
      <c r="R57" s="1978"/>
      <c r="S57" s="1979" t="str">
        <f>INDEX(PT_DIFFERENTIATION_NUM_TER,MATCH(B57,PT_DIFFERENTIATION_TER_ID,0))</f>
        <v>1.2</v>
      </c>
      <c r="T57" s="1980" t="s">
        <v>475</v>
      </c>
      <c r="U57" s="1981"/>
      <c r="V57" s="5362"/>
      <c r="W57" s="5363"/>
      <c r="X57" s="5363"/>
      <c r="Y57" s="5363"/>
      <c r="Z57" s="5363"/>
      <c r="AA57" s="5363"/>
      <c r="AB57" s="5363"/>
      <c r="AC57" s="5363"/>
      <c r="AD57" s="5363"/>
      <c r="AE57" s="5363"/>
      <c r="AF57" s="5364"/>
      <c r="AG57" s="5362" t="str">
        <f>INDEX(PT_DIFFERENTIATION_TER,MATCH(B57,PT_DIFFERENTIATION_TER_ID,0))</f>
        <v>Клин</v>
      </c>
      <c r="AH57" s="5363"/>
      <c r="AI57" s="5363"/>
      <c r="AJ57" s="5363"/>
      <c r="AK57" s="5363"/>
      <c r="AL57" s="5363"/>
      <c r="AM57" s="5363"/>
      <c r="AN57" s="5363"/>
      <c r="AO57" s="5363"/>
      <c r="AP57" s="5363"/>
      <c r="AQ57" s="5363"/>
      <c r="AR57" s="5362"/>
      <c r="AS57" s="5363"/>
      <c r="AT57" s="5363"/>
      <c r="AU57" s="5363"/>
      <c r="AV57" s="5363"/>
      <c r="AW57" s="5363"/>
      <c r="AX57" s="5363"/>
      <c r="AY57" s="5363"/>
      <c r="AZ57" s="5363"/>
      <c r="BA57" s="5363"/>
      <c r="BB57" s="5364"/>
      <c r="BC57" s="5364"/>
      <c r="BD57" s="1982" t="s">
        <v>476</v>
      </c>
      <c r="BE57" s="1935"/>
      <c r="BF57" s="1983"/>
      <c r="BG57" s="1983" t="str">
        <f t="shared" si="1"/>
        <v>Территория действия тарифа</v>
      </c>
      <c r="BH57" s="1983"/>
      <c r="BI57" s="1983"/>
    </row>
    <row r="58" spans="1:61" s="4887" customFormat="1" ht="23.25" customHeight="1">
      <c r="A58" s="1973"/>
      <c r="B58" s="1973"/>
      <c r="C58" s="1973" t="s">
        <v>274</v>
      </c>
      <c r="D58" s="1973"/>
      <c r="E58" s="5377"/>
      <c r="F58" s="5377">
        <v>1</v>
      </c>
      <c r="G58" s="5376">
        <v>1</v>
      </c>
      <c r="H58" s="1973"/>
      <c r="I58" s="1973"/>
      <c r="J58" s="1973"/>
      <c r="K58" s="1973"/>
      <c r="L58" s="1974"/>
      <c r="M58" s="1975"/>
      <c r="N58" s="1975"/>
      <c r="O58" s="1975"/>
      <c r="P58" s="1984"/>
      <c r="Q58" s="1977"/>
      <c r="R58" s="1978"/>
      <c r="S58" s="1979" t="str">
        <f>INDEX(PT_DIFFERENTIATION_NUM_CS,MATCH(C58,PT_DIFFERENTIATION_CS_ID,0))</f>
        <v>1.2.1</v>
      </c>
      <c r="T58" s="1985" t="s">
        <v>606</v>
      </c>
      <c r="U58" s="1981"/>
      <c r="V58" s="5362"/>
      <c r="W58" s="5363"/>
      <c r="X58" s="5363"/>
      <c r="Y58" s="5363"/>
      <c r="Z58" s="5363"/>
      <c r="AA58" s="5363"/>
      <c r="AB58" s="5363"/>
      <c r="AC58" s="5363"/>
      <c r="AD58" s="5363"/>
      <c r="AE58" s="5363"/>
      <c r="AF58" s="5364"/>
      <c r="AG58" s="5362" t="str">
        <f>INDEX(PT_DIFFERENTIATION_CS,MATCH(C58,PT_DIFFERENTIATION_CS_ID,0))</f>
        <v>г. Клин</v>
      </c>
      <c r="AH58" s="5363"/>
      <c r="AI58" s="5363"/>
      <c r="AJ58" s="5363"/>
      <c r="AK58" s="5363"/>
      <c r="AL58" s="5363"/>
      <c r="AM58" s="5363"/>
      <c r="AN58" s="5363"/>
      <c r="AO58" s="5363"/>
      <c r="AP58" s="5363"/>
      <c r="AQ58" s="5363"/>
      <c r="AR58" s="5362"/>
      <c r="AS58" s="5363"/>
      <c r="AT58" s="5363"/>
      <c r="AU58" s="5363"/>
      <c r="AV58" s="5363"/>
      <c r="AW58" s="5363"/>
      <c r="AX58" s="5363"/>
      <c r="AY58" s="5363"/>
      <c r="AZ58" s="5363"/>
      <c r="BA58" s="5363"/>
      <c r="BB58" s="5364"/>
      <c r="BC58" s="5364"/>
      <c r="BD58" s="1982" t="s">
        <v>607</v>
      </c>
      <c r="BE58" s="1935"/>
      <c r="BF58" s="1983"/>
      <c r="BG58" s="1983" t="str">
        <f t="shared" si="1"/>
        <v>Наименование централизованной системы горячего водоснабжения</v>
      </c>
      <c r="BH58" s="1983"/>
      <c r="BI58" s="1983"/>
    </row>
    <row r="59" spans="1:61" s="4888" customFormat="1" ht="23.25" customHeight="1">
      <c r="A59" s="1973"/>
      <c r="B59" s="1973"/>
      <c r="C59" s="1973"/>
      <c r="D59" s="1973"/>
      <c r="E59" s="5377"/>
      <c r="F59" s="5377">
        <v>1</v>
      </c>
      <c r="G59" s="5377"/>
      <c r="H59" s="5377"/>
      <c r="I59" s="5374" t="str">
        <f>S58&amp;".1"</f>
        <v>1.2.1.1</v>
      </c>
      <c r="J59" s="1973"/>
      <c r="K59" s="1973"/>
      <c r="L59" s="1974"/>
      <c r="M59" s="1986"/>
      <c r="N59" s="1986"/>
      <c r="O59" s="1986"/>
      <c r="P59" s="5375">
        <v>1</v>
      </c>
      <c r="Q59" s="1987"/>
      <c r="R59" s="1988"/>
      <c r="S59" s="1979" t="str">
        <f>$I59</f>
        <v>1.2.1.1</v>
      </c>
      <c r="T59" s="1989" t="s">
        <v>559</v>
      </c>
      <c r="U59" s="1981"/>
      <c r="V59" s="5435"/>
      <c r="W59" s="5436"/>
      <c r="X59" s="5436"/>
      <c r="Y59" s="5436"/>
      <c r="Z59" s="5436"/>
      <c r="AA59" s="5436"/>
      <c r="AB59" s="5436"/>
      <c r="AC59" s="5436"/>
      <c r="AD59" s="5436"/>
      <c r="AE59" s="5436"/>
      <c r="AF59" s="5437"/>
      <c r="AG59" s="5438"/>
      <c r="AH59" s="5439"/>
      <c r="AI59" s="5439"/>
      <c r="AJ59" s="5439"/>
      <c r="AK59" s="5439"/>
      <c r="AL59" s="5439"/>
      <c r="AM59" s="5439"/>
      <c r="AN59" s="5439"/>
      <c r="AO59" s="5439"/>
      <c r="AP59" s="5439"/>
      <c r="AQ59" s="5439"/>
      <c r="AR59" s="5435"/>
      <c r="AS59" s="5436"/>
      <c r="AT59" s="5436"/>
      <c r="AU59" s="5436"/>
      <c r="AV59" s="5436"/>
      <c r="AW59" s="5436"/>
      <c r="AX59" s="5436"/>
      <c r="AY59" s="5436"/>
      <c r="AZ59" s="5436"/>
      <c r="BA59" s="5436"/>
      <c r="BB59" s="5437"/>
      <c r="BC59" s="5440"/>
      <c r="BD59" s="1982" t="s">
        <v>560</v>
      </c>
      <c r="BE59" s="1935"/>
      <c r="BF59" s="1983"/>
      <c r="BG59" s="1983" t="str">
        <f t="shared" si="1"/>
        <v>Наименование признака дифференциации</v>
      </c>
      <c r="BH59" s="1983"/>
      <c r="BI59" s="1983"/>
    </row>
    <row r="60" spans="1:61" s="4889" customFormat="1" ht="23.25" customHeight="1">
      <c r="A60" s="1973"/>
      <c r="B60" s="1973"/>
      <c r="C60" s="1973"/>
      <c r="D60" s="1973"/>
      <c r="E60" s="5377"/>
      <c r="F60" s="5377">
        <v>1</v>
      </c>
      <c r="G60" s="5377"/>
      <c r="H60" s="5377"/>
      <c r="I60" s="5397"/>
      <c r="J60" s="5374" t="str">
        <f>I59&amp;".1"</f>
        <v>1.2.1.1.1</v>
      </c>
      <c r="K60" s="1973"/>
      <c r="L60" s="1974" t="s">
        <v>484</v>
      </c>
      <c r="M60" s="1986"/>
      <c r="N60" s="1986"/>
      <c r="O60" s="1986"/>
      <c r="P60" s="5375"/>
      <c r="Q60" s="5375">
        <v>1</v>
      </c>
      <c r="R60" s="1990"/>
      <c r="S60" s="1979" t="str">
        <f>$J60</f>
        <v>1.2.1.1.1</v>
      </c>
      <c r="T60" s="1991" t="s">
        <v>485</v>
      </c>
      <c r="U60" s="1981"/>
      <c r="V60" s="5365"/>
      <c r="W60" s="5366"/>
      <c r="X60" s="5366"/>
      <c r="Y60" s="5366"/>
      <c r="Z60" s="5366"/>
      <c r="AA60" s="5366"/>
      <c r="AB60" s="5366"/>
      <c r="AC60" s="5366"/>
      <c r="AD60" s="5366"/>
      <c r="AE60" s="5366"/>
      <c r="AF60" s="5367"/>
      <c r="AG60" s="5365" t="s">
        <v>619</v>
      </c>
      <c r="AH60" s="5366"/>
      <c r="AI60" s="5366"/>
      <c r="AJ60" s="5366"/>
      <c r="AK60" s="5366"/>
      <c r="AL60" s="5366"/>
      <c r="AM60" s="5366"/>
      <c r="AN60" s="5366"/>
      <c r="AO60" s="5366"/>
      <c r="AP60" s="5366"/>
      <c r="AQ60" s="5366"/>
      <c r="AR60" s="5365"/>
      <c r="AS60" s="5366"/>
      <c r="AT60" s="5366"/>
      <c r="AU60" s="5366"/>
      <c r="AV60" s="5366"/>
      <c r="AW60" s="5366"/>
      <c r="AX60" s="5366"/>
      <c r="AY60" s="5366"/>
      <c r="AZ60" s="5366"/>
      <c r="BA60" s="5366"/>
      <c r="BB60" s="5367"/>
      <c r="BC60" s="5367"/>
      <c r="BD60" s="1992" t="s">
        <v>561</v>
      </c>
      <c r="BE60" s="1935"/>
      <c r="BF60" s="1983"/>
      <c r="BG60" s="1983" t="str">
        <f t="shared" si="1"/>
        <v>Группа потребителей</v>
      </c>
      <c r="BH60" s="1983"/>
      <c r="BI60" s="1983"/>
    </row>
    <row r="61" spans="1:61" s="4890" customFormat="1" ht="23.25" customHeight="1">
      <c r="A61" s="1973"/>
      <c r="B61" s="1973"/>
      <c r="C61" s="1973"/>
      <c r="D61" s="1973"/>
      <c r="E61" s="5377"/>
      <c r="F61" s="5377">
        <v>1</v>
      </c>
      <c r="G61" s="5377"/>
      <c r="H61" s="5377"/>
      <c r="I61" s="5397"/>
      <c r="J61" s="5397"/>
      <c r="K61" s="5374" t="str">
        <f>J60&amp;".1"</f>
        <v>1.2.1.1.1.1</v>
      </c>
      <c r="L61" s="1974"/>
      <c r="M61" s="1986"/>
      <c r="N61" s="1986"/>
      <c r="O61" s="1986"/>
      <c r="P61" s="5375"/>
      <c r="Q61" s="5375"/>
      <c r="R61" s="1990">
        <v>1</v>
      </c>
      <c r="S61" s="1979" t="str">
        <f>$K61</f>
        <v>1.2.1.1.1.1</v>
      </c>
      <c r="T61" s="1993" t="s">
        <v>622</v>
      </c>
      <c r="U61" s="1981"/>
      <c r="V61" s="1893"/>
      <c r="W61" s="1893"/>
      <c r="X61" s="1893"/>
      <c r="Y61" s="1893"/>
      <c r="Z61" s="1893"/>
      <c r="AA61" s="1893"/>
      <c r="AB61" s="1893"/>
      <c r="AC61" s="5379"/>
      <c r="AD61" s="5225" t="s">
        <v>64</v>
      </c>
      <c r="AE61" s="5379"/>
      <c r="AF61" s="5225" t="s">
        <v>64</v>
      </c>
      <c r="AG61" s="1893"/>
      <c r="AH61" s="1893">
        <v>23.41</v>
      </c>
      <c r="AI61" s="1893"/>
      <c r="AJ61" s="1893"/>
      <c r="AK61" s="1893">
        <v>2658.35</v>
      </c>
      <c r="AL61" s="1893"/>
      <c r="AM61" s="1893"/>
      <c r="AN61" s="5379">
        <v>45292</v>
      </c>
      <c r="AO61" s="5225" t="s">
        <v>64</v>
      </c>
      <c r="AP61" s="5398">
        <v>45473.396493055552</v>
      </c>
      <c r="AQ61" s="5225" t="s">
        <v>64</v>
      </c>
      <c r="AR61" s="1893"/>
      <c r="AS61" s="1893">
        <v>25.98</v>
      </c>
      <c r="AT61" s="1893"/>
      <c r="AU61" s="1893"/>
      <c r="AV61" s="1893">
        <v>3057.34</v>
      </c>
      <c r="AW61" s="1893"/>
      <c r="AX61" s="1893"/>
      <c r="AY61" s="5379">
        <v>45474.492280092592</v>
      </c>
      <c r="AZ61" s="5225" t="s">
        <v>64</v>
      </c>
      <c r="BA61" s="5379">
        <v>45657.397303240738</v>
      </c>
      <c r="BB61" s="5225" t="s">
        <v>64</v>
      </c>
      <c r="BC61" s="1994"/>
      <c r="BD61"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61" s="1935" t="e">
        <f ca="1">STRCHECKDATE(V62:BC62)</f>
        <v>#NAME?</v>
      </c>
      <c r="BF61" s="1983"/>
      <c r="BG61" s="1983" t="str">
        <f t="shared" si="1"/>
        <v>ЗАО "Водоканал"</v>
      </c>
      <c r="BH61" s="1983"/>
      <c r="BI61" s="1983"/>
    </row>
    <row r="62" spans="1:61" s="4891" customFormat="1" ht="14.25" customHeight="1">
      <c r="A62" s="1973"/>
      <c r="B62" s="1973"/>
      <c r="C62" s="1973"/>
      <c r="D62" s="1973"/>
      <c r="E62" s="5377"/>
      <c r="F62" s="5377">
        <v>1</v>
      </c>
      <c r="G62" s="5377"/>
      <c r="H62" s="5377"/>
      <c r="I62" s="5397"/>
      <c r="J62" s="5397"/>
      <c r="K62" s="5374"/>
      <c r="L62" s="1974"/>
      <c r="M62" s="1986"/>
      <c r="N62" s="1986"/>
      <c r="O62" s="1986"/>
      <c r="P62" s="5375"/>
      <c r="Q62" s="5375"/>
      <c r="R62" s="1990"/>
      <c r="S62" s="1995"/>
      <c r="T62" s="1981"/>
      <c r="U62" s="1981"/>
      <c r="V62" s="1894"/>
      <c r="W62" s="1894"/>
      <c r="X62" s="1894"/>
      <c r="Y62" s="1894"/>
      <c r="Z62" s="1894"/>
      <c r="AA62" s="1894"/>
      <c r="AB62" s="1894"/>
      <c r="AC62" s="5380"/>
      <c r="AD62" s="5225"/>
      <c r="AE62" s="5380"/>
      <c r="AF62" s="5225"/>
      <c r="AG62" s="1894"/>
      <c r="AH62" s="1894"/>
      <c r="AI62" s="1894"/>
      <c r="AJ62" s="1894"/>
      <c r="AK62" s="1894"/>
      <c r="AL62" s="1894"/>
      <c r="AM62" s="1894"/>
      <c r="AN62" s="5380"/>
      <c r="AO62" s="5225"/>
      <c r="AP62" s="5399"/>
      <c r="AQ62" s="5225"/>
      <c r="AR62" s="1894"/>
      <c r="AS62" s="1894"/>
      <c r="AT62" s="1894"/>
      <c r="AU62" s="1894"/>
      <c r="AV62" s="1894"/>
      <c r="AW62" s="1894"/>
      <c r="AX62" s="1894"/>
      <c r="AY62" s="5380"/>
      <c r="AZ62" s="5225"/>
      <c r="BA62" s="5380"/>
      <c r="BB62" s="5225"/>
      <c r="BC62" s="1996"/>
      <c r="BD62" s="5434"/>
      <c r="BE62" s="1935"/>
      <c r="BF62" s="1983"/>
      <c r="BG62" s="1983" t="str">
        <f t="shared" si="1"/>
        <v/>
      </c>
      <c r="BH62" s="1983"/>
      <c r="BI62" s="1983"/>
    </row>
    <row r="63" spans="1:61" s="4892" customFormat="1" ht="21" customHeight="1">
      <c r="A63" s="1973"/>
      <c r="B63" s="1973"/>
      <c r="C63" s="1973"/>
      <c r="D63" s="1973"/>
      <c r="E63" s="5377"/>
      <c r="F63" s="5377">
        <v>1</v>
      </c>
      <c r="G63" s="5377"/>
      <c r="H63" s="5377"/>
      <c r="I63" s="5397"/>
      <c r="J63" s="5374"/>
      <c r="K63" s="1973"/>
      <c r="L63" s="1974"/>
      <c r="M63" s="1986"/>
      <c r="N63" s="1986"/>
      <c r="O63" s="1986"/>
      <c r="P63" s="5375"/>
      <c r="Q63" s="5375"/>
      <c r="R63" s="1988"/>
      <c r="S63" s="1997"/>
      <c r="T63" s="1998" t="s">
        <v>562</v>
      </c>
      <c r="U63" s="1999"/>
      <c r="V63" s="2000"/>
      <c r="W63" s="2001"/>
      <c r="X63" s="2002"/>
      <c r="Y63" s="2003"/>
      <c r="Z63" s="2004"/>
      <c r="AA63" s="2005"/>
      <c r="AB63" s="2006"/>
      <c r="AC63" s="2007"/>
      <c r="AD63" s="2008"/>
      <c r="AE63" s="2009"/>
      <c r="AF63" s="2010"/>
      <c r="AG63" s="2011"/>
      <c r="AH63" s="2012"/>
      <c r="AI63" s="2013"/>
      <c r="AJ63" s="2014"/>
      <c r="AK63" s="2015"/>
      <c r="AL63" s="2016"/>
      <c r="AM63" s="2017"/>
      <c r="AN63" s="2018"/>
      <c r="AO63" s="2019"/>
      <c r="AP63" s="2020"/>
      <c r="AQ63" s="2021"/>
      <c r="AR63" s="2022"/>
      <c r="AS63" s="2023"/>
      <c r="AT63" s="2024"/>
      <c r="AU63" s="2025"/>
      <c r="AV63" s="2026"/>
      <c r="AW63" s="2027"/>
      <c r="AX63" s="2028"/>
      <c r="AY63" s="2029"/>
      <c r="AZ63" s="2030"/>
      <c r="BA63" s="2031"/>
      <c r="BB63" s="2032"/>
      <c r="BC63" s="2033"/>
      <c r="BD63" s="1982" t="s">
        <v>563</v>
      </c>
      <c r="BE63" s="1935"/>
      <c r="BF63" s="1983"/>
      <c r="BG63" s="1983" t="str">
        <f t="shared" si="1"/>
        <v>Добавить значение признака дифференциации</v>
      </c>
      <c r="BH63" s="1983"/>
      <c r="BI63" s="1983"/>
    </row>
    <row r="64" spans="1:61" s="4893" customFormat="1" ht="23.25" customHeight="1">
      <c r="A64" s="3933"/>
      <c r="B64" s="3933"/>
      <c r="C64" s="3933"/>
      <c r="D64" s="3933"/>
      <c r="E64" s="5377"/>
      <c r="F64" s="5377"/>
      <c r="G64" s="5377"/>
      <c r="H64" s="5377"/>
      <c r="I64" s="5397"/>
      <c r="J64" s="5374" t="str">
        <f>I59&amp;".2"</f>
        <v>1.2.1.1.2</v>
      </c>
      <c r="K64" s="3933"/>
      <c r="L64" s="3934" t="s">
        <v>484</v>
      </c>
      <c r="M64" s="3935"/>
      <c r="N64" s="3935"/>
      <c r="O64" s="3935"/>
      <c r="P64" s="5375"/>
      <c r="Q64" s="5452" t="s">
        <v>101</v>
      </c>
      <c r="R64" s="3937"/>
      <c r="S64" s="3938" t="str">
        <f>$J64</f>
        <v>1.2.1.1.2</v>
      </c>
      <c r="T64" s="3939" t="s">
        <v>485</v>
      </c>
      <c r="U64" s="3940"/>
      <c r="V64" s="5365"/>
      <c r="W64" s="5366"/>
      <c r="X64" s="5366"/>
      <c r="Y64" s="5366"/>
      <c r="Z64" s="5366"/>
      <c r="AA64" s="5366"/>
      <c r="AB64" s="5366"/>
      <c r="AC64" s="5366"/>
      <c r="AD64" s="5366"/>
      <c r="AE64" s="5366"/>
      <c r="AF64" s="5367"/>
      <c r="AG64" s="5365" t="s">
        <v>621</v>
      </c>
      <c r="AH64" s="5366"/>
      <c r="AI64" s="5366"/>
      <c r="AJ64" s="5366"/>
      <c r="AK64" s="5366"/>
      <c r="AL64" s="5366"/>
      <c r="AM64" s="5366"/>
      <c r="AN64" s="5366"/>
      <c r="AO64" s="5366"/>
      <c r="AP64" s="5366"/>
      <c r="AQ64" s="5366"/>
      <c r="AR64" s="5365"/>
      <c r="AS64" s="5366"/>
      <c r="AT64" s="5366"/>
      <c r="AU64" s="5366"/>
      <c r="AV64" s="5366"/>
      <c r="AW64" s="5366"/>
      <c r="AX64" s="5366"/>
      <c r="AY64" s="5366"/>
      <c r="AZ64" s="5366"/>
      <c r="BA64" s="5366"/>
      <c r="BB64" s="5453"/>
      <c r="BC64" s="5367"/>
      <c r="BD64" s="3941" t="s">
        <v>561</v>
      </c>
      <c r="BE64" s="3942"/>
      <c r="BF64" s="3943"/>
      <c r="BG64" s="3943" t="str">
        <f t="shared" si="1"/>
        <v>Группа потребителей</v>
      </c>
      <c r="BH64" s="3943"/>
      <c r="BI64" s="3943"/>
    </row>
    <row r="65" spans="1:61" s="4894" customFormat="1" ht="23.25" customHeight="1">
      <c r="A65" s="3933"/>
      <c r="B65" s="3933"/>
      <c r="C65" s="3933"/>
      <c r="D65" s="3933"/>
      <c r="E65" s="5377"/>
      <c r="F65" s="5377"/>
      <c r="G65" s="5377"/>
      <c r="H65" s="5377"/>
      <c r="I65" s="5397"/>
      <c r="J65" s="5397" t="str">
        <f>I59&amp;".1"</f>
        <v>1.2.1.1.1</v>
      </c>
      <c r="K65" s="5374" t="str">
        <f>J64&amp;".1"</f>
        <v>1.2.1.1.2.1</v>
      </c>
      <c r="L65" s="3934"/>
      <c r="M65" s="3935"/>
      <c r="N65" s="3935"/>
      <c r="O65" s="3935"/>
      <c r="P65" s="5375"/>
      <c r="Q65" s="5375"/>
      <c r="R65" s="3937">
        <v>1</v>
      </c>
      <c r="S65" s="3938" t="str">
        <f>$K65</f>
        <v>1.2.1.1.2.1</v>
      </c>
      <c r="T65" s="3944" t="s">
        <v>622</v>
      </c>
      <c r="U65" s="3940"/>
      <c r="V65" s="3931"/>
      <c r="W65" s="3931"/>
      <c r="X65" s="3931"/>
      <c r="Y65" s="3931"/>
      <c r="Z65" s="3931"/>
      <c r="AA65" s="3931"/>
      <c r="AB65" s="3931"/>
      <c r="AC65" s="5379"/>
      <c r="AD65" s="5225" t="s">
        <v>64</v>
      </c>
      <c r="AE65" s="5379"/>
      <c r="AF65" s="5225" t="s">
        <v>64</v>
      </c>
      <c r="AG65" s="3931"/>
      <c r="AH65" s="3931">
        <v>28.09</v>
      </c>
      <c r="AI65" s="3931"/>
      <c r="AJ65" s="3931"/>
      <c r="AK65" s="3931">
        <v>3190.02</v>
      </c>
      <c r="AL65" s="3931"/>
      <c r="AM65" s="3931"/>
      <c r="AN65" s="5379">
        <v>45292</v>
      </c>
      <c r="AO65" s="5225" t="s">
        <v>64</v>
      </c>
      <c r="AP65" s="5398">
        <v>45473.396493055552</v>
      </c>
      <c r="AQ65" s="5225" t="s">
        <v>64</v>
      </c>
      <c r="AR65" s="3931"/>
      <c r="AS65" s="3931">
        <v>31.18</v>
      </c>
      <c r="AT65" s="3931"/>
      <c r="AU65" s="3931"/>
      <c r="AV65" s="3931">
        <v>3668.81</v>
      </c>
      <c r="AW65" s="3931"/>
      <c r="AX65" s="3931"/>
      <c r="AY65" s="5379">
        <v>45474.492280092592</v>
      </c>
      <c r="AZ65" s="5225" t="s">
        <v>64</v>
      </c>
      <c r="BA65" s="5379">
        <v>45657.397303240738</v>
      </c>
      <c r="BB65" s="5451" t="s">
        <v>64</v>
      </c>
      <c r="BC65" s="3945"/>
      <c r="BD65"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65" s="3942" t="e">
        <f ca="1">STRCHECKDATE(V66:BC66)</f>
        <v>#NAME?</v>
      </c>
      <c r="BF65" s="3943"/>
      <c r="BG65" s="3943" t="str">
        <f t="shared" si="1"/>
        <v>ЗАО "Водоканал"</v>
      </c>
      <c r="BH65" s="3943"/>
      <c r="BI65" s="3943"/>
    </row>
    <row r="66" spans="1:61" s="4895" customFormat="1" ht="14.25" customHeight="1">
      <c r="A66" s="3933"/>
      <c r="B66" s="3933"/>
      <c r="C66" s="3933"/>
      <c r="D66" s="3933"/>
      <c r="E66" s="5377"/>
      <c r="F66" s="5377"/>
      <c r="G66" s="5377"/>
      <c r="H66" s="5377"/>
      <c r="I66" s="5397"/>
      <c r="J66" s="5397" t="str">
        <f>I59&amp;".1"</f>
        <v>1.2.1.1.1</v>
      </c>
      <c r="K66" s="5374"/>
      <c r="L66" s="3934"/>
      <c r="M66" s="3935"/>
      <c r="N66" s="3935"/>
      <c r="O66" s="3935"/>
      <c r="P66" s="5375"/>
      <c r="Q66" s="5375"/>
      <c r="R66" s="3937"/>
      <c r="S66" s="3946"/>
      <c r="T66" s="3940"/>
      <c r="U66" s="3940"/>
      <c r="V66" s="3932"/>
      <c r="W66" s="3932"/>
      <c r="X66" s="3932"/>
      <c r="Y66" s="3932"/>
      <c r="Z66" s="3932"/>
      <c r="AA66" s="3932"/>
      <c r="AB66" s="3932"/>
      <c r="AC66" s="5380"/>
      <c r="AD66" s="5225"/>
      <c r="AE66" s="5380"/>
      <c r="AF66" s="5225"/>
      <c r="AG66" s="3932"/>
      <c r="AH66" s="3932"/>
      <c r="AI66" s="3932"/>
      <c r="AJ66" s="3932"/>
      <c r="AK66" s="3932"/>
      <c r="AL66" s="3932"/>
      <c r="AM66" s="3932"/>
      <c r="AN66" s="5380"/>
      <c r="AO66" s="5225"/>
      <c r="AP66" s="5399"/>
      <c r="AQ66" s="5225"/>
      <c r="AR66" s="3932"/>
      <c r="AS66" s="3932"/>
      <c r="AT66" s="3932"/>
      <c r="AU66" s="3932"/>
      <c r="AV66" s="3932"/>
      <c r="AW66" s="3932"/>
      <c r="AX66" s="3932"/>
      <c r="AY66" s="5380"/>
      <c r="AZ66" s="5225"/>
      <c r="BA66" s="5380"/>
      <c r="BB66" s="5451"/>
      <c r="BC66" s="3947"/>
      <c r="BD66" s="5434"/>
      <c r="BE66" s="3942"/>
      <c r="BF66" s="3943"/>
      <c r="BG66" s="3943" t="str">
        <f t="shared" si="1"/>
        <v/>
      </c>
      <c r="BH66" s="3943"/>
      <c r="BI66" s="3943"/>
    </row>
    <row r="67" spans="1:61" s="4896" customFormat="1" ht="21" customHeight="1">
      <c r="A67" s="3933"/>
      <c r="B67" s="3933"/>
      <c r="C67" s="3933"/>
      <c r="D67" s="3933"/>
      <c r="E67" s="5377"/>
      <c r="F67" s="5377"/>
      <c r="G67" s="5377"/>
      <c r="H67" s="5377"/>
      <c r="I67" s="5397"/>
      <c r="J67" s="5374" t="str">
        <f>I59&amp;".1"</f>
        <v>1.2.1.1.1</v>
      </c>
      <c r="K67" s="3933"/>
      <c r="L67" s="3934"/>
      <c r="M67" s="3935"/>
      <c r="N67" s="3935"/>
      <c r="O67" s="3935"/>
      <c r="P67" s="5375"/>
      <c r="Q67" s="5375"/>
      <c r="R67" s="3948"/>
      <c r="S67" s="3987"/>
      <c r="T67" s="3988" t="s">
        <v>562</v>
      </c>
      <c r="U67" s="3989"/>
      <c r="V67" s="3990"/>
      <c r="W67" s="3991"/>
      <c r="X67" s="3992"/>
      <c r="Y67" s="3993"/>
      <c r="Z67" s="3994"/>
      <c r="AA67" s="3995"/>
      <c r="AB67" s="3996"/>
      <c r="AC67" s="3997"/>
      <c r="AD67" s="3998"/>
      <c r="AE67" s="3999"/>
      <c r="AF67" s="4000"/>
      <c r="AG67" s="4001"/>
      <c r="AH67" s="4002"/>
      <c r="AI67" s="4003"/>
      <c r="AJ67" s="4004"/>
      <c r="AK67" s="4005"/>
      <c r="AL67" s="4006"/>
      <c r="AM67" s="4007"/>
      <c r="AN67" s="4008"/>
      <c r="AO67" s="4009"/>
      <c r="AP67" s="4010"/>
      <c r="AQ67" s="4011"/>
      <c r="AR67" s="4012"/>
      <c r="AS67" s="4013"/>
      <c r="AT67" s="4014"/>
      <c r="AU67" s="4015"/>
      <c r="AV67" s="4016"/>
      <c r="AW67" s="4017"/>
      <c r="AX67" s="4018"/>
      <c r="AY67" s="4019"/>
      <c r="AZ67" s="4020"/>
      <c r="BA67" s="4021"/>
      <c r="BB67" s="4022"/>
      <c r="BC67" s="4023"/>
      <c r="BD67" s="3986" t="s">
        <v>563</v>
      </c>
      <c r="BE67" s="3942"/>
      <c r="BF67" s="3943"/>
      <c r="BG67" s="3943" t="str">
        <f t="shared" si="1"/>
        <v>Добавить значение признака дифференциации</v>
      </c>
      <c r="BH67" s="3943"/>
      <c r="BI67" s="3943"/>
    </row>
    <row r="68" spans="1:61" s="4897" customFormat="1" ht="21" customHeight="1">
      <c r="A68" s="1973"/>
      <c r="B68" s="1973"/>
      <c r="C68" s="1973"/>
      <c r="D68" s="1973"/>
      <c r="E68" s="5377"/>
      <c r="F68" s="5377">
        <v>1</v>
      </c>
      <c r="G68" s="5377"/>
      <c r="H68" s="5377"/>
      <c r="I68" s="5374"/>
      <c r="J68" s="1973"/>
      <c r="K68" s="1973"/>
      <c r="L68" s="1974"/>
      <c r="M68" s="1986"/>
      <c r="N68" s="1986"/>
      <c r="O68" s="1986"/>
      <c r="P68" s="5375"/>
      <c r="Q68" s="1987"/>
      <c r="R68" s="1988"/>
      <c r="S68" s="2034"/>
      <c r="T68" s="2035" t="s">
        <v>490</v>
      </c>
      <c r="U68" s="2036"/>
      <c r="V68" s="2037"/>
      <c r="W68" s="2038"/>
      <c r="X68" s="2039"/>
      <c r="Y68" s="2040"/>
      <c r="Z68" s="2041"/>
      <c r="AA68" s="2042"/>
      <c r="AB68" s="2043"/>
      <c r="AC68" s="2044"/>
      <c r="AD68" s="2045"/>
      <c r="AE68" s="2046"/>
      <c r="AF68" s="2047"/>
      <c r="AG68" s="2048"/>
      <c r="AH68" s="2049"/>
      <c r="AI68" s="2050"/>
      <c r="AJ68" s="2051"/>
      <c r="AK68" s="2052"/>
      <c r="AL68" s="2053"/>
      <c r="AM68" s="2054"/>
      <c r="AN68" s="2055"/>
      <c r="AO68" s="2056"/>
      <c r="AP68" s="2057"/>
      <c r="AQ68" s="2058"/>
      <c r="AR68" s="2059"/>
      <c r="AS68" s="2060"/>
      <c r="AT68" s="2061"/>
      <c r="AU68" s="2062"/>
      <c r="AV68" s="2063"/>
      <c r="AW68" s="2064"/>
      <c r="AX68" s="2065"/>
      <c r="AY68" s="2066"/>
      <c r="AZ68" s="2067"/>
      <c r="BA68" s="2068"/>
      <c r="BB68" s="2069"/>
      <c r="BC68" s="2070"/>
      <c r="BD68" s="2071"/>
      <c r="BE68" s="1935"/>
      <c r="BF68" s="1983"/>
      <c r="BG68" s="1983" t="str">
        <f t="shared" si="1"/>
        <v>Добавить группу потребителей</v>
      </c>
      <c r="BH68" s="1983"/>
      <c r="BI68" s="1983"/>
    </row>
    <row r="69" spans="1:61" s="4898" customFormat="1" ht="21" customHeight="1">
      <c r="A69" s="1973"/>
      <c r="B69" s="1973"/>
      <c r="C69" s="1973"/>
      <c r="D69" s="1973"/>
      <c r="E69" s="5377"/>
      <c r="F69" s="5377">
        <v>1</v>
      </c>
      <c r="G69" s="5377"/>
      <c r="H69" s="5376"/>
      <c r="I69" s="1973"/>
      <c r="J69" s="1973"/>
      <c r="K69" s="1973"/>
      <c r="L69" s="1974"/>
      <c r="M69" s="1975"/>
      <c r="N69" s="1975"/>
      <c r="O69" s="1929"/>
      <c r="P69" s="2072"/>
      <c r="Q69" s="2073"/>
      <c r="R69" s="2074"/>
      <c r="S69" s="2075"/>
      <c r="T69" s="2076" t="s">
        <v>564</v>
      </c>
      <c r="U69" s="2077"/>
      <c r="V69" s="2078"/>
      <c r="W69" s="2079"/>
      <c r="X69" s="2080"/>
      <c r="Y69" s="2081"/>
      <c r="Z69" s="2082"/>
      <c r="AA69" s="2083"/>
      <c r="AB69" s="2084"/>
      <c r="AC69" s="2085"/>
      <c r="AD69" s="2086"/>
      <c r="AE69" s="2087"/>
      <c r="AF69" s="2088"/>
      <c r="AG69" s="2089"/>
      <c r="AH69" s="2090"/>
      <c r="AI69" s="2091"/>
      <c r="AJ69" s="2092"/>
      <c r="AK69" s="2093"/>
      <c r="AL69" s="2094"/>
      <c r="AM69" s="2095"/>
      <c r="AN69" s="2096"/>
      <c r="AO69" s="2097"/>
      <c r="AP69" s="2098"/>
      <c r="AQ69" s="2099"/>
      <c r="AR69" s="2100"/>
      <c r="AS69" s="2101"/>
      <c r="AT69" s="2102"/>
      <c r="AU69" s="2103"/>
      <c r="AV69" s="2104"/>
      <c r="AW69" s="2105"/>
      <c r="AX69" s="2106"/>
      <c r="AY69" s="2107"/>
      <c r="AZ69" s="2108"/>
      <c r="BA69" s="2109"/>
      <c r="BB69" s="2110"/>
      <c r="BC69" s="2111"/>
      <c r="BD69" s="2112"/>
      <c r="BE69" s="1935"/>
      <c r="BF69" s="1983"/>
      <c r="BG69" s="1983" t="str">
        <f t="shared" si="1"/>
        <v>Добавить наименование признака дифференциации</v>
      </c>
      <c r="BH69" s="1983"/>
      <c r="BI69" s="1983"/>
    </row>
    <row r="70" spans="1:61" s="4899" customFormat="1" ht="23.25" customHeight="1">
      <c r="A70" s="1973"/>
      <c r="B70" s="1973"/>
      <c r="C70" s="1973" t="s">
        <v>277</v>
      </c>
      <c r="D70" s="1973"/>
      <c r="E70" s="5377"/>
      <c r="F70" s="5377"/>
      <c r="G70" s="5376" t="s">
        <v>100</v>
      </c>
      <c r="H70" s="1973"/>
      <c r="I70" s="1973"/>
      <c r="J70" s="1973"/>
      <c r="K70" s="1973"/>
      <c r="L70" s="1974"/>
      <c r="M70" s="1975"/>
      <c r="N70" s="1975"/>
      <c r="O70" s="1975"/>
      <c r="P70" s="1984"/>
      <c r="Q70" s="1977"/>
      <c r="R70" s="1978"/>
      <c r="S70" s="1979" t="str">
        <f>INDEX(PT_DIFFERENTIATION_NUM_CS,MATCH(C70,PT_DIFFERENTIATION_CS_ID,0))</f>
        <v>1.2.2</v>
      </c>
      <c r="T70" s="1985" t="s">
        <v>606</v>
      </c>
      <c r="U70" s="1981"/>
      <c r="V70" s="5362"/>
      <c r="W70" s="5363"/>
      <c r="X70" s="5363"/>
      <c r="Y70" s="5363"/>
      <c r="Z70" s="5363"/>
      <c r="AA70" s="5363"/>
      <c r="AB70" s="5363"/>
      <c r="AC70" s="5363"/>
      <c r="AD70" s="5363"/>
      <c r="AE70" s="5363"/>
      <c r="AF70" s="5364"/>
      <c r="AG70" s="5362" t="str">
        <f>INDEX(PT_DIFFERENTIATION_CS,MATCH(C70,PT_DIFFERENTIATION_CS_ID,0))</f>
        <v>г.Высоковск, д.Масюгино</v>
      </c>
      <c r="AH70" s="5363"/>
      <c r="AI70" s="5363"/>
      <c r="AJ70" s="5363"/>
      <c r="AK70" s="5363"/>
      <c r="AL70" s="5363"/>
      <c r="AM70" s="5363"/>
      <c r="AN70" s="5363"/>
      <c r="AO70" s="5363"/>
      <c r="AP70" s="5363"/>
      <c r="AQ70" s="5363"/>
      <c r="AR70" s="5362"/>
      <c r="AS70" s="5363"/>
      <c r="AT70" s="5363"/>
      <c r="AU70" s="5363"/>
      <c r="AV70" s="5363"/>
      <c r="AW70" s="5363"/>
      <c r="AX70" s="5363"/>
      <c r="AY70" s="5363"/>
      <c r="AZ70" s="5363"/>
      <c r="BA70" s="5363"/>
      <c r="BB70" s="5364"/>
      <c r="BC70" s="5364"/>
      <c r="BD70" s="1982" t="s">
        <v>607</v>
      </c>
      <c r="BE70" s="1935"/>
      <c r="BF70" s="1983"/>
      <c r="BG70" s="1983" t="str">
        <f t="shared" si="1"/>
        <v>Наименование централизованной системы горячего водоснабжения</v>
      </c>
      <c r="BH70" s="1983"/>
      <c r="BI70" s="1983"/>
    </row>
    <row r="71" spans="1:61" s="4900" customFormat="1" ht="23.25" customHeight="1">
      <c r="A71" s="1973"/>
      <c r="B71" s="1973"/>
      <c r="C71" s="1973"/>
      <c r="D71" s="1973"/>
      <c r="E71" s="5377"/>
      <c r="F71" s="5377"/>
      <c r="G71" s="5377">
        <v>1</v>
      </c>
      <c r="H71" s="5377"/>
      <c r="I71" s="5374" t="str">
        <f>S70&amp;".1"</f>
        <v>1.2.2.1</v>
      </c>
      <c r="J71" s="1973"/>
      <c r="K71" s="1973"/>
      <c r="L71" s="1974"/>
      <c r="M71" s="1986"/>
      <c r="N71" s="1986"/>
      <c r="O71" s="1986"/>
      <c r="P71" s="5375">
        <v>1</v>
      </c>
      <c r="Q71" s="1987"/>
      <c r="R71" s="1988"/>
      <c r="S71" s="1979" t="str">
        <f>$I71</f>
        <v>1.2.2.1</v>
      </c>
      <c r="T71" s="1989" t="s">
        <v>559</v>
      </c>
      <c r="U71" s="1981"/>
      <c r="V71" s="5435"/>
      <c r="W71" s="5436"/>
      <c r="X71" s="5436"/>
      <c r="Y71" s="5436"/>
      <c r="Z71" s="5436"/>
      <c r="AA71" s="5436"/>
      <c r="AB71" s="5436"/>
      <c r="AC71" s="5436"/>
      <c r="AD71" s="5436"/>
      <c r="AE71" s="5436"/>
      <c r="AF71" s="5437"/>
      <c r="AG71" s="5438"/>
      <c r="AH71" s="5439"/>
      <c r="AI71" s="5439"/>
      <c r="AJ71" s="5439"/>
      <c r="AK71" s="5439"/>
      <c r="AL71" s="5439"/>
      <c r="AM71" s="5439"/>
      <c r="AN71" s="5439"/>
      <c r="AO71" s="5439"/>
      <c r="AP71" s="5439"/>
      <c r="AQ71" s="5439"/>
      <c r="AR71" s="5435"/>
      <c r="AS71" s="5436"/>
      <c r="AT71" s="5436"/>
      <c r="AU71" s="5436"/>
      <c r="AV71" s="5436"/>
      <c r="AW71" s="5436"/>
      <c r="AX71" s="5436"/>
      <c r="AY71" s="5436"/>
      <c r="AZ71" s="5436"/>
      <c r="BA71" s="5436"/>
      <c r="BB71" s="5437"/>
      <c r="BC71" s="5440"/>
      <c r="BD71" s="1982" t="s">
        <v>560</v>
      </c>
      <c r="BE71" s="1935"/>
      <c r="BF71" s="1983"/>
      <c r="BG71" s="1983" t="str">
        <f t="shared" si="1"/>
        <v>Наименование признака дифференциации</v>
      </c>
      <c r="BH71" s="1983"/>
      <c r="BI71" s="1983"/>
    </row>
    <row r="72" spans="1:61" s="4901" customFormat="1" ht="23.25" customHeight="1">
      <c r="A72" s="1973"/>
      <c r="B72" s="1973"/>
      <c r="C72" s="1973"/>
      <c r="D72" s="1973"/>
      <c r="E72" s="5377"/>
      <c r="F72" s="5377"/>
      <c r="G72" s="5377">
        <v>1</v>
      </c>
      <c r="H72" s="5377"/>
      <c r="I72" s="5397"/>
      <c r="J72" s="5374" t="str">
        <f>I71&amp;".1"</f>
        <v>1.2.2.1.1</v>
      </c>
      <c r="K72" s="1973"/>
      <c r="L72" s="1974" t="s">
        <v>484</v>
      </c>
      <c r="M72" s="1986"/>
      <c r="N72" s="1986"/>
      <c r="O72" s="1986"/>
      <c r="P72" s="5375"/>
      <c r="Q72" s="5375">
        <v>1</v>
      </c>
      <c r="R72" s="1990"/>
      <c r="S72" s="1979" t="str">
        <f>$J72</f>
        <v>1.2.2.1.1</v>
      </c>
      <c r="T72" s="1991" t="s">
        <v>485</v>
      </c>
      <c r="U72" s="1981"/>
      <c r="V72" s="5365"/>
      <c r="W72" s="5366"/>
      <c r="X72" s="5366"/>
      <c r="Y72" s="5366"/>
      <c r="Z72" s="5366"/>
      <c r="AA72" s="5366"/>
      <c r="AB72" s="5366"/>
      <c r="AC72" s="5366"/>
      <c r="AD72" s="5366"/>
      <c r="AE72" s="5366"/>
      <c r="AF72" s="5367"/>
      <c r="AG72" s="5365" t="s">
        <v>619</v>
      </c>
      <c r="AH72" s="5366"/>
      <c r="AI72" s="5366"/>
      <c r="AJ72" s="5366"/>
      <c r="AK72" s="5366"/>
      <c r="AL72" s="5366"/>
      <c r="AM72" s="5366"/>
      <c r="AN72" s="5366"/>
      <c r="AO72" s="5366"/>
      <c r="AP72" s="5366"/>
      <c r="AQ72" s="5366"/>
      <c r="AR72" s="5365"/>
      <c r="AS72" s="5366"/>
      <c r="AT72" s="5366"/>
      <c r="AU72" s="5366"/>
      <c r="AV72" s="5366"/>
      <c r="AW72" s="5366"/>
      <c r="AX72" s="5366"/>
      <c r="AY72" s="5366"/>
      <c r="AZ72" s="5366"/>
      <c r="BA72" s="5366"/>
      <c r="BB72" s="5367"/>
      <c r="BC72" s="5367"/>
      <c r="BD72" s="1992" t="s">
        <v>561</v>
      </c>
      <c r="BE72" s="1935"/>
      <c r="BF72" s="1983"/>
      <c r="BG72" s="1983" t="str">
        <f t="shared" si="1"/>
        <v>Группа потребителей</v>
      </c>
      <c r="BH72" s="1983"/>
      <c r="BI72" s="1983"/>
    </row>
    <row r="73" spans="1:61" s="4902" customFormat="1" ht="23.25" customHeight="1">
      <c r="A73" s="1973"/>
      <c r="B73" s="1973"/>
      <c r="C73" s="1973"/>
      <c r="D73" s="1973"/>
      <c r="E73" s="5377"/>
      <c r="F73" s="5377"/>
      <c r="G73" s="5377">
        <v>1</v>
      </c>
      <c r="H73" s="5377"/>
      <c r="I73" s="5397"/>
      <c r="J73" s="5397"/>
      <c r="K73" s="5374" t="str">
        <f>J72&amp;".1"</f>
        <v>1.2.2.1.1.1</v>
      </c>
      <c r="L73" s="1974"/>
      <c r="M73" s="1986"/>
      <c r="N73" s="1986"/>
      <c r="O73" s="1986"/>
      <c r="P73" s="5375"/>
      <c r="Q73" s="5375"/>
      <c r="R73" s="1990">
        <v>1</v>
      </c>
      <c r="S73" s="1979" t="str">
        <f>$K73</f>
        <v>1.2.2.1.1.1</v>
      </c>
      <c r="T73" s="1993" t="s">
        <v>622</v>
      </c>
      <c r="U73" s="1981"/>
      <c r="V73" s="1893"/>
      <c r="W73" s="1893"/>
      <c r="X73" s="1893"/>
      <c r="Y73" s="1893"/>
      <c r="Z73" s="1893"/>
      <c r="AA73" s="1893"/>
      <c r="AB73" s="1893"/>
      <c r="AC73" s="5379"/>
      <c r="AD73" s="5225" t="s">
        <v>64</v>
      </c>
      <c r="AE73" s="5379"/>
      <c r="AF73" s="5225" t="s">
        <v>64</v>
      </c>
      <c r="AG73" s="1893"/>
      <c r="AH73" s="1893">
        <v>23.41</v>
      </c>
      <c r="AI73" s="1893"/>
      <c r="AJ73" s="1893"/>
      <c r="AK73" s="1893">
        <v>2184.0500000000002</v>
      </c>
      <c r="AL73" s="1893"/>
      <c r="AM73" s="1893"/>
      <c r="AN73" s="5379">
        <v>45292</v>
      </c>
      <c r="AO73" s="5225" t="s">
        <v>64</v>
      </c>
      <c r="AP73" s="5398">
        <v>45473.396493055552</v>
      </c>
      <c r="AQ73" s="5225" t="s">
        <v>64</v>
      </c>
      <c r="AR73" s="1893"/>
      <c r="AS73" s="1893">
        <v>25.98</v>
      </c>
      <c r="AT73" s="1893"/>
      <c r="AU73" s="1893"/>
      <c r="AV73" s="1893">
        <v>2679.15</v>
      </c>
      <c r="AW73" s="1893"/>
      <c r="AX73" s="1893"/>
      <c r="AY73" s="5379">
        <v>45474.492280092592</v>
      </c>
      <c r="AZ73" s="5225" t="s">
        <v>64</v>
      </c>
      <c r="BA73" s="5379">
        <v>45657.397303240738</v>
      </c>
      <c r="BB73" s="5225" t="s">
        <v>64</v>
      </c>
      <c r="BC73" s="1994"/>
      <c r="BD73"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3" s="1935" t="e">
        <f ca="1">STRCHECKDATE(V74:BC74)</f>
        <v>#NAME?</v>
      </c>
      <c r="BF73" s="1983"/>
      <c r="BG73" s="1983" t="str">
        <f t="shared" si="1"/>
        <v>ЗАО "Водоканал"</v>
      </c>
      <c r="BH73" s="1983"/>
      <c r="BI73" s="1983"/>
    </row>
    <row r="74" spans="1:61" s="4903" customFormat="1" ht="14.25" customHeight="1">
      <c r="A74" s="1973"/>
      <c r="B74" s="1973"/>
      <c r="C74" s="1973"/>
      <c r="D74" s="1973"/>
      <c r="E74" s="5377"/>
      <c r="F74" s="5377"/>
      <c r="G74" s="5377">
        <v>1</v>
      </c>
      <c r="H74" s="5377"/>
      <c r="I74" s="5397"/>
      <c r="J74" s="5397"/>
      <c r="K74" s="5374"/>
      <c r="L74" s="1974"/>
      <c r="M74" s="1986"/>
      <c r="N74" s="1986"/>
      <c r="O74" s="1986"/>
      <c r="P74" s="5375"/>
      <c r="Q74" s="5375"/>
      <c r="R74" s="1990"/>
      <c r="S74" s="1995"/>
      <c r="T74" s="1981"/>
      <c r="U74" s="1981"/>
      <c r="V74" s="1894"/>
      <c r="W74" s="1894"/>
      <c r="X74" s="1894"/>
      <c r="Y74" s="1894"/>
      <c r="Z74" s="1894"/>
      <c r="AA74" s="1894"/>
      <c r="AB74" s="1894"/>
      <c r="AC74" s="5380"/>
      <c r="AD74" s="5225"/>
      <c r="AE74" s="5380"/>
      <c r="AF74" s="5225"/>
      <c r="AG74" s="1894"/>
      <c r="AH74" s="1894"/>
      <c r="AI74" s="1894"/>
      <c r="AJ74" s="1894"/>
      <c r="AK74" s="1894"/>
      <c r="AL74" s="1894"/>
      <c r="AM74" s="1894"/>
      <c r="AN74" s="5380"/>
      <c r="AO74" s="5225"/>
      <c r="AP74" s="5399"/>
      <c r="AQ74" s="5225"/>
      <c r="AR74" s="1894"/>
      <c r="AS74" s="1894"/>
      <c r="AT74" s="1894"/>
      <c r="AU74" s="1894"/>
      <c r="AV74" s="1894"/>
      <c r="AW74" s="1894"/>
      <c r="AX74" s="1894"/>
      <c r="AY74" s="5380"/>
      <c r="AZ74" s="5225"/>
      <c r="BA74" s="5380"/>
      <c r="BB74" s="5225"/>
      <c r="BC74" s="1996"/>
      <c r="BD74" s="5434"/>
      <c r="BE74" s="1935"/>
      <c r="BF74" s="1983"/>
      <c r="BG74" s="1983" t="str">
        <f t="shared" si="1"/>
        <v/>
      </c>
      <c r="BH74" s="1983"/>
      <c r="BI74" s="1983"/>
    </row>
    <row r="75" spans="1:61" s="4904" customFormat="1" ht="21" customHeight="1">
      <c r="A75" s="1973"/>
      <c r="B75" s="1973"/>
      <c r="C75" s="1973"/>
      <c r="D75" s="1973"/>
      <c r="E75" s="5377"/>
      <c r="F75" s="5377"/>
      <c r="G75" s="5377">
        <v>1</v>
      </c>
      <c r="H75" s="5377"/>
      <c r="I75" s="5397"/>
      <c r="J75" s="5374"/>
      <c r="K75" s="1973"/>
      <c r="L75" s="1974"/>
      <c r="M75" s="1986"/>
      <c r="N75" s="1986"/>
      <c r="O75" s="1986"/>
      <c r="P75" s="5375"/>
      <c r="Q75" s="5375"/>
      <c r="R75" s="1988"/>
      <c r="S75" s="2113"/>
      <c r="T75" s="2114" t="s">
        <v>562</v>
      </c>
      <c r="U75" s="2115"/>
      <c r="V75" s="2116"/>
      <c r="W75" s="2117"/>
      <c r="X75" s="2118"/>
      <c r="Y75" s="2119"/>
      <c r="Z75" s="2120"/>
      <c r="AA75" s="2121"/>
      <c r="AB75" s="2122"/>
      <c r="AC75" s="2123"/>
      <c r="AD75" s="2124"/>
      <c r="AE75" s="2125"/>
      <c r="AF75" s="2126"/>
      <c r="AG75" s="2127"/>
      <c r="AH75" s="2128"/>
      <c r="AI75" s="2129"/>
      <c r="AJ75" s="2130"/>
      <c r="AK75" s="2131"/>
      <c r="AL75" s="2132"/>
      <c r="AM75" s="2133"/>
      <c r="AN75" s="2134"/>
      <c r="AO75" s="2135"/>
      <c r="AP75" s="2136"/>
      <c r="AQ75" s="2137"/>
      <c r="AR75" s="2138"/>
      <c r="AS75" s="2139"/>
      <c r="AT75" s="2140"/>
      <c r="AU75" s="2141"/>
      <c r="AV75" s="2142"/>
      <c r="AW75" s="2143"/>
      <c r="AX75" s="2144"/>
      <c r="AY75" s="2145"/>
      <c r="AZ75" s="2146"/>
      <c r="BA75" s="2147"/>
      <c r="BB75" s="2148"/>
      <c r="BC75" s="2149"/>
      <c r="BD75" s="1982" t="s">
        <v>563</v>
      </c>
      <c r="BE75" s="1935"/>
      <c r="BF75" s="1983"/>
      <c r="BG75" s="1983" t="str">
        <f t="shared" si="1"/>
        <v>Добавить значение признака дифференциации</v>
      </c>
      <c r="BH75" s="1983"/>
      <c r="BI75" s="1983"/>
    </row>
    <row r="76" spans="1:61" s="4905" customFormat="1" ht="23.25" customHeight="1">
      <c r="A76" s="3933"/>
      <c r="B76" s="3933"/>
      <c r="C76" s="3933"/>
      <c r="D76" s="3933"/>
      <c r="E76" s="5377"/>
      <c r="F76" s="5377"/>
      <c r="G76" s="5377"/>
      <c r="H76" s="5377"/>
      <c r="I76" s="5397"/>
      <c r="J76" s="5374" t="str">
        <f>I71&amp;".2"</f>
        <v>1.2.2.1.2</v>
      </c>
      <c r="K76" s="3933"/>
      <c r="L76" s="3934" t="s">
        <v>484</v>
      </c>
      <c r="M76" s="3935"/>
      <c r="N76" s="3935"/>
      <c r="O76" s="3935"/>
      <c r="P76" s="5375"/>
      <c r="Q76" s="5452" t="s">
        <v>101</v>
      </c>
      <c r="R76" s="3937"/>
      <c r="S76" s="3938" t="str">
        <f>$J76</f>
        <v>1.2.2.1.2</v>
      </c>
      <c r="T76" s="3939" t="s">
        <v>485</v>
      </c>
      <c r="U76" s="3940"/>
      <c r="V76" s="5365"/>
      <c r="W76" s="5366"/>
      <c r="X76" s="5366"/>
      <c r="Y76" s="5366"/>
      <c r="Z76" s="5366"/>
      <c r="AA76" s="5366"/>
      <c r="AB76" s="5366"/>
      <c r="AC76" s="5366"/>
      <c r="AD76" s="5366"/>
      <c r="AE76" s="5366"/>
      <c r="AF76" s="5367"/>
      <c r="AG76" s="5365" t="s">
        <v>621</v>
      </c>
      <c r="AH76" s="5366"/>
      <c r="AI76" s="5366"/>
      <c r="AJ76" s="5366"/>
      <c r="AK76" s="5366"/>
      <c r="AL76" s="5366"/>
      <c r="AM76" s="5366"/>
      <c r="AN76" s="5366"/>
      <c r="AO76" s="5366"/>
      <c r="AP76" s="5366"/>
      <c r="AQ76" s="5366"/>
      <c r="AR76" s="5365"/>
      <c r="AS76" s="5366"/>
      <c r="AT76" s="5366"/>
      <c r="AU76" s="5366"/>
      <c r="AV76" s="5366"/>
      <c r="AW76" s="5366"/>
      <c r="AX76" s="5366"/>
      <c r="AY76" s="5366"/>
      <c r="AZ76" s="5366"/>
      <c r="BA76" s="5366"/>
      <c r="BB76" s="5453"/>
      <c r="BC76" s="5367"/>
      <c r="BD76" s="3941" t="s">
        <v>561</v>
      </c>
      <c r="BE76" s="3942"/>
      <c r="BF76" s="3943"/>
      <c r="BG76" s="3943" t="str">
        <f t="shared" si="1"/>
        <v>Группа потребителей</v>
      </c>
      <c r="BH76" s="3943"/>
      <c r="BI76" s="3943"/>
    </row>
    <row r="77" spans="1:61" s="4906" customFormat="1" ht="23.25" customHeight="1">
      <c r="A77" s="3933"/>
      <c r="B77" s="3933"/>
      <c r="C77" s="3933"/>
      <c r="D77" s="3933"/>
      <c r="E77" s="5377"/>
      <c r="F77" s="5377"/>
      <c r="G77" s="5377"/>
      <c r="H77" s="5377"/>
      <c r="I77" s="5397"/>
      <c r="J77" s="5397" t="str">
        <f>I71&amp;".1"</f>
        <v>1.2.2.1.1</v>
      </c>
      <c r="K77" s="5374" t="str">
        <f>J76&amp;".1"</f>
        <v>1.2.2.1.2.1</v>
      </c>
      <c r="L77" s="3934"/>
      <c r="M77" s="3935"/>
      <c r="N77" s="3935"/>
      <c r="O77" s="3935"/>
      <c r="P77" s="5375"/>
      <c r="Q77" s="5375"/>
      <c r="R77" s="3937">
        <v>1</v>
      </c>
      <c r="S77" s="3938" t="str">
        <f>$K77</f>
        <v>1.2.2.1.2.1</v>
      </c>
      <c r="T77" s="3944" t="s">
        <v>622</v>
      </c>
      <c r="U77" s="3940"/>
      <c r="V77" s="3931"/>
      <c r="W77" s="3931"/>
      <c r="X77" s="3931"/>
      <c r="Y77" s="3931"/>
      <c r="Z77" s="3931"/>
      <c r="AA77" s="3931"/>
      <c r="AB77" s="3931"/>
      <c r="AC77" s="5379"/>
      <c r="AD77" s="5225" t="s">
        <v>64</v>
      </c>
      <c r="AE77" s="5379"/>
      <c r="AF77" s="5225" t="s">
        <v>64</v>
      </c>
      <c r="AG77" s="3931"/>
      <c r="AH77" s="3931">
        <v>28.09</v>
      </c>
      <c r="AI77" s="3931"/>
      <c r="AJ77" s="3931"/>
      <c r="AK77" s="3931">
        <v>2620.86</v>
      </c>
      <c r="AL77" s="3931"/>
      <c r="AM77" s="3931"/>
      <c r="AN77" s="5379">
        <v>45292</v>
      </c>
      <c r="AO77" s="5225" t="s">
        <v>64</v>
      </c>
      <c r="AP77" s="5398">
        <v>45473.396493055552</v>
      </c>
      <c r="AQ77" s="5225" t="s">
        <v>64</v>
      </c>
      <c r="AR77" s="3931"/>
      <c r="AS77" s="3931">
        <v>31.18</v>
      </c>
      <c r="AT77" s="3931"/>
      <c r="AU77" s="3931"/>
      <c r="AV77" s="3931">
        <v>3013.99</v>
      </c>
      <c r="AW77" s="3931"/>
      <c r="AX77" s="3931"/>
      <c r="AY77" s="5379">
        <v>45474.492280092592</v>
      </c>
      <c r="AZ77" s="5225" t="s">
        <v>64</v>
      </c>
      <c r="BA77" s="5379">
        <v>45657.397303240738</v>
      </c>
      <c r="BB77" s="5451" t="s">
        <v>64</v>
      </c>
      <c r="BC77" s="3945"/>
      <c r="BD7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77" s="3942" t="e">
        <f ca="1">STRCHECKDATE(V78:BC78)</f>
        <v>#NAME?</v>
      </c>
      <c r="BF77" s="3943"/>
      <c r="BG77" s="3943" t="str">
        <f t="shared" si="1"/>
        <v>ЗАО "Водоканал"</v>
      </c>
      <c r="BH77" s="3943"/>
      <c r="BI77" s="3943"/>
    </row>
    <row r="78" spans="1:61" s="4907" customFormat="1" ht="14.25" customHeight="1">
      <c r="A78" s="3933"/>
      <c r="B78" s="3933"/>
      <c r="C78" s="3933"/>
      <c r="D78" s="3933"/>
      <c r="E78" s="5377"/>
      <c r="F78" s="5377"/>
      <c r="G78" s="5377"/>
      <c r="H78" s="5377"/>
      <c r="I78" s="5397"/>
      <c r="J78" s="5397" t="str">
        <f>I71&amp;".1"</f>
        <v>1.2.2.1.1</v>
      </c>
      <c r="K78" s="5374"/>
      <c r="L78" s="3934"/>
      <c r="M78" s="3935"/>
      <c r="N78" s="3935"/>
      <c r="O78" s="3935"/>
      <c r="P78" s="5375"/>
      <c r="Q78" s="5375"/>
      <c r="R78" s="3937"/>
      <c r="S78" s="3946"/>
      <c r="T78" s="3940"/>
      <c r="U78" s="3940"/>
      <c r="V78" s="3932"/>
      <c r="W78" s="3932"/>
      <c r="X78" s="3932"/>
      <c r="Y78" s="3932"/>
      <c r="Z78" s="3932"/>
      <c r="AA78" s="3932"/>
      <c r="AB78" s="3932"/>
      <c r="AC78" s="5380"/>
      <c r="AD78" s="5225"/>
      <c r="AE78" s="5380"/>
      <c r="AF78" s="5225"/>
      <c r="AG78" s="3932"/>
      <c r="AH78" s="3932"/>
      <c r="AI78" s="3932"/>
      <c r="AJ78" s="3932"/>
      <c r="AK78" s="3932"/>
      <c r="AL78" s="3932"/>
      <c r="AM78" s="3932"/>
      <c r="AN78" s="5380"/>
      <c r="AO78" s="5225"/>
      <c r="AP78" s="5399"/>
      <c r="AQ78" s="5225"/>
      <c r="AR78" s="3932"/>
      <c r="AS78" s="3932"/>
      <c r="AT78" s="3932"/>
      <c r="AU78" s="3932"/>
      <c r="AV78" s="3932"/>
      <c r="AW78" s="3932"/>
      <c r="AX78" s="3932"/>
      <c r="AY78" s="5380"/>
      <c r="AZ78" s="5225"/>
      <c r="BA78" s="5380"/>
      <c r="BB78" s="5451"/>
      <c r="BC78" s="3947"/>
      <c r="BD78" s="5434"/>
      <c r="BE78" s="3942"/>
      <c r="BF78" s="3943"/>
      <c r="BG78" s="3943" t="str">
        <f t="shared" si="1"/>
        <v/>
      </c>
      <c r="BH78" s="3943"/>
      <c r="BI78" s="3943"/>
    </row>
    <row r="79" spans="1:61" s="4908" customFormat="1" ht="21" customHeight="1">
      <c r="A79" s="3933"/>
      <c r="B79" s="3933"/>
      <c r="C79" s="3933"/>
      <c r="D79" s="3933"/>
      <c r="E79" s="5377"/>
      <c r="F79" s="5377"/>
      <c r="G79" s="5377"/>
      <c r="H79" s="5377"/>
      <c r="I79" s="5397"/>
      <c r="J79" s="5374" t="str">
        <f>I71&amp;".1"</f>
        <v>1.2.2.1.1</v>
      </c>
      <c r="K79" s="3933"/>
      <c r="L79" s="3934"/>
      <c r="M79" s="3935"/>
      <c r="N79" s="3935"/>
      <c r="O79" s="3935"/>
      <c r="P79" s="5375"/>
      <c r="Q79" s="5375"/>
      <c r="R79" s="3948"/>
      <c r="S79" s="4024"/>
      <c r="T79" s="4025" t="s">
        <v>562</v>
      </c>
      <c r="U79" s="4026"/>
      <c r="V79" s="4027"/>
      <c r="W79" s="4028"/>
      <c r="X79" s="4029"/>
      <c r="Y79" s="4030"/>
      <c r="Z79" s="4031"/>
      <c r="AA79" s="4032"/>
      <c r="AB79" s="4033"/>
      <c r="AC79" s="4034"/>
      <c r="AD79" s="4035"/>
      <c r="AE79" s="4036"/>
      <c r="AF79" s="4037"/>
      <c r="AG79" s="4038"/>
      <c r="AH79" s="4039"/>
      <c r="AI79" s="4040"/>
      <c r="AJ79" s="4041"/>
      <c r="AK79" s="4042"/>
      <c r="AL79" s="4043"/>
      <c r="AM79" s="4044"/>
      <c r="AN79" s="4045"/>
      <c r="AO79" s="4046"/>
      <c r="AP79" s="4047"/>
      <c r="AQ79" s="4048"/>
      <c r="AR79" s="4049"/>
      <c r="AS79" s="4050"/>
      <c r="AT79" s="4051"/>
      <c r="AU79" s="4052"/>
      <c r="AV79" s="4053"/>
      <c r="AW79" s="4054"/>
      <c r="AX79" s="4055"/>
      <c r="AY79" s="4056"/>
      <c r="AZ79" s="4057"/>
      <c r="BA79" s="4058"/>
      <c r="BB79" s="4059"/>
      <c r="BC79" s="4060"/>
      <c r="BD79" s="3986" t="s">
        <v>563</v>
      </c>
      <c r="BE79" s="3942"/>
      <c r="BF79" s="3943"/>
      <c r="BG79" s="3943" t="str">
        <f t="shared" si="1"/>
        <v>Добавить значение признака дифференциации</v>
      </c>
      <c r="BH79" s="3943"/>
      <c r="BI79" s="3943"/>
    </row>
    <row r="80" spans="1:61" s="4909" customFormat="1" ht="21" customHeight="1">
      <c r="A80" s="1973"/>
      <c r="B80" s="1973"/>
      <c r="C80" s="1973"/>
      <c r="D80" s="1973"/>
      <c r="E80" s="5377"/>
      <c r="F80" s="5377"/>
      <c r="G80" s="5377">
        <v>1</v>
      </c>
      <c r="H80" s="5377"/>
      <c r="I80" s="5374"/>
      <c r="J80" s="1973"/>
      <c r="K80" s="1973"/>
      <c r="L80" s="1974"/>
      <c r="M80" s="1986"/>
      <c r="N80" s="1986"/>
      <c r="O80" s="1986"/>
      <c r="P80" s="5375"/>
      <c r="Q80" s="1987"/>
      <c r="R80" s="1988"/>
      <c r="S80" s="2150"/>
      <c r="T80" s="2151" t="s">
        <v>490</v>
      </c>
      <c r="U80" s="2152"/>
      <c r="V80" s="2153"/>
      <c r="W80" s="2154"/>
      <c r="X80" s="2155"/>
      <c r="Y80" s="2156"/>
      <c r="Z80" s="2157"/>
      <c r="AA80" s="2158"/>
      <c r="AB80" s="2159"/>
      <c r="AC80" s="2160"/>
      <c r="AD80" s="2161"/>
      <c r="AE80" s="2162"/>
      <c r="AF80" s="2163"/>
      <c r="AG80" s="2164"/>
      <c r="AH80" s="2165"/>
      <c r="AI80" s="2166"/>
      <c r="AJ80" s="2167"/>
      <c r="AK80" s="2168"/>
      <c r="AL80" s="2169"/>
      <c r="AM80" s="2170"/>
      <c r="AN80" s="2171"/>
      <c r="AO80" s="2172"/>
      <c r="AP80" s="2173"/>
      <c r="AQ80" s="2174"/>
      <c r="AR80" s="2175"/>
      <c r="AS80" s="2176"/>
      <c r="AT80" s="2177"/>
      <c r="AU80" s="2178"/>
      <c r="AV80" s="2179"/>
      <c r="AW80" s="2180"/>
      <c r="AX80" s="2181"/>
      <c r="AY80" s="2182"/>
      <c r="AZ80" s="2183"/>
      <c r="BA80" s="2184"/>
      <c r="BB80" s="2185"/>
      <c r="BC80" s="2186"/>
      <c r="BD80" s="2187"/>
      <c r="BE80" s="1935"/>
      <c r="BF80" s="1983"/>
      <c r="BG80" s="1983" t="str">
        <f t="shared" si="1"/>
        <v>Добавить группу потребителей</v>
      </c>
      <c r="BH80" s="1983"/>
      <c r="BI80" s="1983"/>
    </row>
    <row r="81" spans="1:61" s="4910" customFormat="1" ht="21" customHeight="1">
      <c r="A81" s="1973"/>
      <c r="B81" s="1973"/>
      <c r="C81" s="1973"/>
      <c r="D81" s="1973"/>
      <c r="E81" s="5377"/>
      <c r="F81" s="5377"/>
      <c r="G81" s="5377">
        <v>1</v>
      </c>
      <c r="H81" s="5376"/>
      <c r="I81" s="1973"/>
      <c r="J81" s="1973"/>
      <c r="K81" s="1973"/>
      <c r="L81" s="1974"/>
      <c r="M81" s="1975"/>
      <c r="N81" s="1975"/>
      <c r="O81" s="1929"/>
      <c r="P81" s="2072"/>
      <c r="Q81" s="2073"/>
      <c r="R81" s="2074"/>
      <c r="S81" s="2188"/>
      <c r="T81" s="2189" t="s">
        <v>564</v>
      </c>
      <c r="U81" s="2190"/>
      <c r="V81" s="2191"/>
      <c r="W81" s="2192"/>
      <c r="X81" s="2193"/>
      <c r="Y81" s="2194"/>
      <c r="Z81" s="2195"/>
      <c r="AA81" s="2196"/>
      <c r="AB81" s="2197"/>
      <c r="AC81" s="2198"/>
      <c r="AD81" s="2199"/>
      <c r="AE81" s="2200"/>
      <c r="AF81" s="2201"/>
      <c r="AG81" s="2202"/>
      <c r="AH81" s="2203"/>
      <c r="AI81" s="2204"/>
      <c r="AJ81" s="2205"/>
      <c r="AK81" s="2206"/>
      <c r="AL81" s="2207"/>
      <c r="AM81" s="2208"/>
      <c r="AN81" s="2209"/>
      <c r="AO81" s="2210"/>
      <c r="AP81" s="2211"/>
      <c r="AQ81" s="2212"/>
      <c r="AR81" s="2213"/>
      <c r="AS81" s="2214"/>
      <c r="AT81" s="2215"/>
      <c r="AU81" s="2216"/>
      <c r="AV81" s="2217"/>
      <c r="AW81" s="2218"/>
      <c r="AX81" s="2219"/>
      <c r="AY81" s="2220"/>
      <c r="AZ81" s="2221"/>
      <c r="BA81" s="2222"/>
      <c r="BB81" s="2223"/>
      <c r="BC81" s="2224"/>
      <c r="BD81" s="2225"/>
      <c r="BE81" s="1935"/>
      <c r="BF81" s="1983"/>
      <c r="BG81" s="1983" t="str">
        <f t="shared" si="1"/>
        <v>Добавить наименование признака дифференциации</v>
      </c>
      <c r="BH81" s="1983"/>
      <c r="BI81" s="1983"/>
    </row>
    <row r="82" spans="1:61" s="4911" customFormat="1" ht="14.25" customHeight="1">
      <c r="A82" s="2226"/>
      <c r="B82" s="2226"/>
      <c r="C82" s="2226"/>
      <c r="D82" s="2226"/>
      <c r="E82" s="5377"/>
      <c r="F82" s="5376">
        <v>1</v>
      </c>
      <c r="G82" s="2226"/>
      <c r="H82" s="2226"/>
      <c r="I82" s="2226"/>
      <c r="J82" s="2226"/>
      <c r="K82" s="2226"/>
      <c r="L82" s="2227"/>
      <c r="M82" s="2228"/>
      <c r="N82" s="2228"/>
      <c r="O82" s="1935"/>
      <c r="P82" s="2229"/>
      <c r="Q82" s="2230"/>
      <c r="R82" s="2229"/>
      <c r="S82" s="2231"/>
      <c r="T82" s="2232" t="s">
        <v>271</v>
      </c>
      <c r="U82" s="1928"/>
      <c r="V82" s="1928"/>
      <c r="W82" s="1928"/>
      <c r="X82" s="1928"/>
      <c r="Y82" s="1928"/>
      <c r="Z82" s="1928"/>
      <c r="AA82" s="1928"/>
      <c r="AB82" s="1928"/>
      <c r="AC82" s="1928"/>
      <c r="AD82" s="1928"/>
      <c r="AE82" s="1928"/>
      <c r="AF82" s="1928"/>
      <c r="AG82" s="1928"/>
      <c r="AH82" s="1928"/>
      <c r="AI82" s="1928"/>
      <c r="AJ82" s="1928"/>
      <c r="AK82" s="1928"/>
      <c r="AL82" s="1928"/>
      <c r="AM82" s="1928"/>
      <c r="AN82" s="1928"/>
      <c r="AO82" s="1928"/>
      <c r="AP82" s="1928"/>
      <c r="AQ82" s="1928"/>
      <c r="AR82" s="1928"/>
      <c r="AS82" s="1928"/>
      <c r="AT82" s="1928"/>
      <c r="AU82" s="1928"/>
      <c r="AV82" s="1928"/>
      <c r="AW82" s="1928"/>
      <c r="AX82" s="1928"/>
      <c r="AY82" s="1928"/>
      <c r="AZ82" s="1928"/>
      <c r="BA82" s="1928"/>
      <c r="BB82" s="1928"/>
      <c r="BC82" s="1928"/>
      <c r="BD82" s="1928"/>
      <c r="BE82" s="1935"/>
      <c r="BF82" s="1983"/>
      <c r="BG82" s="1983" t="str">
        <f t="shared" si="1"/>
        <v>Добавить централизованную систему для дифференциации</v>
      </c>
      <c r="BH82" s="1983"/>
      <c r="BI82" s="1983"/>
    </row>
    <row r="83" spans="1:61" s="4912" customFormat="1" ht="23.25" customHeight="1">
      <c r="A83" s="1973"/>
      <c r="B83" s="1973" t="s">
        <v>280</v>
      </c>
      <c r="C83" s="1973"/>
      <c r="D83" s="1973"/>
      <c r="E83" s="5377"/>
      <c r="F83" s="5376" t="s">
        <v>87</v>
      </c>
      <c r="G83" s="1973"/>
      <c r="H83" s="1973"/>
      <c r="I83" s="1973"/>
      <c r="J83" s="1973"/>
      <c r="K83" s="1973"/>
      <c r="L83" s="1974"/>
      <c r="M83" s="1975"/>
      <c r="N83" s="1975"/>
      <c r="O83" s="1975"/>
      <c r="P83" s="1976"/>
      <c r="Q83" s="1977"/>
      <c r="R83" s="1978"/>
      <c r="S83" s="1979" t="str">
        <f>INDEX(PT_DIFFERENTIATION_NUM_TER,MATCH(B83,PT_DIFFERENTIATION_TER_ID,0))</f>
        <v>1.3</v>
      </c>
      <c r="T83" s="1980" t="s">
        <v>475</v>
      </c>
      <c r="U83" s="1981"/>
      <c r="V83" s="5362"/>
      <c r="W83" s="5363"/>
      <c r="X83" s="5363"/>
      <c r="Y83" s="5363"/>
      <c r="Z83" s="5363"/>
      <c r="AA83" s="5363"/>
      <c r="AB83" s="5363"/>
      <c r="AC83" s="5363"/>
      <c r="AD83" s="5363"/>
      <c r="AE83" s="5363"/>
      <c r="AF83" s="5364"/>
      <c r="AG83" s="5362" t="str">
        <f>INDEX(PT_DIFFERENTIATION_TER,MATCH(B83,PT_DIFFERENTIATION_TER_ID,0))</f>
        <v>Пушкинский</v>
      </c>
      <c r="AH83" s="5363"/>
      <c r="AI83" s="5363"/>
      <c r="AJ83" s="5363"/>
      <c r="AK83" s="5363"/>
      <c r="AL83" s="5363"/>
      <c r="AM83" s="5363"/>
      <c r="AN83" s="5363"/>
      <c r="AO83" s="5363"/>
      <c r="AP83" s="5363"/>
      <c r="AQ83" s="5363"/>
      <c r="AR83" s="5362"/>
      <c r="AS83" s="5363"/>
      <c r="AT83" s="5363"/>
      <c r="AU83" s="5363"/>
      <c r="AV83" s="5363"/>
      <c r="AW83" s="5363"/>
      <c r="AX83" s="5363"/>
      <c r="AY83" s="5363"/>
      <c r="AZ83" s="5363"/>
      <c r="BA83" s="5363"/>
      <c r="BB83" s="5364"/>
      <c r="BC83" s="5364"/>
      <c r="BD83" s="1982" t="s">
        <v>476</v>
      </c>
      <c r="BE83" s="1935"/>
      <c r="BF83" s="1983"/>
      <c r="BG83" s="1983" t="str">
        <f t="shared" si="1"/>
        <v>Территория действия тарифа</v>
      </c>
      <c r="BH83" s="1983"/>
      <c r="BI83" s="1983"/>
    </row>
    <row r="84" spans="1:61" s="4913" customFormat="1" ht="23.25" customHeight="1">
      <c r="A84" s="1973"/>
      <c r="B84" s="1973"/>
      <c r="C84" s="1973" t="s">
        <v>281</v>
      </c>
      <c r="D84" s="1973"/>
      <c r="E84" s="5377"/>
      <c r="F84" s="5377" t="s">
        <v>100</v>
      </c>
      <c r="G84" s="5376">
        <v>1</v>
      </c>
      <c r="H84" s="1973"/>
      <c r="I84" s="1973"/>
      <c r="J84" s="1973"/>
      <c r="K84" s="1973"/>
      <c r="L84" s="1974"/>
      <c r="M84" s="1975"/>
      <c r="N84" s="1975"/>
      <c r="O84" s="1975"/>
      <c r="P84" s="1984"/>
      <c r="Q84" s="1977"/>
      <c r="R84" s="1978"/>
      <c r="S84" s="1979" t="str">
        <f>INDEX(PT_DIFFERENTIATION_NUM_CS,MATCH(C84,PT_DIFFERENTIATION_CS_ID,0))</f>
        <v>1.3.1</v>
      </c>
      <c r="T84" s="1985" t="s">
        <v>606</v>
      </c>
      <c r="U84" s="1981"/>
      <c r="V84" s="5362"/>
      <c r="W84" s="5363"/>
      <c r="X84" s="5363"/>
      <c r="Y84" s="5363"/>
      <c r="Z84" s="5363"/>
      <c r="AA84" s="5363"/>
      <c r="AB84" s="5363"/>
      <c r="AC84" s="5363"/>
      <c r="AD84" s="5363"/>
      <c r="AE84" s="5363"/>
      <c r="AF84" s="5364"/>
      <c r="AG84" s="5362" t="str">
        <f>INDEX(PT_DIFFERENTIATION_CS,MATCH(C84,PT_DIFFERENTIATION_CS_ID,0))</f>
        <v>г.Пушкино (постащик ХВС МУП ЩМП "Межрайонный Щелковский водокнал)</v>
      </c>
      <c r="AH84" s="5363"/>
      <c r="AI84" s="5363"/>
      <c r="AJ84" s="5363"/>
      <c r="AK84" s="5363"/>
      <c r="AL84" s="5363"/>
      <c r="AM84" s="5363"/>
      <c r="AN84" s="5363"/>
      <c r="AO84" s="5363"/>
      <c r="AP84" s="5363"/>
      <c r="AQ84" s="5363"/>
      <c r="AR84" s="5362"/>
      <c r="AS84" s="5363"/>
      <c r="AT84" s="5363"/>
      <c r="AU84" s="5363"/>
      <c r="AV84" s="5363"/>
      <c r="AW84" s="5363"/>
      <c r="AX84" s="5363"/>
      <c r="AY84" s="5363"/>
      <c r="AZ84" s="5363"/>
      <c r="BA84" s="5363"/>
      <c r="BB84" s="5364"/>
      <c r="BC84" s="5364"/>
      <c r="BD84" s="1982" t="s">
        <v>607</v>
      </c>
      <c r="BE84" s="1935"/>
      <c r="BF84" s="1983"/>
      <c r="BG84" s="1983" t="str">
        <f t="shared" si="1"/>
        <v>Наименование централизованной системы горячего водоснабжения</v>
      </c>
      <c r="BH84" s="1983"/>
      <c r="BI84" s="1983"/>
    </row>
    <row r="85" spans="1:61" s="4914" customFormat="1" ht="23.25" customHeight="1">
      <c r="A85" s="1973"/>
      <c r="B85" s="1973"/>
      <c r="C85" s="1973"/>
      <c r="D85" s="1973"/>
      <c r="E85" s="5377"/>
      <c r="F85" s="5377" t="s">
        <v>100</v>
      </c>
      <c r="G85" s="5377"/>
      <c r="H85" s="5377"/>
      <c r="I85" s="5374" t="str">
        <f>S84&amp;".1"</f>
        <v>1.3.1.1</v>
      </c>
      <c r="J85" s="1973"/>
      <c r="K85" s="1973"/>
      <c r="L85" s="1974"/>
      <c r="M85" s="1986"/>
      <c r="N85" s="1986"/>
      <c r="O85" s="1986"/>
      <c r="P85" s="5375">
        <v>1</v>
      </c>
      <c r="Q85" s="1987"/>
      <c r="R85" s="1988"/>
      <c r="S85" s="1979" t="str">
        <f>$I85</f>
        <v>1.3.1.1</v>
      </c>
      <c r="T85" s="1989" t="s">
        <v>559</v>
      </c>
      <c r="U85" s="1981"/>
      <c r="V85" s="5435"/>
      <c r="W85" s="5436"/>
      <c r="X85" s="5436"/>
      <c r="Y85" s="5436"/>
      <c r="Z85" s="5436"/>
      <c r="AA85" s="5436"/>
      <c r="AB85" s="5436"/>
      <c r="AC85" s="5436"/>
      <c r="AD85" s="5436"/>
      <c r="AE85" s="5436"/>
      <c r="AF85" s="5437"/>
      <c r="AG85" s="5438"/>
      <c r="AH85" s="5439"/>
      <c r="AI85" s="5439"/>
      <c r="AJ85" s="5439"/>
      <c r="AK85" s="5439"/>
      <c r="AL85" s="5439"/>
      <c r="AM85" s="5439"/>
      <c r="AN85" s="5439"/>
      <c r="AO85" s="5439"/>
      <c r="AP85" s="5439"/>
      <c r="AQ85" s="5439"/>
      <c r="AR85" s="5435"/>
      <c r="AS85" s="5436"/>
      <c r="AT85" s="5436"/>
      <c r="AU85" s="5436"/>
      <c r="AV85" s="5436"/>
      <c r="AW85" s="5436"/>
      <c r="AX85" s="5436"/>
      <c r="AY85" s="5436"/>
      <c r="AZ85" s="5436"/>
      <c r="BA85" s="5436"/>
      <c r="BB85" s="5437"/>
      <c r="BC85" s="5440"/>
      <c r="BD85" s="1982" t="s">
        <v>560</v>
      </c>
      <c r="BE85" s="1935"/>
      <c r="BF85" s="1983"/>
      <c r="BG85" s="1983" t="str">
        <f t="shared" si="1"/>
        <v>Наименование признака дифференциации</v>
      </c>
      <c r="BH85" s="1983"/>
      <c r="BI85" s="1983"/>
    </row>
    <row r="86" spans="1:61" s="4915" customFormat="1" ht="23.25" customHeight="1">
      <c r="A86" s="1973"/>
      <c r="B86" s="1973"/>
      <c r="C86" s="1973"/>
      <c r="D86" s="1973"/>
      <c r="E86" s="5377"/>
      <c r="F86" s="5377" t="s">
        <v>100</v>
      </c>
      <c r="G86" s="5377"/>
      <c r="H86" s="5377"/>
      <c r="I86" s="5397"/>
      <c r="J86" s="5374" t="str">
        <f>I85&amp;".1"</f>
        <v>1.3.1.1.1</v>
      </c>
      <c r="K86" s="1973"/>
      <c r="L86" s="1974" t="s">
        <v>484</v>
      </c>
      <c r="M86" s="1986"/>
      <c r="N86" s="1986"/>
      <c r="O86" s="1986"/>
      <c r="P86" s="5375"/>
      <c r="Q86" s="5375">
        <v>1</v>
      </c>
      <c r="R86" s="1990"/>
      <c r="S86" s="1979" t="str">
        <f>$J86</f>
        <v>1.3.1.1.1</v>
      </c>
      <c r="T86" s="1991" t="s">
        <v>485</v>
      </c>
      <c r="U86" s="1981"/>
      <c r="V86" s="5365"/>
      <c r="W86" s="5366"/>
      <c r="X86" s="5366"/>
      <c r="Y86" s="5366"/>
      <c r="Z86" s="5366"/>
      <c r="AA86" s="5366"/>
      <c r="AB86" s="5366"/>
      <c r="AC86" s="5366"/>
      <c r="AD86" s="5366"/>
      <c r="AE86" s="5366"/>
      <c r="AF86" s="5367"/>
      <c r="AG86" s="5365" t="s">
        <v>619</v>
      </c>
      <c r="AH86" s="5366"/>
      <c r="AI86" s="5366"/>
      <c r="AJ86" s="5366"/>
      <c r="AK86" s="5366"/>
      <c r="AL86" s="5366"/>
      <c r="AM86" s="5366"/>
      <c r="AN86" s="5366"/>
      <c r="AO86" s="5366"/>
      <c r="AP86" s="5366"/>
      <c r="AQ86" s="5366"/>
      <c r="AR86" s="5365"/>
      <c r="AS86" s="5366"/>
      <c r="AT86" s="5366"/>
      <c r="AU86" s="5366"/>
      <c r="AV86" s="5366"/>
      <c r="AW86" s="5366"/>
      <c r="AX86" s="5366"/>
      <c r="AY86" s="5366"/>
      <c r="AZ86" s="5366"/>
      <c r="BA86" s="5366"/>
      <c r="BB86" s="5367"/>
      <c r="BC86" s="5367"/>
      <c r="BD86" s="1992" t="s">
        <v>561</v>
      </c>
      <c r="BE86" s="1935"/>
      <c r="BF86" s="1983"/>
      <c r="BG86" s="1983" t="str">
        <f t="shared" si="1"/>
        <v>Группа потребителей</v>
      </c>
      <c r="BH86" s="1983"/>
      <c r="BI86" s="1983"/>
    </row>
    <row r="87" spans="1:61" s="4916" customFormat="1" ht="23.25" customHeight="1">
      <c r="A87" s="1973"/>
      <c r="B87" s="1973"/>
      <c r="C87" s="1973"/>
      <c r="D87" s="1973"/>
      <c r="E87" s="5377"/>
      <c r="F87" s="5377" t="s">
        <v>100</v>
      </c>
      <c r="G87" s="5377"/>
      <c r="H87" s="5377"/>
      <c r="I87" s="5397"/>
      <c r="J87" s="5397"/>
      <c r="K87" s="5374" t="str">
        <f>J86&amp;".1"</f>
        <v>1.3.1.1.1.1</v>
      </c>
      <c r="L87" s="1974"/>
      <c r="M87" s="1986"/>
      <c r="N87" s="1986"/>
      <c r="O87" s="1986"/>
      <c r="P87" s="5375"/>
      <c r="Q87" s="5375"/>
      <c r="R87" s="1990">
        <v>1</v>
      </c>
      <c r="S87" s="1979" t="str">
        <f>$K87</f>
        <v>1.3.1.1.1.1</v>
      </c>
      <c r="T87" s="1993" t="s">
        <v>623</v>
      </c>
      <c r="U87" s="1981"/>
      <c r="V87" s="1893"/>
      <c r="W87" s="1893"/>
      <c r="X87" s="1893"/>
      <c r="Y87" s="1893"/>
      <c r="Z87" s="1893"/>
      <c r="AA87" s="1893"/>
      <c r="AB87" s="1893"/>
      <c r="AC87" s="5379"/>
      <c r="AD87" s="5225" t="s">
        <v>64</v>
      </c>
      <c r="AE87" s="5379"/>
      <c r="AF87" s="5225" t="s">
        <v>64</v>
      </c>
      <c r="AG87" s="1893"/>
      <c r="AH87" s="1893">
        <v>25.67</v>
      </c>
      <c r="AI87" s="1893"/>
      <c r="AJ87" s="1893"/>
      <c r="AK87" s="1893">
        <v>2953.76</v>
      </c>
      <c r="AL87" s="1893"/>
      <c r="AM87" s="1893"/>
      <c r="AN87" s="5379">
        <v>45292</v>
      </c>
      <c r="AO87" s="5225" t="s">
        <v>64</v>
      </c>
      <c r="AP87" s="5398">
        <v>45473.396493055552</v>
      </c>
      <c r="AQ87" s="5225" t="s">
        <v>64</v>
      </c>
      <c r="AR87" s="1893"/>
      <c r="AS87" s="1893">
        <v>29.36</v>
      </c>
      <c r="AT87" s="1893"/>
      <c r="AU87" s="1893"/>
      <c r="AV87" s="1893">
        <v>3396.95</v>
      </c>
      <c r="AW87" s="1893"/>
      <c r="AX87" s="1893"/>
      <c r="AY87" s="5379">
        <v>45474.492280092592</v>
      </c>
      <c r="AZ87" s="5225" t="s">
        <v>64</v>
      </c>
      <c r="BA87" s="5379">
        <v>45657.397303240738</v>
      </c>
      <c r="BB87" s="5225" t="s">
        <v>64</v>
      </c>
      <c r="BC87" s="1994"/>
      <c r="BD8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87" s="1935" t="e">
        <f ca="1">STRCHECKDATE(V88:BC88)</f>
        <v>#NAME?</v>
      </c>
      <c r="BF87" s="1983"/>
      <c r="BG87" s="1983" t="str">
        <f t="shared" si="1"/>
        <v>МУП "Межрайонный Щелковский Водоканал"</v>
      </c>
      <c r="BH87" s="1983"/>
      <c r="BI87" s="1983"/>
    </row>
    <row r="88" spans="1:61" s="4917" customFormat="1" ht="14.25" customHeight="1">
      <c r="A88" s="1973"/>
      <c r="B88" s="1973"/>
      <c r="C88" s="1973"/>
      <c r="D88" s="1973"/>
      <c r="E88" s="5377"/>
      <c r="F88" s="5377" t="s">
        <v>100</v>
      </c>
      <c r="G88" s="5377"/>
      <c r="H88" s="5377"/>
      <c r="I88" s="5397"/>
      <c r="J88" s="5397"/>
      <c r="K88" s="5374"/>
      <c r="L88" s="1974"/>
      <c r="M88" s="1986"/>
      <c r="N88" s="1986"/>
      <c r="O88" s="1986"/>
      <c r="P88" s="5375"/>
      <c r="Q88" s="5375"/>
      <c r="R88" s="1990"/>
      <c r="S88" s="1995"/>
      <c r="T88" s="1981"/>
      <c r="U88" s="1981"/>
      <c r="V88" s="1894"/>
      <c r="W88" s="1894"/>
      <c r="X88" s="1894"/>
      <c r="Y88" s="1894"/>
      <c r="Z88" s="1894"/>
      <c r="AA88" s="1894"/>
      <c r="AB88" s="1894"/>
      <c r="AC88" s="5380"/>
      <c r="AD88" s="5225"/>
      <c r="AE88" s="5380"/>
      <c r="AF88" s="5225"/>
      <c r="AG88" s="1894"/>
      <c r="AH88" s="1894"/>
      <c r="AI88" s="1894"/>
      <c r="AJ88" s="1894"/>
      <c r="AK88" s="1894"/>
      <c r="AL88" s="1894"/>
      <c r="AM88" s="1894"/>
      <c r="AN88" s="5380"/>
      <c r="AO88" s="5225"/>
      <c r="AP88" s="5399"/>
      <c r="AQ88" s="5225"/>
      <c r="AR88" s="1894"/>
      <c r="AS88" s="1894"/>
      <c r="AT88" s="1894"/>
      <c r="AU88" s="1894"/>
      <c r="AV88" s="1894"/>
      <c r="AW88" s="1894"/>
      <c r="AX88" s="1894"/>
      <c r="AY88" s="5380"/>
      <c r="AZ88" s="5225"/>
      <c r="BA88" s="5380"/>
      <c r="BB88" s="5225"/>
      <c r="BC88" s="1996"/>
      <c r="BD88" s="5434"/>
      <c r="BE88" s="1935"/>
      <c r="BF88" s="1983"/>
      <c r="BG88" s="1983" t="str">
        <f t="shared" si="1"/>
        <v/>
      </c>
      <c r="BH88" s="1983"/>
      <c r="BI88" s="1983"/>
    </row>
    <row r="89" spans="1:61" s="4918" customFormat="1" ht="21" customHeight="1">
      <c r="A89" s="1973"/>
      <c r="B89" s="1973"/>
      <c r="C89" s="1973"/>
      <c r="D89" s="1973"/>
      <c r="E89" s="5377"/>
      <c r="F89" s="5377" t="s">
        <v>100</v>
      </c>
      <c r="G89" s="5377"/>
      <c r="H89" s="5377"/>
      <c r="I89" s="5397"/>
      <c r="J89" s="5374"/>
      <c r="K89" s="1973"/>
      <c r="L89" s="1974"/>
      <c r="M89" s="1986"/>
      <c r="N89" s="1986"/>
      <c r="O89" s="1986"/>
      <c r="P89" s="5375"/>
      <c r="Q89" s="5375"/>
      <c r="R89" s="1988"/>
      <c r="S89" s="2233"/>
      <c r="T89" s="2234" t="s">
        <v>562</v>
      </c>
      <c r="U89" s="2235"/>
      <c r="V89" s="2236"/>
      <c r="W89" s="2237"/>
      <c r="X89" s="2238"/>
      <c r="Y89" s="2239"/>
      <c r="Z89" s="2240"/>
      <c r="AA89" s="2241"/>
      <c r="AB89" s="2242"/>
      <c r="AC89" s="2243"/>
      <c r="AD89" s="2244"/>
      <c r="AE89" s="2245"/>
      <c r="AF89" s="2246"/>
      <c r="AG89" s="2247"/>
      <c r="AH89" s="2248"/>
      <c r="AI89" s="2249"/>
      <c r="AJ89" s="2250"/>
      <c r="AK89" s="2251"/>
      <c r="AL89" s="2252"/>
      <c r="AM89" s="2253"/>
      <c r="AN89" s="2254"/>
      <c r="AO89" s="2255"/>
      <c r="AP89" s="2256"/>
      <c r="AQ89" s="2257"/>
      <c r="AR89" s="2258"/>
      <c r="AS89" s="2259"/>
      <c r="AT89" s="2260"/>
      <c r="AU89" s="2261"/>
      <c r="AV89" s="2262"/>
      <c r="AW89" s="2263"/>
      <c r="AX89" s="2264"/>
      <c r="AY89" s="2265"/>
      <c r="AZ89" s="2266"/>
      <c r="BA89" s="2267"/>
      <c r="BB89" s="2268"/>
      <c r="BC89" s="2269"/>
      <c r="BD89" s="1982" t="s">
        <v>563</v>
      </c>
      <c r="BE89" s="1935"/>
      <c r="BF89" s="1983"/>
      <c r="BG89" s="1983" t="str">
        <f t="shared" si="1"/>
        <v>Добавить значение признака дифференциации</v>
      </c>
      <c r="BH89" s="1983"/>
      <c r="BI89" s="1983"/>
    </row>
    <row r="90" spans="1:61" s="4919" customFormat="1" ht="23.25" customHeight="1">
      <c r="A90" s="3933"/>
      <c r="B90" s="3933"/>
      <c r="C90" s="3933"/>
      <c r="D90" s="3933"/>
      <c r="E90" s="5377"/>
      <c r="F90" s="5377"/>
      <c r="G90" s="5377"/>
      <c r="H90" s="5377"/>
      <c r="I90" s="5397"/>
      <c r="J90" s="5374" t="str">
        <f>I85&amp;".2"</f>
        <v>1.3.1.1.2</v>
      </c>
      <c r="K90" s="3933"/>
      <c r="L90" s="3934" t="s">
        <v>484</v>
      </c>
      <c r="M90" s="3935"/>
      <c r="N90" s="3935"/>
      <c r="O90" s="3935"/>
      <c r="P90" s="5375"/>
      <c r="Q90" s="5452" t="s">
        <v>101</v>
      </c>
      <c r="R90" s="3937"/>
      <c r="S90" s="3938" t="str">
        <f>$J90</f>
        <v>1.3.1.1.2</v>
      </c>
      <c r="T90" s="3939" t="s">
        <v>485</v>
      </c>
      <c r="U90" s="3940"/>
      <c r="V90" s="5365"/>
      <c r="W90" s="5366"/>
      <c r="X90" s="5366"/>
      <c r="Y90" s="5366"/>
      <c r="Z90" s="5366"/>
      <c r="AA90" s="5366"/>
      <c r="AB90" s="5366"/>
      <c r="AC90" s="5366"/>
      <c r="AD90" s="5366"/>
      <c r="AE90" s="5366"/>
      <c r="AF90" s="5367"/>
      <c r="AG90" s="5365" t="s">
        <v>621</v>
      </c>
      <c r="AH90" s="5366"/>
      <c r="AI90" s="5366"/>
      <c r="AJ90" s="5366"/>
      <c r="AK90" s="5366"/>
      <c r="AL90" s="5366"/>
      <c r="AM90" s="5366"/>
      <c r="AN90" s="5366"/>
      <c r="AO90" s="5366"/>
      <c r="AP90" s="5366"/>
      <c r="AQ90" s="5366"/>
      <c r="AR90" s="5365"/>
      <c r="AS90" s="5366"/>
      <c r="AT90" s="5366"/>
      <c r="AU90" s="5366"/>
      <c r="AV90" s="5366"/>
      <c r="AW90" s="5366"/>
      <c r="AX90" s="5366"/>
      <c r="AY90" s="5366"/>
      <c r="AZ90" s="5366"/>
      <c r="BA90" s="5366"/>
      <c r="BB90" s="5453"/>
      <c r="BC90" s="5367"/>
      <c r="BD90" s="3941" t="s">
        <v>561</v>
      </c>
      <c r="BE90" s="3942"/>
      <c r="BF90" s="3943"/>
      <c r="BG90" s="3943" t="str">
        <f t="shared" si="1"/>
        <v>Группа потребителей</v>
      </c>
      <c r="BH90" s="3943"/>
      <c r="BI90" s="3943"/>
    </row>
    <row r="91" spans="1:61" s="4920" customFormat="1" ht="23.25" customHeight="1">
      <c r="A91" s="3933"/>
      <c r="B91" s="3933"/>
      <c r="C91" s="3933"/>
      <c r="D91" s="3933"/>
      <c r="E91" s="5377"/>
      <c r="F91" s="5377"/>
      <c r="G91" s="5377"/>
      <c r="H91" s="5377"/>
      <c r="I91" s="5397"/>
      <c r="J91" s="5397" t="str">
        <f>I85&amp;".1"</f>
        <v>1.3.1.1.1</v>
      </c>
      <c r="K91" s="5374" t="str">
        <f>J90&amp;".1"</f>
        <v>1.3.1.1.2.1</v>
      </c>
      <c r="L91" s="3934"/>
      <c r="M91" s="3935"/>
      <c r="N91" s="3935"/>
      <c r="O91" s="3935"/>
      <c r="P91" s="5375"/>
      <c r="Q91" s="5375"/>
      <c r="R91" s="3937">
        <v>1</v>
      </c>
      <c r="S91" s="3938" t="str">
        <f>$K91</f>
        <v>1.3.1.1.2.1</v>
      </c>
      <c r="T91" s="3944" t="s">
        <v>623</v>
      </c>
      <c r="U91" s="3940"/>
      <c r="V91" s="3931"/>
      <c r="W91" s="3931"/>
      <c r="X91" s="3931"/>
      <c r="Y91" s="3931"/>
      <c r="Z91" s="3931"/>
      <c r="AA91" s="3931"/>
      <c r="AB91" s="3931"/>
      <c r="AC91" s="5379"/>
      <c r="AD91" s="5225" t="s">
        <v>64</v>
      </c>
      <c r="AE91" s="5379"/>
      <c r="AF91" s="5225" t="s">
        <v>64</v>
      </c>
      <c r="AG91" s="3931"/>
      <c r="AH91" s="3931">
        <v>30.8</v>
      </c>
      <c r="AI91" s="3931"/>
      <c r="AJ91" s="3931"/>
      <c r="AK91" s="3931">
        <v>3544.51</v>
      </c>
      <c r="AL91" s="3931"/>
      <c r="AM91" s="3931"/>
      <c r="AN91" s="5379">
        <v>45292</v>
      </c>
      <c r="AO91" s="5225" t="s">
        <v>64</v>
      </c>
      <c r="AP91" s="5398">
        <v>45473.396493055552</v>
      </c>
      <c r="AQ91" s="5225" t="s">
        <v>64</v>
      </c>
      <c r="AR91" s="3931"/>
      <c r="AS91" s="3931">
        <v>35.229999999999997</v>
      </c>
      <c r="AT91" s="3931"/>
      <c r="AU91" s="3931"/>
      <c r="AV91" s="3931">
        <v>4076.34</v>
      </c>
      <c r="AW91" s="3931"/>
      <c r="AX91" s="3931"/>
      <c r="AY91" s="5379">
        <v>45474.492280092592</v>
      </c>
      <c r="AZ91" s="5225" t="s">
        <v>64</v>
      </c>
      <c r="BA91" s="5379">
        <v>45657.397303240738</v>
      </c>
      <c r="BB91" s="5451" t="s">
        <v>64</v>
      </c>
      <c r="BC91" s="3945"/>
      <c r="BD91"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91" s="3942" t="e">
        <f ca="1">STRCHECKDATE(V92:BC92)</f>
        <v>#NAME?</v>
      </c>
      <c r="BF91" s="3943"/>
      <c r="BG91" s="3943" t="str">
        <f t="shared" si="1"/>
        <v>МУП "Межрайонный Щелковский Водоканал"</v>
      </c>
      <c r="BH91" s="3943"/>
      <c r="BI91" s="3943"/>
    </row>
    <row r="92" spans="1:61" s="4921" customFormat="1" ht="14.25" customHeight="1">
      <c r="A92" s="3933"/>
      <c r="B92" s="3933"/>
      <c r="C92" s="3933"/>
      <c r="D92" s="3933"/>
      <c r="E92" s="5377"/>
      <c r="F92" s="5377"/>
      <c r="G92" s="5377"/>
      <c r="H92" s="5377"/>
      <c r="I92" s="5397"/>
      <c r="J92" s="5397" t="str">
        <f>I85&amp;".1"</f>
        <v>1.3.1.1.1</v>
      </c>
      <c r="K92" s="5374"/>
      <c r="L92" s="3934"/>
      <c r="M92" s="3935"/>
      <c r="N92" s="3935"/>
      <c r="O92" s="3935"/>
      <c r="P92" s="5375"/>
      <c r="Q92" s="5375"/>
      <c r="R92" s="3937"/>
      <c r="S92" s="3946"/>
      <c r="T92" s="3940"/>
      <c r="U92" s="3940"/>
      <c r="V92" s="3932"/>
      <c r="W92" s="3932"/>
      <c r="X92" s="3932"/>
      <c r="Y92" s="3932"/>
      <c r="Z92" s="3932"/>
      <c r="AA92" s="3932"/>
      <c r="AB92" s="3932"/>
      <c r="AC92" s="5380"/>
      <c r="AD92" s="5225"/>
      <c r="AE92" s="5380"/>
      <c r="AF92" s="5225"/>
      <c r="AG92" s="3932"/>
      <c r="AH92" s="3932"/>
      <c r="AI92" s="3932"/>
      <c r="AJ92" s="3932"/>
      <c r="AK92" s="3932"/>
      <c r="AL92" s="3932"/>
      <c r="AM92" s="3932"/>
      <c r="AN92" s="5380"/>
      <c r="AO92" s="5225"/>
      <c r="AP92" s="5399"/>
      <c r="AQ92" s="5225"/>
      <c r="AR92" s="3932"/>
      <c r="AS92" s="3932"/>
      <c r="AT92" s="3932"/>
      <c r="AU92" s="3932"/>
      <c r="AV92" s="3932"/>
      <c r="AW92" s="3932"/>
      <c r="AX92" s="3932"/>
      <c r="AY92" s="5380"/>
      <c r="AZ92" s="5225"/>
      <c r="BA92" s="5380"/>
      <c r="BB92" s="5451"/>
      <c r="BC92" s="3947"/>
      <c r="BD92" s="5434"/>
      <c r="BE92" s="3942"/>
      <c r="BF92" s="3943"/>
      <c r="BG92" s="3943" t="str">
        <f t="shared" si="1"/>
        <v/>
      </c>
      <c r="BH92" s="3943"/>
      <c r="BI92" s="3943"/>
    </row>
    <row r="93" spans="1:61" s="4922" customFormat="1" ht="21" customHeight="1">
      <c r="A93" s="3933"/>
      <c r="B93" s="3933"/>
      <c r="C93" s="3933"/>
      <c r="D93" s="3933"/>
      <c r="E93" s="5377"/>
      <c r="F93" s="5377"/>
      <c r="G93" s="5377"/>
      <c r="H93" s="5377"/>
      <c r="I93" s="5397"/>
      <c r="J93" s="5374" t="str">
        <f>I85&amp;".1"</f>
        <v>1.3.1.1.1</v>
      </c>
      <c r="K93" s="3933"/>
      <c r="L93" s="3934"/>
      <c r="M93" s="3935"/>
      <c r="N93" s="3935"/>
      <c r="O93" s="3935"/>
      <c r="P93" s="5375"/>
      <c r="Q93" s="5375"/>
      <c r="R93" s="3948"/>
      <c r="S93" s="4061"/>
      <c r="T93" s="4062" t="s">
        <v>562</v>
      </c>
      <c r="U93" s="4063"/>
      <c r="V93" s="4064"/>
      <c r="W93" s="4065"/>
      <c r="X93" s="4066"/>
      <c r="Y93" s="4067"/>
      <c r="Z93" s="4068"/>
      <c r="AA93" s="4069"/>
      <c r="AB93" s="4070"/>
      <c r="AC93" s="4071"/>
      <c r="AD93" s="4072"/>
      <c r="AE93" s="4073"/>
      <c r="AF93" s="4074"/>
      <c r="AG93" s="4075"/>
      <c r="AH93" s="4076"/>
      <c r="AI93" s="4077"/>
      <c r="AJ93" s="4078"/>
      <c r="AK93" s="4079"/>
      <c r="AL93" s="4080"/>
      <c r="AM93" s="4081"/>
      <c r="AN93" s="4082"/>
      <c r="AO93" s="4083"/>
      <c r="AP93" s="4084"/>
      <c r="AQ93" s="4085"/>
      <c r="AR93" s="4086"/>
      <c r="AS93" s="4087"/>
      <c r="AT93" s="4088"/>
      <c r="AU93" s="4089"/>
      <c r="AV93" s="4090"/>
      <c r="AW93" s="4091"/>
      <c r="AX93" s="4092"/>
      <c r="AY93" s="4093"/>
      <c r="AZ93" s="4094"/>
      <c r="BA93" s="4095"/>
      <c r="BB93" s="4096"/>
      <c r="BC93" s="4097"/>
      <c r="BD93" s="3986" t="s">
        <v>563</v>
      </c>
      <c r="BE93" s="3942"/>
      <c r="BF93" s="3943"/>
      <c r="BG93" s="3943" t="str">
        <f t="shared" si="1"/>
        <v>Добавить значение признака дифференциации</v>
      </c>
      <c r="BH93" s="3943"/>
      <c r="BI93" s="3943"/>
    </row>
    <row r="94" spans="1:61" s="4923" customFormat="1" ht="21" customHeight="1">
      <c r="A94" s="1973"/>
      <c r="B94" s="1973"/>
      <c r="C94" s="1973"/>
      <c r="D94" s="1973"/>
      <c r="E94" s="5377"/>
      <c r="F94" s="5377" t="s">
        <v>100</v>
      </c>
      <c r="G94" s="5377"/>
      <c r="H94" s="5377"/>
      <c r="I94" s="5374"/>
      <c r="J94" s="1973"/>
      <c r="K94" s="1973"/>
      <c r="L94" s="1974"/>
      <c r="M94" s="1986"/>
      <c r="N94" s="1986"/>
      <c r="O94" s="1986"/>
      <c r="P94" s="5375"/>
      <c r="Q94" s="1987"/>
      <c r="R94" s="1988"/>
      <c r="S94" s="2270"/>
      <c r="T94" s="2271" t="s">
        <v>490</v>
      </c>
      <c r="U94" s="2272"/>
      <c r="V94" s="2273"/>
      <c r="W94" s="2274"/>
      <c r="X94" s="2275"/>
      <c r="Y94" s="2276"/>
      <c r="Z94" s="2277"/>
      <c r="AA94" s="2278"/>
      <c r="AB94" s="2279"/>
      <c r="AC94" s="2280"/>
      <c r="AD94" s="2281"/>
      <c r="AE94" s="2282"/>
      <c r="AF94" s="2283"/>
      <c r="AG94" s="2284"/>
      <c r="AH94" s="2285"/>
      <c r="AI94" s="2286"/>
      <c r="AJ94" s="2287"/>
      <c r="AK94" s="2288"/>
      <c r="AL94" s="2289"/>
      <c r="AM94" s="2290"/>
      <c r="AN94" s="2291"/>
      <c r="AO94" s="2292"/>
      <c r="AP94" s="2293"/>
      <c r="AQ94" s="2294"/>
      <c r="AR94" s="2295"/>
      <c r="AS94" s="2296"/>
      <c r="AT94" s="2297"/>
      <c r="AU94" s="2298"/>
      <c r="AV94" s="2299"/>
      <c r="AW94" s="2300"/>
      <c r="AX94" s="2301"/>
      <c r="AY94" s="2302"/>
      <c r="AZ94" s="2303"/>
      <c r="BA94" s="2304"/>
      <c r="BB94" s="2305"/>
      <c r="BC94" s="2306"/>
      <c r="BD94" s="2307"/>
      <c r="BE94" s="1935"/>
      <c r="BF94" s="1983"/>
      <c r="BG94" s="1983" t="str">
        <f t="shared" si="1"/>
        <v>Добавить группу потребителей</v>
      </c>
      <c r="BH94" s="1983"/>
      <c r="BI94" s="1983"/>
    </row>
    <row r="95" spans="1:61" s="4924" customFormat="1" ht="21" customHeight="1">
      <c r="A95" s="1973"/>
      <c r="B95" s="1973"/>
      <c r="C95" s="1973"/>
      <c r="D95" s="1973"/>
      <c r="E95" s="5377"/>
      <c r="F95" s="5377" t="s">
        <v>100</v>
      </c>
      <c r="G95" s="5377"/>
      <c r="H95" s="5376"/>
      <c r="I95" s="1973"/>
      <c r="J95" s="1973"/>
      <c r="K95" s="1973"/>
      <c r="L95" s="1974"/>
      <c r="M95" s="1975"/>
      <c r="N95" s="1975"/>
      <c r="O95" s="1929"/>
      <c r="P95" s="2072"/>
      <c r="Q95" s="2073"/>
      <c r="R95" s="2074"/>
      <c r="S95" s="2308"/>
      <c r="T95" s="2309" t="s">
        <v>564</v>
      </c>
      <c r="U95" s="2310"/>
      <c r="V95" s="2311"/>
      <c r="W95" s="2312"/>
      <c r="X95" s="2313"/>
      <c r="Y95" s="2314"/>
      <c r="Z95" s="2315"/>
      <c r="AA95" s="2316"/>
      <c r="AB95" s="2317"/>
      <c r="AC95" s="2318"/>
      <c r="AD95" s="2319"/>
      <c r="AE95" s="2320"/>
      <c r="AF95" s="2321"/>
      <c r="AG95" s="2322"/>
      <c r="AH95" s="2323"/>
      <c r="AI95" s="2324"/>
      <c r="AJ95" s="2325"/>
      <c r="AK95" s="2326"/>
      <c r="AL95" s="2327"/>
      <c r="AM95" s="2328"/>
      <c r="AN95" s="2329"/>
      <c r="AO95" s="2330"/>
      <c r="AP95" s="2331"/>
      <c r="AQ95" s="2332"/>
      <c r="AR95" s="2333"/>
      <c r="AS95" s="2334"/>
      <c r="AT95" s="2335"/>
      <c r="AU95" s="2336"/>
      <c r="AV95" s="2337"/>
      <c r="AW95" s="2338"/>
      <c r="AX95" s="2339"/>
      <c r="AY95" s="2340"/>
      <c r="AZ95" s="2341"/>
      <c r="BA95" s="2342"/>
      <c r="BB95" s="2343"/>
      <c r="BC95" s="2344"/>
      <c r="BD95" s="2345"/>
      <c r="BE95" s="1935"/>
      <c r="BF95" s="1983"/>
      <c r="BG95" s="1983" t="str">
        <f t="shared" si="1"/>
        <v>Добавить наименование признака дифференциации</v>
      </c>
      <c r="BH95" s="1983"/>
      <c r="BI95" s="1983"/>
    </row>
    <row r="96" spans="1:61" s="4925" customFormat="1" ht="23.25" customHeight="1">
      <c r="A96" s="1973"/>
      <c r="B96" s="1973"/>
      <c r="C96" s="1973" t="s">
        <v>284</v>
      </c>
      <c r="D96" s="1973"/>
      <c r="E96" s="5377"/>
      <c r="F96" s="5377"/>
      <c r="G96" s="5376" t="s">
        <v>100</v>
      </c>
      <c r="H96" s="1973"/>
      <c r="I96" s="1973"/>
      <c r="J96" s="1973"/>
      <c r="K96" s="1973"/>
      <c r="L96" s="1974"/>
      <c r="M96" s="1975"/>
      <c r="N96" s="1975"/>
      <c r="O96" s="1975"/>
      <c r="P96" s="1984"/>
      <c r="Q96" s="1977"/>
      <c r="R96" s="1978"/>
      <c r="S96" s="1979" t="str">
        <f>INDEX(PT_DIFFERENTIATION_NUM_CS,MATCH(C96,PT_DIFFERENTIATION_CS_ID,0))</f>
        <v>1.3.2</v>
      </c>
      <c r="T96" s="1985" t="s">
        <v>606</v>
      </c>
      <c r="U96" s="1981"/>
      <c r="V96" s="5362"/>
      <c r="W96" s="5363"/>
      <c r="X96" s="5363"/>
      <c r="Y96" s="5363"/>
      <c r="Z96" s="5363"/>
      <c r="AA96" s="5363"/>
      <c r="AB96" s="5363"/>
      <c r="AC96" s="5363"/>
      <c r="AD96" s="5363"/>
      <c r="AE96" s="5363"/>
      <c r="AF96" s="5364"/>
      <c r="AG96" s="5362" t="str">
        <f>INDEX(PT_DIFFERENTIATION_CS,MATCH(C96,PT_DIFFERENTIATION_CS_ID,0))</f>
        <v>г.Пушкино (постащик ЦЖКУ Минобороны России)</v>
      </c>
      <c r="AH96" s="5363"/>
      <c r="AI96" s="5363"/>
      <c r="AJ96" s="5363"/>
      <c r="AK96" s="5363"/>
      <c r="AL96" s="5363"/>
      <c r="AM96" s="5363"/>
      <c r="AN96" s="5363"/>
      <c r="AO96" s="5363"/>
      <c r="AP96" s="5363"/>
      <c r="AQ96" s="5363"/>
      <c r="AR96" s="5362"/>
      <c r="AS96" s="5363"/>
      <c r="AT96" s="5363"/>
      <c r="AU96" s="5363"/>
      <c r="AV96" s="5363"/>
      <c r="AW96" s="5363"/>
      <c r="AX96" s="5363"/>
      <c r="AY96" s="5363"/>
      <c r="AZ96" s="5363"/>
      <c r="BA96" s="5363"/>
      <c r="BB96" s="5364"/>
      <c r="BC96" s="5364"/>
      <c r="BD96" s="1982" t="s">
        <v>607</v>
      </c>
      <c r="BE96" s="1935"/>
      <c r="BF96" s="1983"/>
      <c r="BG96" s="1983" t="str">
        <f t="shared" si="1"/>
        <v>Наименование централизованной системы горячего водоснабжения</v>
      </c>
      <c r="BH96" s="1983"/>
      <c r="BI96" s="1983"/>
    </row>
    <row r="97" spans="1:61" s="4926" customFormat="1" ht="23.25" customHeight="1">
      <c r="A97" s="1973"/>
      <c r="B97" s="1973"/>
      <c r="C97" s="1973"/>
      <c r="D97" s="1973"/>
      <c r="E97" s="5377"/>
      <c r="F97" s="5377"/>
      <c r="G97" s="5377">
        <v>1</v>
      </c>
      <c r="H97" s="5377"/>
      <c r="I97" s="5374" t="str">
        <f>S96&amp;".1"</f>
        <v>1.3.2.1</v>
      </c>
      <c r="J97" s="1973"/>
      <c r="K97" s="1973"/>
      <c r="L97" s="1974"/>
      <c r="M97" s="1986"/>
      <c r="N97" s="1986"/>
      <c r="O97" s="1986"/>
      <c r="P97" s="5375">
        <v>1</v>
      </c>
      <c r="Q97" s="1987"/>
      <c r="R97" s="1988"/>
      <c r="S97" s="1979" t="str">
        <f>$I97</f>
        <v>1.3.2.1</v>
      </c>
      <c r="T97" s="1989" t="s">
        <v>559</v>
      </c>
      <c r="U97" s="1981"/>
      <c r="V97" s="5435"/>
      <c r="W97" s="5436"/>
      <c r="X97" s="5436"/>
      <c r="Y97" s="5436"/>
      <c r="Z97" s="5436"/>
      <c r="AA97" s="5436"/>
      <c r="AB97" s="5436"/>
      <c r="AC97" s="5436"/>
      <c r="AD97" s="5436"/>
      <c r="AE97" s="5436"/>
      <c r="AF97" s="5437"/>
      <c r="AG97" s="5438"/>
      <c r="AH97" s="5439"/>
      <c r="AI97" s="5439"/>
      <c r="AJ97" s="5439"/>
      <c r="AK97" s="5439"/>
      <c r="AL97" s="5439"/>
      <c r="AM97" s="5439"/>
      <c r="AN97" s="5439"/>
      <c r="AO97" s="5439"/>
      <c r="AP97" s="5439"/>
      <c r="AQ97" s="5439"/>
      <c r="AR97" s="5435"/>
      <c r="AS97" s="5436"/>
      <c r="AT97" s="5436"/>
      <c r="AU97" s="5436"/>
      <c r="AV97" s="5436"/>
      <c r="AW97" s="5436"/>
      <c r="AX97" s="5436"/>
      <c r="AY97" s="5436"/>
      <c r="AZ97" s="5436"/>
      <c r="BA97" s="5436"/>
      <c r="BB97" s="5437"/>
      <c r="BC97" s="5440"/>
      <c r="BD97" s="1982" t="s">
        <v>560</v>
      </c>
      <c r="BE97" s="1935"/>
      <c r="BF97" s="1983"/>
      <c r="BG97" s="1983" t="str">
        <f t="shared" si="1"/>
        <v>Наименование признака дифференциации</v>
      </c>
      <c r="BH97" s="1983"/>
      <c r="BI97" s="1983"/>
    </row>
    <row r="98" spans="1:61" s="4927" customFormat="1" ht="23.25" customHeight="1">
      <c r="A98" s="1973"/>
      <c r="B98" s="1973"/>
      <c r="C98" s="1973"/>
      <c r="D98" s="1973"/>
      <c r="E98" s="5377"/>
      <c r="F98" s="5377"/>
      <c r="G98" s="5377">
        <v>1</v>
      </c>
      <c r="H98" s="5377"/>
      <c r="I98" s="5397"/>
      <c r="J98" s="5374" t="str">
        <f>I97&amp;".1"</f>
        <v>1.3.2.1.1</v>
      </c>
      <c r="K98" s="1973"/>
      <c r="L98" s="1974" t="s">
        <v>484</v>
      </c>
      <c r="M98" s="1986"/>
      <c r="N98" s="1986"/>
      <c r="O98" s="1986"/>
      <c r="P98" s="5375"/>
      <c r="Q98" s="5375">
        <v>1</v>
      </c>
      <c r="R98" s="1990"/>
      <c r="S98" s="1979" t="str">
        <f>$J98</f>
        <v>1.3.2.1.1</v>
      </c>
      <c r="T98" s="1991" t="s">
        <v>485</v>
      </c>
      <c r="U98" s="1981"/>
      <c r="V98" s="5365"/>
      <c r="W98" s="5366"/>
      <c r="X98" s="5366"/>
      <c r="Y98" s="5366"/>
      <c r="Z98" s="5366"/>
      <c r="AA98" s="5366"/>
      <c r="AB98" s="5366"/>
      <c r="AC98" s="5366"/>
      <c r="AD98" s="5366"/>
      <c r="AE98" s="5366"/>
      <c r="AF98" s="5367"/>
      <c r="AG98" s="5365" t="s">
        <v>619</v>
      </c>
      <c r="AH98" s="5366"/>
      <c r="AI98" s="5366"/>
      <c r="AJ98" s="5366"/>
      <c r="AK98" s="5366"/>
      <c r="AL98" s="5366"/>
      <c r="AM98" s="5366"/>
      <c r="AN98" s="5366"/>
      <c r="AO98" s="5366"/>
      <c r="AP98" s="5366"/>
      <c r="AQ98" s="5366"/>
      <c r="AR98" s="5365"/>
      <c r="AS98" s="5366"/>
      <c r="AT98" s="5366"/>
      <c r="AU98" s="5366"/>
      <c r="AV98" s="5366"/>
      <c r="AW98" s="5366"/>
      <c r="AX98" s="5366"/>
      <c r="AY98" s="5366"/>
      <c r="AZ98" s="5366"/>
      <c r="BA98" s="5366"/>
      <c r="BB98" s="5367"/>
      <c r="BC98" s="5367"/>
      <c r="BD98" s="1992" t="s">
        <v>561</v>
      </c>
      <c r="BE98" s="1935"/>
      <c r="BF98" s="1983"/>
      <c r="BG98" s="1983" t="str">
        <f t="shared" si="1"/>
        <v>Группа потребителей</v>
      </c>
      <c r="BH98" s="1983"/>
      <c r="BI98" s="1983"/>
    </row>
    <row r="99" spans="1:61" s="4928" customFormat="1" ht="23.25" customHeight="1">
      <c r="A99" s="1973"/>
      <c r="B99" s="1973"/>
      <c r="C99" s="1973"/>
      <c r="D99" s="1973"/>
      <c r="E99" s="5377"/>
      <c r="F99" s="5377"/>
      <c r="G99" s="5377">
        <v>1</v>
      </c>
      <c r="H99" s="5377"/>
      <c r="I99" s="5397"/>
      <c r="J99" s="5397"/>
      <c r="K99" s="5374" t="str">
        <f>J98&amp;".1"</f>
        <v>1.3.2.1.1.1</v>
      </c>
      <c r="L99" s="1974"/>
      <c r="M99" s="1986"/>
      <c r="N99" s="1986"/>
      <c r="O99" s="1986"/>
      <c r="P99" s="5375"/>
      <c r="Q99" s="5375"/>
      <c r="R99" s="1990">
        <v>1</v>
      </c>
      <c r="S99" s="1979" t="str">
        <f>$K99</f>
        <v>1.3.2.1.1.1</v>
      </c>
      <c r="T99" s="1993" t="s">
        <v>624</v>
      </c>
      <c r="U99" s="1981"/>
      <c r="V99" s="1893"/>
      <c r="W99" s="1893"/>
      <c r="X99" s="1893"/>
      <c r="Y99" s="1893"/>
      <c r="Z99" s="1893"/>
      <c r="AA99" s="1893"/>
      <c r="AB99" s="1893"/>
      <c r="AC99" s="5379"/>
      <c r="AD99" s="5225" t="s">
        <v>64</v>
      </c>
      <c r="AE99" s="5379"/>
      <c r="AF99" s="5225" t="s">
        <v>64</v>
      </c>
      <c r="AG99" s="1893"/>
      <c r="AH99" s="1893">
        <v>25.29</v>
      </c>
      <c r="AI99" s="1893"/>
      <c r="AJ99" s="1893"/>
      <c r="AK99" s="1893">
        <v>2953.76</v>
      </c>
      <c r="AL99" s="1893"/>
      <c r="AM99" s="1893"/>
      <c r="AN99" s="5379">
        <v>45292</v>
      </c>
      <c r="AO99" s="5225" t="s">
        <v>64</v>
      </c>
      <c r="AP99" s="5398">
        <v>45473.396493055552</v>
      </c>
      <c r="AQ99" s="5225" t="s">
        <v>64</v>
      </c>
      <c r="AR99" s="1893"/>
      <c r="AS99" s="1893">
        <v>28</v>
      </c>
      <c r="AT99" s="1893"/>
      <c r="AU99" s="1893"/>
      <c r="AV99" s="1893">
        <v>3396.95</v>
      </c>
      <c r="AW99" s="1893"/>
      <c r="AX99" s="1893"/>
      <c r="AY99" s="5379">
        <v>45474.492280092592</v>
      </c>
      <c r="AZ99" s="5225" t="s">
        <v>64</v>
      </c>
      <c r="BA99" s="5379">
        <v>45657.397303240738</v>
      </c>
      <c r="BB99" s="5225" t="s">
        <v>64</v>
      </c>
      <c r="BC99" s="1994"/>
      <c r="BD99"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99" s="1935" t="e">
        <f ca="1">STRCHECKDATE(V100:BC100)</f>
        <v>#NAME?</v>
      </c>
      <c r="BF99" s="1983"/>
      <c r="BG99" s="1983" t="str">
        <f t="shared" si="1"/>
        <v>ФГБУ ЦЖКУ "Министерство обороны России"</v>
      </c>
      <c r="BH99" s="1983"/>
      <c r="BI99" s="1983"/>
    </row>
    <row r="100" spans="1:61" s="4929" customFormat="1" ht="14.25" customHeight="1">
      <c r="A100" s="1973"/>
      <c r="B100" s="1973"/>
      <c r="C100" s="1973"/>
      <c r="D100" s="1973"/>
      <c r="E100" s="5377"/>
      <c r="F100" s="5377"/>
      <c r="G100" s="5377">
        <v>1</v>
      </c>
      <c r="H100" s="5377"/>
      <c r="I100" s="5397"/>
      <c r="J100" s="5397"/>
      <c r="K100" s="5374"/>
      <c r="L100" s="1974"/>
      <c r="M100" s="1986"/>
      <c r="N100" s="1986"/>
      <c r="O100" s="1986"/>
      <c r="P100" s="5375"/>
      <c r="Q100" s="5375"/>
      <c r="R100" s="1990"/>
      <c r="S100" s="1995"/>
      <c r="T100" s="1981"/>
      <c r="U100" s="1981"/>
      <c r="V100" s="1894"/>
      <c r="W100" s="1894"/>
      <c r="X100" s="1894"/>
      <c r="Y100" s="1894"/>
      <c r="Z100" s="1894"/>
      <c r="AA100" s="1894"/>
      <c r="AB100" s="1894"/>
      <c r="AC100" s="5380"/>
      <c r="AD100" s="5225"/>
      <c r="AE100" s="5380"/>
      <c r="AF100" s="5225"/>
      <c r="AG100" s="1894"/>
      <c r="AH100" s="1894"/>
      <c r="AI100" s="1894"/>
      <c r="AJ100" s="1894"/>
      <c r="AK100" s="1894"/>
      <c r="AL100" s="1894"/>
      <c r="AM100" s="1894"/>
      <c r="AN100" s="5380"/>
      <c r="AO100" s="5225"/>
      <c r="AP100" s="5399"/>
      <c r="AQ100" s="5225"/>
      <c r="AR100" s="1894"/>
      <c r="AS100" s="1894"/>
      <c r="AT100" s="1894"/>
      <c r="AU100" s="1894"/>
      <c r="AV100" s="1894"/>
      <c r="AW100" s="1894"/>
      <c r="AX100" s="1894"/>
      <c r="AY100" s="5380"/>
      <c r="AZ100" s="5225"/>
      <c r="BA100" s="5380"/>
      <c r="BB100" s="5225"/>
      <c r="BC100" s="1996"/>
      <c r="BD100" s="5434"/>
      <c r="BE100" s="1935"/>
      <c r="BF100" s="1983"/>
      <c r="BG100" s="1983" t="str">
        <f t="shared" si="1"/>
        <v/>
      </c>
      <c r="BH100" s="1983"/>
      <c r="BI100" s="1983"/>
    </row>
    <row r="101" spans="1:61" s="4930" customFormat="1" ht="21" customHeight="1">
      <c r="A101" s="1973"/>
      <c r="B101" s="1973"/>
      <c r="C101" s="1973"/>
      <c r="D101" s="1973"/>
      <c r="E101" s="5377"/>
      <c r="F101" s="5377"/>
      <c r="G101" s="5377">
        <v>1</v>
      </c>
      <c r="H101" s="5377"/>
      <c r="I101" s="5397"/>
      <c r="J101" s="5374"/>
      <c r="K101" s="1973"/>
      <c r="L101" s="1974"/>
      <c r="M101" s="1986"/>
      <c r="N101" s="1986"/>
      <c r="O101" s="1986"/>
      <c r="P101" s="5375"/>
      <c r="Q101" s="5375"/>
      <c r="R101" s="1988"/>
      <c r="S101" s="2346"/>
      <c r="T101" s="2347" t="s">
        <v>562</v>
      </c>
      <c r="U101" s="2348"/>
      <c r="V101" s="2349"/>
      <c r="W101" s="2350"/>
      <c r="X101" s="2351"/>
      <c r="Y101" s="2352"/>
      <c r="Z101" s="2353"/>
      <c r="AA101" s="2354"/>
      <c r="AB101" s="2355"/>
      <c r="AC101" s="2356"/>
      <c r="AD101" s="2357"/>
      <c r="AE101" s="2358"/>
      <c r="AF101" s="2359"/>
      <c r="AG101" s="2360"/>
      <c r="AH101" s="2361"/>
      <c r="AI101" s="2362"/>
      <c r="AJ101" s="2363"/>
      <c r="AK101" s="2364"/>
      <c r="AL101" s="2365"/>
      <c r="AM101" s="2366"/>
      <c r="AN101" s="2367"/>
      <c r="AO101" s="2368"/>
      <c r="AP101" s="2369"/>
      <c r="AQ101" s="2370"/>
      <c r="AR101" s="2371"/>
      <c r="AS101" s="2372"/>
      <c r="AT101" s="2373"/>
      <c r="AU101" s="2374"/>
      <c r="AV101" s="2375"/>
      <c r="AW101" s="2376"/>
      <c r="AX101" s="2377"/>
      <c r="AY101" s="2378"/>
      <c r="AZ101" s="2379"/>
      <c r="BA101" s="2380"/>
      <c r="BB101" s="2381"/>
      <c r="BC101" s="2382"/>
      <c r="BD101" s="1982" t="s">
        <v>563</v>
      </c>
      <c r="BE101" s="1935"/>
      <c r="BF101" s="1983"/>
      <c r="BG101" s="1983" t="str">
        <f t="shared" si="1"/>
        <v>Добавить значение признака дифференциации</v>
      </c>
      <c r="BH101" s="1983"/>
      <c r="BI101" s="1983"/>
    </row>
    <row r="102" spans="1:61" s="4931" customFormat="1" ht="23.25" customHeight="1">
      <c r="A102" s="3933"/>
      <c r="B102" s="3933"/>
      <c r="C102" s="3933"/>
      <c r="D102" s="3933"/>
      <c r="E102" s="5377"/>
      <c r="F102" s="5377"/>
      <c r="G102" s="5377"/>
      <c r="H102" s="5377"/>
      <c r="I102" s="5397"/>
      <c r="J102" s="5374" t="str">
        <f>I97&amp;".2"</f>
        <v>1.3.2.1.2</v>
      </c>
      <c r="K102" s="3933"/>
      <c r="L102" s="3934" t="s">
        <v>484</v>
      </c>
      <c r="M102" s="3935"/>
      <c r="N102" s="3935"/>
      <c r="O102" s="3935"/>
      <c r="P102" s="5375"/>
      <c r="Q102" s="5452" t="s">
        <v>101</v>
      </c>
      <c r="R102" s="3937"/>
      <c r="S102" s="3938" t="str">
        <f>$J102</f>
        <v>1.3.2.1.2</v>
      </c>
      <c r="T102" s="3939" t="s">
        <v>485</v>
      </c>
      <c r="U102" s="3940"/>
      <c r="V102" s="5365"/>
      <c r="W102" s="5366"/>
      <c r="X102" s="5366"/>
      <c r="Y102" s="5366"/>
      <c r="Z102" s="5366"/>
      <c r="AA102" s="5366"/>
      <c r="AB102" s="5366"/>
      <c r="AC102" s="5366"/>
      <c r="AD102" s="5366"/>
      <c r="AE102" s="5366"/>
      <c r="AF102" s="5367"/>
      <c r="AG102" s="5365" t="s">
        <v>621</v>
      </c>
      <c r="AH102" s="5366"/>
      <c r="AI102" s="5366"/>
      <c r="AJ102" s="5366"/>
      <c r="AK102" s="5366"/>
      <c r="AL102" s="5366"/>
      <c r="AM102" s="5366"/>
      <c r="AN102" s="5366"/>
      <c r="AO102" s="5366"/>
      <c r="AP102" s="5366"/>
      <c r="AQ102" s="5366"/>
      <c r="AR102" s="5365"/>
      <c r="AS102" s="5366"/>
      <c r="AT102" s="5366"/>
      <c r="AU102" s="5366"/>
      <c r="AV102" s="5366"/>
      <c r="AW102" s="5366"/>
      <c r="AX102" s="5366"/>
      <c r="AY102" s="5366"/>
      <c r="AZ102" s="5366"/>
      <c r="BA102" s="5366"/>
      <c r="BB102" s="5453"/>
      <c r="BC102" s="5367"/>
      <c r="BD102" s="3941" t="s">
        <v>561</v>
      </c>
      <c r="BE102" s="3942"/>
      <c r="BF102" s="3943"/>
      <c r="BG102" s="3943" t="str">
        <f t="shared" si="1"/>
        <v>Группа потребителей</v>
      </c>
      <c r="BH102" s="3943"/>
      <c r="BI102" s="3943"/>
    </row>
    <row r="103" spans="1:61" s="4932" customFormat="1" ht="23.25" customHeight="1">
      <c r="A103" s="3933"/>
      <c r="B103" s="3933"/>
      <c r="C103" s="3933"/>
      <c r="D103" s="3933"/>
      <c r="E103" s="5377"/>
      <c r="F103" s="5377"/>
      <c r="G103" s="5377"/>
      <c r="H103" s="5377"/>
      <c r="I103" s="5397"/>
      <c r="J103" s="5397" t="str">
        <f>I97&amp;".1"</f>
        <v>1.3.2.1.1</v>
      </c>
      <c r="K103" s="5374" t="str">
        <f>J102&amp;".1"</f>
        <v>1.3.2.1.2.1</v>
      </c>
      <c r="L103" s="3934"/>
      <c r="M103" s="3935"/>
      <c r="N103" s="3935"/>
      <c r="O103" s="3935"/>
      <c r="P103" s="5375"/>
      <c r="Q103" s="5375"/>
      <c r="R103" s="3937">
        <v>1</v>
      </c>
      <c r="S103" s="3938" t="str">
        <f>$K103</f>
        <v>1.3.2.1.2.1</v>
      </c>
      <c r="T103" s="3944" t="s">
        <v>624</v>
      </c>
      <c r="U103" s="3940"/>
      <c r="V103" s="3931"/>
      <c r="W103" s="3931"/>
      <c r="X103" s="3931"/>
      <c r="Y103" s="3931"/>
      <c r="Z103" s="3931"/>
      <c r="AA103" s="3931"/>
      <c r="AB103" s="3931"/>
      <c r="AC103" s="5379"/>
      <c r="AD103" s="5225" t="s">
        <v>64</v>
      </c>
      <c r="AE103" s="5379"/>
      <c r="AF103" s="5225" t="s">
        <v>64</v>
      </c>
      <c r="AG103" s="3931"/>
      <c r="AH103" s="3931">
        <v>30.35</v>
      </c>
      <c r="AI103" s="3931"/>
      <c r="AJ103" s="3931"/>
      <c r="AK103" s="3931">
        <v>3544.51</v>
      </c>
      <c r="AL103" s="3931"/>
      <c r="AM103" s="3931"/>
      <c r="AN103" s="5379">
        <v>45292</v>
      </c>
      <c r="AO103" s="5225" t="s">
        <v>64</v>
      </c>
      <c r="AP103" s="5398">
        <v>45473.396493055552</v>
      </c>
      <c r="AQ103" s="5225" t="s">
        <v>64</v>
      </c>
      <c r="AR103" s="3931"/>
      <c r="AS103" s="3931">
        <v>33.6</v>
      </c>
      <c r="AT103" s="3931"/>
      <c r="AU103" s="3931"/>
      <c r="AV103" s="3931">
        <v>4076.34</v>
      </c>
      <c r="AW103" s="3931"/>
      <c r="AX103" s="3931"/>
      <c r="AY103" s="5379">
        <v>45474.492280092592</v>
      </c>
      <c r="AZ103" s="5225" t="s">
        <v>64</v>
      </c>
      <c r="BA103" s="5379">
        <v>45657.397303240738</v>
      </c>
      <c r="BB103" s="5451" t="s">
        <v>64</v>
      </c>
      <c r="BC103" s="3945"/>
      <c r="BD103"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03" s="3942" t="e">
        <f ca="1">STRCHECKDATE(V104:BC104)</f>
        <v>#NAME?</v>
      </c>
      <c r="BF103" s="3943"/>
      <c r="BG103" s="3943" t="str">
        <f t="shared" si="1"/>
        <v>ФГБУ ЦЖКУ "Министерство обороны России"</v>
      </c>
      <c r="BH103" s="3943"/>
      <c r="BI103" s="3943"/>
    </row>
    <row r="104" spans="1:61" s="4933" customFormat="1" ht="14.25" customHeight="1">
      <c r="A104" s="3933"/>
      <c r="B104" s="3933"/>
      <c r="C104" s="3933"/>
      <c r="D104" s="3933"/>
      <c r="E104" s="5377"/>
      <c r="F104" s="5377"/>
      <c r="G104" s="5377"/>
      <c r="H104" s="5377"/>
      <c r="I104" s="5397"/>
      <c r="J104" s="5397" t="str">
        <f>I97&amp;".1"</f>
        <v>1.3.2.1.1</v>
      </c>
      <c r="K104" s="5374"/>
      <c r="L104" s="3934"/>
      <c r="M104" s="3935"/>
      <c r="N104" s="3935"/>
      <c r="O104" s="3935"/>
      <c r="P104" s="5375"/>
      <c r="Q104" s="5375"/>
      <c r="R104" s="3937"/>
      <c r="S104" s="3946"/>
      <c r="T104" s="3940"/>
      <c r="U104" s="3940"/>
      <c r="V104" s="3932"/>
      <c r="W104" s="3932"/>
      <c r="X104" s="3932"/>
      <c r="Y104" s="3932"/>
      <c r="Z104" s="3932"/>
      <c r="AA104" s="3932"/>
      <c r="AB104" s="3932"/>
      <c r="AC104" s="5380"/>
      <c r="AD104" s="5225"/>
      <c r="AE104" s="5380"/>
      <c r="AF104" s="5225"/>
      <c r="AG104" s="3932"/>
      <c r="AH104" s="3932"/>
      <c r="AI104" s="3932"/>
      <c r="AJ104" s="3932"/>
      <c r="AK104" s="3932"/>
      <c r="AL104" s="3932"/>
      <c r="AM104" s="3932"/>
      <c r="AN104" s="5380"/>
      <c r="AO104" s="5225"/>
      <c r="AP104" s="5399"/>
      <c r="AQ104" s="5225"/>
      <c r="AR104" s="3932"/>
      <c r="AS104" s="3932"/>
      <c r="AT104" s="3932"/>
      <c r="AU104" s="3932"/>
      <c r="AV104" s="3932"/>
      <c r="AW104" s="3932"/>
      <c r="AX104" s="3932"/>
      <c r="AY104" s="5380"/>
      <c r="AZ104" s="5225"/>
      <c r="BA104" s="5380"/>
      <c r="BB104" s="5451"/>
      <c r="BC104" s="3947"/>
      <c r="BD104" s="5434"/>
      <c r="BE104" s="3942"/>
      <c r="BF104" s="3943"/>
      <c r="BG104" s="3943" t="str">
        <f t="shared" si="1"/>
        <v/>
      </c>
      <c r="BH104" s="3943"/>
      <c r="BI104" s="3943"/>
    </row>
    <row r="105" spans="1:61" s="4934" customFormat="1" ht="21" customHeight="1">
      <c r="A105" s="3933"/>
      <c r="B105" s="3933"/>
      <c r="C105" s="3933"/>
      <c r="D105" s="3933"/>
      <c r="E105" s="5377"/>
      <c r="F105" s="5377"/>
      <c r="G105" s="5377"/>
      <c r="H105" s="5377"/>
      <c r="I105" s="5397"/>
      <c r="J105" s="5374" t="str">
        <f>I97&amp;".1"</f>
        <v>1.3.2.1.1</v>
      </c>
      <c r="K105" s="3933"/>
      <c r="L105" s="3934"/>
      <c r="M105" s="3935"/>
      <c r="N105" s="3935"/>
      <c r="O105" s="3935"/>
      <c r="P105" s="5375"/>
      <c r="Q105" s="5375"/>
      <c r="R105" s="3948"/>
      <c r="S105" s="4098"/>
      <c r="T105" s="4099" t="s">
        <v>562</v>
      </c>
      <c r="U105" s="4100"/>
      <c r="V105" s="4101"/>
      <c r="W105" s="4102"/>
      <c r="X105" s="4103"/>
      <c r="Y105" s="4104"/>
      <c r="Z105" s="4105"/>
      <c r="AA105" s="4106"/>
      <c r="AB105" s="4107"/>
      <c r="AC105" s="4108"/>
      <c r="AD105" s="4109"/>
      <c r="AE105" s="4110"/>
      <c r="AF105" s="4111"/>
      <c r="AG105" s="4112"/>
      <c r="AH105" s="4113"/>
      <c r="AI105" s="4114"/>
      <c r="AJ105" s="4115"/>
      <c r="AK105" s="4116"/>
      <c r="AL105" s="4117"/>
      <c r="AM105" s="4118"/>
      <c r="AN105" s="4119"/>
      <c r="AO105" s="4120"/>
      <c r="AP105" s="4121"/>
      <c r="AQ105" s="4122"/>
      <c r="AR105" s="4123"/>
      <c r="AS105" s="4124"/>
      <c r="AT105" s="4125"/>
      <c r="AU105" s="4126"/>
      <c r="AV105" s="4127"/>
      <c r="AW105" s="4128"/>
      <c r="AX105" s="4129"/>
      <c r="AY105" s="4130"/>
      <c r="AZ105" s="4131"/>
      <c r="BA105" s="4132"/>
      <c r="BB105" s="4133"/>
      <c r="BC105" s="4134"/>
      <c r="BD105" s="3986" t="s">
        <v>563</v>
      </c>
      <c r="BE105" s="3942"/>
      <c r="BF105" s="3943"/>
      <c r="BG105" s="3943" t="str">
        <f t="shared" si="1"/>
        <v>Добавить значение признака дифференциации</v>
      </c>
      <c r="BH105" s="3943"/>
      <c r="BI105" s="3943"/>
    </row>
    <row r="106" spans="1:61" s="4935" customFormat="1" ht="21" customHeight="1">
      <c r="A106" s="1973"/>
      <c r="B106" s="1973"/>
      <c r="C106" s="1973"/>
      <c r="D106" s="1973"/>
      <c r="E106" s="5377"/>
      <c r="F106" s="5377"/>
      <c r="G106" s="5377">
        <v>1</v>
      </c>
      <c r="H106" s="5377"/>
      <c r="I106" s="5374"/>
      <c r="J106" s="1973"/>
      <c r="K106" s="1973"/>
      <c r="L106" s="1974"/>
      <c r="M106" s="1986"/>
      <c r="N106" s="1986"/>
      <c r="O106" s="1986"/>
      <c r="P106" s="5375"/>
      <c r="Q106" s="1987"/>
      <c r="R106" s="1988"/>
      <c r="S106" s="2383"/>
      <c r="T106" s="2384" t="s">
        <v>490</v>
      </c>
      <c r="U106" s="2385"/>
      <c r="V106" s="2386"/>
      <c r="W106" s="2387"/>
      <c r="X106" s="2388"/>
      <c r="Y106" s="2389"/>
      <c r="Z106" s="2390"/>
      <c r="AA106" s="2391"/>
      <c r="AB106" s="2392"/>
      <c r="AC106" s="2393"/>
      <c r="AD106" s="2394"/>
      <c r="AE106" s="2395"/>
      <c r="AF106" s="2396"/>
      <c r="AG106" s="2397"/>
      <c r="AH106" s="2398"/>
      <c r="AI106" s="2399"/>
      <c r="AJ106" s="2400"/>
      <c r="AK106" s="2401"/>
      <c r="AL106" s="2402"/>
      <c r="AM106" s="2403"/>
      <c r="AN106" s="2404"/>
      <c r="AO106" s="2405"/>
      <c r="AP106" s="2406"/>
      <c r="AQ106" s="2407"/>
      <c r="AR106" s="2408"/>
      <c r="AS106" s="2409"/>
      <c r="AT106" s="2410"/>
      <c r="AU106" s="2411"/>
      <c r="AV106" s="2412"/>
      <c r="AW106" s="2413"/>
      <c r="AX106" s="2414"/>
      <c r="AY106" s="2415"/>
      <c r="AZ106" s="2416"/>
      <c r="BA106" s="2417"/>
      <c r="BB106" s="2418"/>
      <c r="BC106" s="2419"/>
      <c r="BD106" s="2420"/>
      <c r="BE106" s="1935"/>
      <c r="BF106" s="1983"/>
      <c r="BG106" s="1983" t="str">
        <f t="shared" ref="BG106:BG169" si="2">IF(T106="","",T106)</f>
        <v>Добавить группу потребителей</v>
      </c>
      <c r="BH106" s="1983"/>
      <c r="BI106" s="1983"/>
    </row>
    <row r="107" spans="1:61" s="4936" customFormat="1" ht="21" customHeight="1">
      <c r="A107" s="1973"/>
      <c r="B107" s="1973"/>
      <c r="C107" s="1973"/>
      <c r="D107" s="1973"/>
      <c r="E107" s="5377"/>
      <c r="F107" s="5377"/>
      <c r="G107" s="5377">
        <v>1</v>
      </c>
      <c r="H107" s="5376"/>
      <c r="I107" s="1973"/>
      <c r="J107" s="1973"/>
      <c r="K107" s="1973"/>
      <c r="L107" s="1974"/>
      <c r="M107" s="1975"/>
      <c r="N107" s="1975"/>
      <c r="O107" s="1929"/>
      <c r="P107" s="2072"/>
      <c r="Q107" s="2073"/>
      <c r="R107" s="2074"/>
      <c r="S107" s="2421"/>
      <c r="T107" s="2422" t="s">
        <v>564</v>
      </c>
      <c r="U107" s="2423"/>
      <c r="V107" s="2424"/>
      <c r="W107" s="2425"/>
      <c r="X107" s="2426"/>
      <c r="Y107" s="2427"/>
      <c r="Z107" s="2428"/>
      <c r="AA107" s="2429"/>
      <c r="AB107" s="2430"/>
      <c r="AC107" s="2431"/>
      <c r="AD107" s="2432"/>
      <c r="AE107" s="2433"/>
      <c r="AF107" s="2434"/>
      <c r="AG107" s="2435"/>
      <c r="AH107" s="2436"/>
      <c r="AI107" s="2437"/>
      <c r="AJ107" s="2438"/>
      <c r="AK107" s="2439"/>
      <c r="AL107" s="2440"/>
      <c r="AM107" s="2441"/>
      <c r="AN107" s="2442"/>
      <c r="AO107" s="2443"/>
      <c r="AP107" s="2444"/>
      <c r="AQ107" s="2445"/>
      <c r="AR107" s="2446"/>
      <c r="AS107" s="2447"/>
      <c r="AT107" s="2448"/>
      <c r="AU107" s="2449"/>
      <c r="AV107" s="2450"/>
      <c r="AW107" s="2451"/>
      <c r="AX107" s="2452"/>
      <c r="AY107" s="2453"/>
      <c r="AZ107" s="2454"/>
      <c r="BA107" s="2455"/>
      <c r="BB107" s="2456"/>
      <c r="BC107" s="2457"/>
      <c r="BD107" s="2458"/>
      <c r="BE107" s="1935"/>
      <c r="BF107" s="1983"/>
      <c r="BG107" s="1983" t="str">
        <f t="shared" si="2"/>
        <v>Добавить наименование признака дифференциации</v>
      </c>
      <c r="BH107" s="1983"/>
      <c r="BI107" s="1983"/>
    </row>
    <row r="108" spans="1:61" s="4937" customFormat="1" ht="14.25" customHeight="1">
      <c r="A108" s="2226"/>
      <c r="B108" s="2226"/>
      <c r="C108" s="2226"/>
      <c r="D108" s="2226"/>
      <c r="E108" s="5377"/>
      <c r="F108" s="5376" t="s">
        <v>100</v>
      </c>
      <c r="G108" s="2226"/>
      <c r="H108" s="2226"/>
      <c r="I108" s="2226"/>
      <c r="J108" s="2226"/>
      <c r="K108" s="2226"/>
      <c r="L108" s="2227"/>
      <c r="M108" s="2228"/>
      <c r="N108" s="2228"/>
      <c r="O108" s="1935"/>
      <c r="P108" s="2229"/>
      <c r="Q108" s="2230"/>
      <c r="R108" s="2229"/>
      <c r="S108" s="2231"/>
      <c r="T108" s="2232" t="s">
        <v>271</v>
      </c>
      <c r="U108" s="1928"/>
      <c r="V108" s="1928"/>
      <c r="W108" s="1928"/>
      <c r="X108" s="1928"/>
      <c r="Y108" s="1928"/>
      <c r="Z108" s="1928"/>
      <c r="AA108" s="1928"/>
      <c r="AB108" s="1928"/>
      <c r="AC108" s="1928"/>
      <c r="AD108" s="1928"/>
      <c r="AE108" s="1928"/>
      <c r="AF108" s="1928"/>
      <c r="AG108" s="1928"/>
      <c r="AH108" s="1928"/>
      <c r="AI108" s="1928"/>
      <c r="AJ108" s="1928"/>
      <c r="AK108" s="1928"/>
      <c r="AL108" s="1928"/>
      <c r="AM108" s="1928"/>
      <c r="AN108" s="1928"/>
      <c r="AO108" s="1928"/>
      <c r="AP108" s="1928"/>
      <c r="AQ108" s="1928"/>
      <c r="AR108" s="1928"/>
      <c r="AS108" s="1928"/>
      <c r="AT108" s="1928"/>
      <c r="AU108" s="1928"/>
      <c r="AV108" s="1928"/>
      <c r="AW108" s="1928"/>
      <c r="AX108" s="1928"/>
      <c r="AY108" s="1928"/>
      <c r="AZ108" s="1928"/>
      <c r="BA108" s="1928"/>
      <c r="BB108" s="1928"/>
      <c r="BC108" s="1928"/>
      <c r="BD108" s="1928"/>
      <c r="BE108" s="1935"/>
      <c r="BF108" s="1983"/>
      <c r="BG108" s="1983" t="str">
        <f t="shared" si="2"/>
        <v>Добавить централизованную систему для дифференциации</v>
      </c>
      <c r="BH108" s="1983"/>
      <c r="BI108" s="1983"/>
    </row>
    <row r="109" spans="1:61" s="4938" customFormat="1" ht="23.25" customHeight="1">
      <c r="A109" s="1973"/>
      <c r="B109" s="1973" t="s">
        <v>287</v>
      </c>
      <c r="C109" s="1973"/>
      <c r="D109" s="1973"/>
      <c r="E109" s="5377"/>
      <c r="F109" s="5376" t="s">
        <v>88</v>
      </c>
      <c r="G109" s="1973"/>
      <c r="H109" s="1973"/>
      <c r="I109" s="1973"/>
      <c r="J109" s="1973"/>
      <c r="K109" s="1973"/>
      <c r="L109" s="1974"/>
      <c r="M109" s="1975"/>
      <c r="N109" s="1975"/>
      <c r="O109" s="1975"/>
      <c r="P109" s="1976"/>
      <c r="Q109" s="1977"/>
      <c r="R109" s="1978"/>
      <c r="S109" s="1979" t="str">
        <f>INDEX(PT_DIFFERENTIATION_NUM_TER,MATCH(B109,PT_DIFFERENTIATION_TER_ID,0))</f>
        <v>1.4</v>
      </c>
      <c r="T109" s="1980" t="s">
        <v>475</v>
      </c>
      <c r="U109" s="1981"/>
      <c r="V109" s="5362"/>
      <c r="W109" s="5363"/>
      <c r="X109" s="5363"/>
      <c r="Y109" s="5363"/>
      <c r="Z109" s="5363"/>
      <c r="AA109" s="5363"/>
      <c r="AB109" s="5363"/>
      <c r="AC109" s="5363"/>
      <c r="AD109" s="5363"/>
      <c r="AE109" s="5363"/>
      <c r="AF109" s="5364"/>
      <c r="AG109" s="5362" t="str">
        <f>INDEX(PT_DIFFERENTIATION_TER,MATCH(B109,PT_DIFFERENTIATION_TER_ID,0))</f>
        <v>Сергиево-Посадский</v>
      </c>
      <c r="AH109" s="5363"/>
      <c r="AI109" s="5363"/>
      <c r="AJ109" s="5363"/>
      <c r="AK109" s="5363"/>
      <c r="AL109" s="5363"/>
      <c r="AM109" s="5363"/>
      <c r="AN109" s="5363"/>
      <c r="AO109" s="5363"/>
      <c r="AP109" s="5363"/>
      <c r="AQ109" s="5363"/>
      <c r="AR109" s="5362"/>
      <c r="AS109" s="5363"/>
      <c r="AT109" s="5363"/>
      <c r="AU109" s="5363"/>
      <c r="AV109" s="5363"/>
      <c r="AW109" s="5363"/>
      <c r="AX109" s="5363"/>
      <c r="AY109" s="5363"/>
      <c r="AZ109" s="5363"/>
      <c r="BA109" s="5363"/>
      <c r="BB109" s="5364"/>
      <c r="BC109" s="5364"/>
      <c r="BD109" s="1982" t="s">
        <v>476</v>
      </c>
      <c r="BE109" s="1935"/>
      <c r="BF109" s="1983"/>
      <c r="BG109" s="1983" t="str">
        <f t="shared" si="2"/>
        <v>Территория действия тарифа</v>
      </c>
      <c r="BH109" s="1983"/>
      <c r="BI109" s="1983"/>
    </row>
    <row r="110" spans="1:61" s="4939" customFormat="1" ht="23.25" customHeight="1">
      <c r="A110" s="1973"/>
      <c r="B110" s="1973"/>
      <c r="C110" s="1973" t="s">
        <v>288</v>
      </c>
      <c r="D110" s="1973"/>
      <c r="E110" s="5377"/>
      <c r="F110" s="5377" t="s">
        <v>87</v>
      </c>
      <c r="G110" s="5376">
        <v>1</v>
      </c>
      <c r="H110" s="1973"/>
      <c r="I110" s="1973"/>
      <c r="J110" s="1973"/>
      <c r="K110" s="1973"/>
      <c r="L110" s="1974"/>
      <c r="M110" s="1975"/>
      <c r="N110" s="1975"/>
      <c r="O110" s="1975"/>
      <c r="P110" s="1984"/>
      <c r="Q110" s="1977"/>
      <c r="R110" s="1978"/>
      <c r="S110" s="1979" t="str">
        <f>INDEX(PT_DIFFERENTIATION_NUM_CS,MATCH(C110,PT_DIFFERENTIATION_CS_ID,0))</f>
        <v>1.4.1</v>
      </c>
      <c r="T110" s="1985" t="s">
        <v>606</v>
      </c>
      <c r="U110" s="1981"/>
      <c r="V110" s="5362"/>
      <c r="W110" s="5363"/>
      <c r="X110" s="5363"/>
      <c r="Y110" s="5363"/>
      <c r="Z110" s="5363"/>
      <c r="AA110" s="5363"/>
      <c r="AB110" s="5363"/>
      <c r="AC110" s="5363"/>
      <c r="AD110" s="5363"/>
      <c r="AE110" s="5363"/>
      <c r="AF110" s="5364"/>
      <c r="AG110" s="5362" t="str">
        <f>INDEX(PT_DIFFERENTIATION_CS,MATCH(C110,PT_DIFFERENTIATION_CS_ID,0))</f>
        <v>г.Сергиев Посад</v>
      </c>
      <c r="AH110" s="5363"/>
      <c r="AI110" s="5363"/>
      <c r="AJ110" s="5363"/>
      <c r="AK110" s="5363"/>
      <c r="AL110" s="5363"/>
      <c r="AM110" s="5363"/>
      <c r="AN110" s="5363"/>
      <c r="AO110" s="5363"/>
      <c r="AP110" s="5363"/>
      <c r="AQ110" s="5363"/>
      <c r="AR110" s="5362"/>
      <c r="AS110" s="5363"/>
      <c r="AT110" s="5363"/>
      <c r="AU110" s="5363"/>
      <c r="AV110" s="5363"/>
      <c r="AW110" s="5363"/>
      <c r="AX110" s="5363"/>
      <c r="AY110" s="5363"/>
      <c r="AZ110" s="5363"/>
      <c r="BA110" s="5363"/>
      <c r="BB110" s="5364"/>
      <c r="BC110" s="5364"/>
      <c r="BD110" s="1982" t="s">
        <v>607</v>
      </c>
      <c r="BE110" s="1935"/>
      <c r="BF110" s="1983"/>
      <c r="BG110" s="1983" t="str">
        <f t="shared" si="2"/>
        <v>Наименование централизованной системы горячего водоснабжения</v>
      </c>
      <c r="BH110" s="1983"/>
      <c r="BI110" s="1983"/>
    </row>
    <row r="111" spans="1:61" s="4940" customFormat="1" ht="23.25" customHeight="1">
      <c r="A111" s="1973"/>
      <c r="B111" s="1973"/>
      <c r="C111" s="1973"/>
      <c r="D111" s="1973"/>
      <c r="E111" s="5377"/>
      <c r="F111" s="5377" t="s">
        <v>87</v>
      </c>
      <c r="G111" s="5377"/>
      <c r="H111" s="5377"/>
      <c r="I111" s="5374" t="str">
        <f>S110&amp;".1"</f>
        <v>1.4.1.1</v>
      </c>
      <c r="J111" s="1973"/>
      <c r="K111" s="1973"/>
      <c r="L111" s="1974"/>
      <c r="M111" s="1986"/>
      <c r="N111" s="1986"/>
      <c r="O111" s="1986"/>
      <c r="P111" s="5375">
        <v>1</v>
      </c>
      <c r="Q111" s="1987"/>
      <c r="R111" s="1988"/>
      <c r="S111" s="1979" t="str">
        <f>$I111</f>
        <v>1.4.1.1</v>
      </c>
      <c r="T111" s="1989" t="s">
        <v>559</v>
      </c>
      <c r="U111" s="1981"/>
      <c r="V111" s="5435"/>
      <c r="W111" s="5436"/>
      <c r="X111" s="5436"/>
      <c r="Y111" s="5436"/>
      <c r="Z111" s="5436"/>
      <c r="AA111" s="5436"/>
      <c r="AB111" s="5436"/>
      <c r="AC111" s="5436"/>
      <c r="AD111" s="5436"/>
      <c r="AE111" s="5436"/>
      <c r="AF111" s="5437"/>
      <c r="AG111" s="5438"/>
      <c r="AH111" s="5439"/>
      <c r="AI111" s="5439"/>
      <c r="AJ111" s="5439"/>
      <c r="AK111" s="5439"/>
      <c r="AL111" s="5439"/>
      <c r="AM111" s="5439"/>
      <c r="AN111" s="5439"/>
      <c r="AO111" s="5439"/>
      <c r="AP111" s="5439"/>
      <c r="AQ111" s="5439"/>
      <c r="AR111" s="5435"/>
      <c r="AS111" s="5436"/>
      <c r="AT111" s="5436"/>
      <c r="AU111" s="5436"/>
      <c r="AV111" s="5436"/>
      <c r="AW111" s="5436"/>
      <c r="AX111" s="5436"/>
      <c r="AY111" s="5436"/>
      <c r="AZ111" s="5436"/>
      <c r="BA111" s="5436"/>
      <c r="BB111" s="5437"/>
      <c r="BC111" s="5440"/>
      <c r="BD111" s="1982" t="s">
        <v>560</v>
      </c>
      <c r="BE111" s="1935"/>
      <c r="BF111" s="1983"/>
      <c r="BG111" s="1983" t="str">
        <f t="shared" si="2"/>
        <v>Наименование признака дифференциации</v>
      </c>
      <c r="BH111" s="1983"/>
      <c r="BI111" s="1983"/>
    </row>
    <row r="112" spans="1:61" s="4941" customFormat="1" ht="23.25" customHeight="1">
      <c r="A112" s="1973"/>
      <c r="B112" s="1973"/>
      <c r="C112" s="1973"/>
      <c r="D112" s="1973"/>
      <c r="E112" s="5377"/>
      <c r="F112" s="5377" t="s">
        <v>87</v>
      </c>
      <c r="G112" s="5377"/>
      <c r="H112" s="5377"/>
      <c r="I112" s="5397"/>
      <c r="J112" s="5374" t="str">
        <f>I111&amp;".1"</f>
        <v>1.4.1.1.1</v>
      </c>
      <c r="K112" s="1973"/>
      <c r="L112" s="1974" t="s">
        <v>484</v>
      </c>
      <c r="M112" s="1986"/>
      <c r="N112" s="1986"/>
      <c r="O112" s="1986"/>
      <c r="P112" s="5375"/>
      <c r="Q112" s="5375">
        <v>1</v>
      </c>
      <c r="R112" s="1990"/>
      <c r="S112" s="1979" t="str">
        <f>$J112</f>
        <v>1.4.1.1.1</v>
      </c>
      <c r="T112" s="1991" t="s">
        <v>485</v>
      </c>
      <c r="U112" s="1981"/>
      <c r="V112" s="5365"/>
      <c r="W112" s="5366"/>
      <c r="X112" s="5366"/>
      <c r="Y112" s="5366"/>
      <c r="Z112" s="5366"/>
      <c r="AA112" s="5366"/>
      <c r="AB112" s="5366"/>
      <c r="AC112" s="5366"/>
      <c r="AD112" s="5366"/>
      <c r="AE112" s="5366"/>
      <c r="AF112" s="5367"/>
      <c r="AG112" s="5365" t="s">
        <v>619</v>
      </c>
      <c r="AH112" s="5366"/>
      <c r="AI112" s="5366"/>
      <c r="AJ112" s="5366"/>
      <c r="AK112" s="5366"/>
      <c r="AL112" s="5366"/>
      <c r="AM112" s="5366"/>
      <c r="AN112" s="5366"/>
      <c r="AO112" s="5366"/>
      <c r="AP112" s="5366"/>
      <c r="AQ112" s="5366"/>
      <c r="AR112" s="5365"/>
      <c r="AS112" s="5366"/>
      <c r="AT112" s="5366"/>
      <c r="AU112" s="5366"/>
      <c r="AV112" s="5366"/>
      <c r="AW112" s="5366"/>
      <c r="AX112" s="5366"/>
      <c r="AY112" s="5366"/>
      <c r="AZ112" s="5366"/>
      <c r="BA112" s="5366"/>
      <c r="BB112" s="5367"/>
      <c r="BC112" s="5367"/>
      <c r="BD112" s="1992" t="s">
        <v>561</v>
      </c>
      <c r="BE112" s="1935"/>
      <c r="BF112" s="1983"/>
      <c r="BG112" s="1983" t="str">
        <f t="shared" si="2"/>
        <v>Группа потребителей</v>
      </c>
      <c r="BH112" s="1983"/>
      <c r="BI112" s="1983"/>
    </row>
    <row r="113" spans="1:61" s="4942" customFormat="1" ht="23.25" customHeight="1">
      <c r="A113" s="1973"/>
      <c r="B113" s="1973"/>
      <c r="C113" s="1973"/>
      <c r="D113" s="1973"/>
      <c r="E113" s="5377"/>
      <c r="F113" s="5377" t="s">
        <v>87</v>
      </c>
      <c r="G113" s="5377"/>
      <c r="H113" s="5377"/>
      <c r="I113" s="5397"/>
      <c r="J113" s="5397"/>
      <c r="K113" s="5374" t="str">
        <f>J112&amp;".1"</f>
        <v>1.4.1.1.1.1</v>
      </c>
      <c r="L113" s="1974"/>
      <c r="M113" s="1986"/>
      <c r="N113" s="1986"/>
      <c r="O113" s="1986"/>
      <c r="P113" s="5375"/>
      <c r="Q113" s="5375"/>
      <c r="R113" s="1990">
        <v>1</v>
      </c>
      <c r="S113" s="1979" t="str">
        <f>$K113</f>
        <v>1.4.1.1.1.1</v>
      </c>
      <c r="T113" s="1993" t="s">
        <v>625</v>
      </c>
      <c r="U113" s="1981"/>
      <c r="V113" s="1893"/>
      <c r="W113" s="1893"/>
      <c r="X113" s="1893"/>
      <c r="Y113" s="1893"/>
      <c r="Z113" s="1893"/>
      <c r="AA113" s="1893"/>
      <c r="AB113" s="1893"/>
      <c r="AC113" s="5379"/>
      <c r="AD113" s="5225" t="s">
        <v>64</v>
      </c>
      <c r="AE113" s="5379"/>
      <c r="AF113" s="5225" t="s">
        <v>64</v>
      </c>
      <c r="AG113" s="1893"/>
      <c r="AH113" s="1893">
        <v>31.78</v>
      </c>
      <c r="AI113" s="1893"/>
      <c r="AJ113" s="1893"/>
      <c r="AK113" s="1893">
        <v>2585.44</v>
      </c>
      <c r="AL113" s="1893"/>
      <c r="AM113" s="1893"/>
      <c r="AN113" s="5379">
        <v>45292</v>
      </c>
      <c r="AO113" s="5225" t="s">
        <v>64</v>
      </c>
      <c r="AP113" s="5398">
        <v>45473.396493055552</v>
      </c>
      <c r="AQ113" s="5225" t="s">
        <v>64</v>
      </c>
      <c r="AR113" s="1893"/>
      <c r="AS113" s="1893">
        <v>35.65</v>
      </c>
      <c r="AT113" s="1893"/>
      <c r="AU113" s="1893"/>
      <c r="AV113" s="1893">
        <v>3510.91</v>
      </c>
      <c r="AW113" s="1893"/>
      <c r="AX113" s="1893"/>
      <c r="AY113" s="5379">
        <v>45474.492280092592</v>
      </c>
      <c r="AZ113" s="5225" t="s">
        <v>64</v>
      </c>
      <c r="BA113" s="5379">
        <v>45657.397303240738</v>
      </c>
      <c r="BB113" s="5225" t="s">
        <v>64</v>
      </c>
      <c r="BC113" s="1994"/>
      <c r="BD113"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13" s="1935" t="e">
        <f ca="1">STRCHECKDATE(V114:BC114)</f>
        <v>#NAME?</v>
      </c>
      <c r="BF113" s="1983"/>
      <c r="BG113" s="1983" t="str">
        <f t="shared" si="2"/>
        <v>МУП "Водоканал"</v>
      </c>
      <c r="BH113" s="1983"/>
      <c r="BI113" s="1983"/>
    </row>
    <row r="114" spans="1:61" s="4943" customFormat="1" ht="14.25" customHeight="1">
      <c r="A114" s="1973"/>
      <c r="B114" s="1973"/>
      <c r="C114" s="1973"/>
      <c r="D114" s="1973"/>
      <c r="E114" s="5377"/>
      <c r="F114" s="5377" t="s">
        <v>87</v>
      </c>
      <c r="G114" s="5377"/>
      <c r="H114" s="5377"/>
      <c r="I114" s="5397"/>
      <c r="J114" s="5397"/>
      <c r="K114" s="5374"/>
      <c r="L114" s="1974"/>
      <c r="M114" s="1986"/>
      <c r="N114" s="1986"/>
      <c r="O114" s="1986"/>
      <c r="P114" s="5375"/>
      <c r="Q114" s="5375"/>
      <c r="R114" s="1990"/>
      <c r="S114" s="1995"/>
      <c r="T114" s="1981"/>
      <c r="U114" s="1981"/>
      <c r="V114" s="1894"/>
      <c r="W114" s="1894"/>
      <c r="X114" s="1894"/>
      <c r="Y114" s="1894"/>
      <c r="Z114" s="1894"/>
      <c r="AA114" s="1894"/>
      <c r="AB114" s="1894"/>
      <c r="AC114" s="5380"/>
      <c r="AD114" s="5225"/>
      <c r="AE114" s="5380"/>
      <c r="AF114" s="5225"/>
      <c r="AG114" s="1894"/>
      <c r="AH114" s="1894"/>
      <c r="AI114" s="1894"/>
      <c r="AJ114" s="1894"/>
      <c r="AK114" s="1894"/>
      <c r="AL114" s="1894"/>
      <c r="AM114" s="1894"/>
      <c r="AN114" s="5380"/>
      <c r="AO114" s="5225"/>
      <c r="AP114" s="5399"/>
      <c r="AQ114" s="5225"/>
      <c r="AR114" s="1894"/>
      <c r="AS114" s="1894"/>
      <c r="AT114" s="1894"/>
      <c r="AU114" s="1894"/>
      <c r="AV114" s="1894"/>
      <c r="AW114" s="1894"/>
      <c r="AX114" s="1894"/>
      <c r="AY114" s="5380"/>
      <c r="AZ114" s="5225"/>
      <c r="BA114" s="5380"/>
      <c r="BB114" s="5225"/>
      <c r="BC114" s="1996"/>
      <c r="BD114" s="5434"/>
      <c r="BE114" s="1935"/>
      <c r="BF114" s="1983"/>
      <c r="BG114" s="1983" t="str">
        <f t="shared" si="2"/>
        <v/>
      </c>
      <c r="BH114" s="1983"/>
      <c r="BI114" s="1983"/>
    </row>
    <row r="115" spans="1:61" s="4944" customFormat="1" ht="21" customHeight="1">
      <c r="A115" s="1973"/>
      <c r="B115" s="1973"/>
      <c r="C115" s="1973"/>
      <c r="D115" s="1973"/>
      <c r="E115" s="5377"/>
      <c r="F115" s="5377" t="s">
        <v>87</v>
      </c>
      <c r="G115" s="5377"/>
      <c r="H115" s="5377"/>
      <c r="I115" s="5397"/>
      <c r="J115" s="5374"/>
      <c r="K115" s="1973"/>
      <c r="L115" s="1974"/>
      <c r="M115" s="1986"/>
      <c r="N115" s="1986"/>
      <c r="O115" s="1986"/>
      <c r="P115" s="5375"/>
      <c r="Q115" s="5375"/>
      <c r="R115" s="1988"/>
      <c r="S115" s="2459"/>
      <c r="T115" s="2460" t="s">
        <v>562</v>
      </c>
      <c r="U115" s="2461"/>
      <c r="V115" s="2462"/>
      <c r="W115" s="2463"/>
      <c r="X115" s="2464"/>
      <c r="Y115" s="2465"/>
      <c r="Z115" s="2466"/>
      <c r="AA115" s="2467"/>
      <c r="AB115" s="2468"/>
      <c r="AC115" s="2469"/>
      <c r="AD115" s="2470"/>
      <c r="AE115" s="2471"/>
      <c r="AF115" s="2472"/>
      <c r="AG115" s="2473"/>
      <c r="AH115" s="2474"/>
      <c r="AI115" s="2475"/>
      <c r="AJ115" s="2476"/>
      <c r="AK115" s="2477"/>
      <c r="AL115" s="2478"/>
      <c r="AM115" s="2479"/>
      <c r="AN115" s="2480"/>
      <c r="AO115" s="2481"/>
      <c r="AP115" s="2482"/>
      <c r="AQ115" s="2483"/>
      <c r="AR115" s="2484"/>
      <c r="AS115" s="2485"/>
      <c r="AT115" s="2486"/>
      <c r="AU115" s="2487"/>
      <c r="AV115" s="2488"/>
      <c r="AW115" s="2489"/>
      <c r="AX115" s="2490"/>
      <c r="AY115" s="2491"/>
      <c r="AZ115" s="2492"/>
      <c r="BA115" s="2493"/>
      <c r="BB115" s="2494"/>
      <c r="BC115" s="2495"/>
      <c r="BD115" s="1982" t="s">
        <v>563</v>
      </c>
      <c r="BE115" s="1935"/>
      <c r="BF115" s="1983"/>
      <c r="BG115" s="1983" t="str">
        <f t="shared" si="2"/>
        <v>Добавить значение признака дифференциации</v>
      </c>
      <c r="BH115" s="1983"/>
      <c r="BI115" s="1983"/>
    </row>
    <row r="116" spans="1:61" s="4945" customFormat="1" ht="23.25" customHeight="1">
      <c r="A116" s="3933"/>
      <c r="B116" s="3933"/>
      <c r="C116" s="3933"/>
      <c r="D116" s="3933"/>
      <c r="E116" s="5377"/>
      <c r="F116" s="5377"/>
      <c r="G116" s="5377"/>
      <c r="H116" s="5377"/>
      <c r="I116" s="5397"/>
      <c r="J116" s="5374" t="str">
        <f>I111&amp;".2"</f>
        <v>1.4.1.1.2</v>
      </c>
      <c r="K116" s="3933"/>
      <c r="L116" s="3934" t="s">
        <v>484</v>
      </c>
      <c r="M116" s="3935"/>
      <c r="N116" s="3935"/>
      <c r="O116" s="3935"/>
      <c r="P116" s="5375"/>
      <c r="Q116" s="5452" t="s">
        <v>101</v>
      </c>
      <c r="R116" s="3937"/>
      <c r="S116" s="3938" t="str">
        <f>$J116</f>
        <v>1.4.1.1.2</v>
      </c>
      <c r="T116" s="3939" t="s">
        <v>485</v>
      </c>
      <c r="U116" s="3940"/>
      <c r="V116" s="5365"/>
      <c r="W116" s="5366"/>
      <c r="X116" s="5366"/>
      <c r="Y116" s="5366"/>
      <c r="Z116" s="5366"/>
      <c r="AA116" s="5366"/>
      <c r="AB116" s="5366"/>
      <c r="AC116" s="5366"/>
      <c r="AD116" s="5366"/>
      <c r="AE116" s="5366"/>
      <c r="AF116" s="5367"/>
      <c r="AG116" s="5365" t="s">
        <v>621</v>
      </c>
      <c r="AH116" s="5366"/>
      <c r="AI116" s="5366"/>
      <c r="AJ116" s="5366"/>
      <c r="AK116" s="5366"/>
      <c r="AL116" s="5366"/>
      <c r="AM116" s="5366"/>
      <c r="AN116" s="5366"/>
      <c r="AO116" s="5366"/>
      <c r="AP116" s="5366"/>
      <c r="AQ116" s="5366"/>
      <c r="AR116" s="5365"/>
      <c r="AS116" s="5366"/>
      <c r="AT116" s="5366"/>
      <c r="AU116" s="5366"/>
      <c r="AV116" s="5366"/>
      <c r="AW116" s="5366"/>
      <c r="AX116" s="5366"/>
      <c r="AY116" s="5366"/>
      <c r="AZ116" s="5366"/>
      <c r="BA116" s="5366"/>
      <c r="BB116" s="5453"/>
      <c r="BC116" s="5367"/>
      <c r="BD116" s="3941" t="s">
        <v>561</v>
      </c>
      <c r="BE116" s="3942"/>
      <c r="BF116" s="3943"/>
      <c r="BG116" s="3943" t="str">
        <f t="shared" si="2"/>
        <v>Группа потребителей</v>
      </c>
      <c r="BH116" s="3943"/>
      <c r="BI116" s="3943"/>
    </row>
    <row r="117" spans="1:61" s="4946" customFormat="1" ht="23.25" customHeight="1">
      <c r="A117" s="3933"/>
      <c r="B117" s="3933"/>
      <c r="C117" s="3933"/>
      <c r="D117" s="3933"/>
      <c r="E117" s="5377"/>
      <c r="F117" s="5377"/>
      <c r="G117" s="5377"/>
      <c r="H117" s="5377"/>
      <c r="I117" s="5397"/>
      <c r="J117" s="5397" t="str">
        <f>I111&amp;".1"</f>
        <v>1.4.1.1.1</v>
      </c>
      <c r="K117" s="5374" t="str">
        <f>J116&amp;".1"</f>
        <v>1.4.1.1.2.1</v>
      </c>
      <c r="L117" s="3934"/>
      <c r="M117" s="3935"/>
      <c r="N117" s="3935"/>
      <c r="O117" s="3935"/>
      <c r="P117" s="5375"/>
      <c r="Q117" s="5375"/>
      <c r="R117" s="3937">
        <v>1</v>
      </c>
      <c r="S117" s="3938" t="str">
        <f>$K117</f>
        <v>1.4.1.1.2.1</v>
      </c>
      <c r="T117" s="3944" t="s">
        <v>625</v>
      </c>
      <c r="U117" s="3940"/>
      <c r="V117" s="3931"/>
      <c r="W117" s="3931"/>
      <c r="X117" s="3931"/>
      <c r="Y117" s="3931"/>
      <c r="Z117" s="3931"/>
      <c r="AA117" s="3931"/>
      <c r="AB117" s="3931"/>
      <c r="AC117" s="5379"/>
      <c r="AD117" s="5225" t="s">
        <v>64</v>
      </c>
      <c r="AE117" s="5379"/>
      <c r="AF117" s="5225" t="s">
        <v>64</v>
      </c>
      <c r="AG117" s="3931"/>
      <c r="AH117" s="3931">
        <v>31.78</v>
      </c>
      <c r="AI117" s="3931"/>
      <c r="AJ117" s="3931"/>
      <c r="AK117" s="3931">
        <v>3102.53</v>
      </c>
      <c r="AL117" s="3931"/>
      <c r="AM117" s="3931"/>
      <c r="AN117" s="5379">
        <v>45292</v>
      </c>
      <c r="AO117" s="5225" t="s">
        <v>64</v>
      </c>
      <c r="AP117" s="5398">
        <v>45473.396493055552</v>
      </c>
      <c r="AQ117" s="5225" t="s">
        <v>64</v>
      </c>
      <c r="AR117" s="3931"/>
      <c r="AS117" s="3931">
        <v>35.65</v>
      </c>
      <c r="AT117" s="3931"/>
      <c r="AU117" s="3931"/>
      <c r="AV117" s="3931">
        <v>3567.91</v>
      </c>
      <c r="AW117" s="3931"/>
      <c r="AX117" s="3931"/>
      <c r="AY117" s="5379">
        <v>45474.492280092592</v>
      </c>
      <c r="AZ117" s="5225" t="s">
        <v>64</v>
      </c>
      <c r="BA117" s="5379">
        <v>45657.397303240738</v>
      </c>
      <c r="BB117" s="5451" t="s">
        <v>64</v>
      </c>
      <c r="BC117" s="3945"/>
      <c r="BD11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17" s="3942" t="e">
        <f ca="1">STRCHECKDATE(V118:BC118)</f>
        <v>#NAME?</v>
      </c>
      <c r="BF117" s="3943"/>
      <c r="BG117" s="3943" t="str">
        <f t="shared" si="2"/>
        <v>МУП "Водоканал"</v>
      </c>
      <c r="BH117" s="3943"/>
      <c r="BI117" s="3943"/>
    </row>
    <row r="118" spans="1:61" s="4947" customFormat="1" ht="14.25" customHeight="1">
      <c r="A118" s="3933"/>
      <c r="B118" s="3933"/>
      <c r="C118" s="3933"/>
      <c r="D118" s="3933"/>
      <c r="E118" s="5377"/>
      <c r="F118" s="5377"/>
      <c r="G118" s="5377"/>
      <c r="H118" s="5377"/>
      <c r="I118" s="5397"/>
      <c r="J118" s="5397" t="str">
        <f>I111&amp;".1"</f>
        <v>1.4.1.1.1</v>
      </c>
      <c r="K118" s="5374"/>
      <c r="L118" s="3934"/>
      <c r="M118" s="3935"/>
      <c r="N118" s="3935"/>
      <c r="O118" s="3935"/>
      <c r="P118" s="5375"/>
      <c r="Q118" s="5375"/>
      <c r="R118" s="3937"/>
      <c r="S118" s="3946"/>
      <c r="T118" s="3940"/>
      <c r="U118" s="3940"/>
      <c r="V118" s="3932"/>
      <c r="W118" s="3932"/>
      <c r="X118" s="3932"/>
      <c r="Y118" s="3932"/>
      <c r="Z118" s="3932"/>
      <c r="AA118" s="3932"/>
      <c r="AB118" s="3932"/>
      <c r="AC118" s="5380"/>
      <c r="AD118" s="5225"/>
      <c r="AE118" s="5380"/>
      <c r="AF118" s="5225"/>
      <c r="AG118" s="3932"/>
      <c r="AH118" s="3932"/>
      <c r="AI118" s="3932"/>
      <c r="AJ118" s="3932"/>
      <c r="AK118" s="3932"/>
      <c r="AL118" s="3932"/>
      <c r="AM118" s="3932"/>
      <c r="AN118" s="5380"/>
      <c r="AO118" s="5225"/>
      <c r="AP118" s="5399"/>
      <c r="AQ118" s="5225"/>
      <c r="AR118" s="3932"/>
      <c r="AS118" s="3932"/>
      <c r="AT118" s="3932"/>
      <c r="AU118" s="3932"/>
      <c r="AV118" s="3932"/>
      <c r="AW118" s="3932"/>
      <c r="AX118" s="3932"/>
      <c r="AY118" s="5380"/>
      <c r="AZ118" s="5225"/>
      <c r="BA118" s="5380"/>
      <c r="BB118" s="5451"/>
      <c r="BC118" s="3947"/>
      <c r="BD118" s="5434"/>
      <c r="BE118" s="3942"/>
      <c r="BF118" s="3943"/>
      <c r="BG118" s="3943" t="str">
        <f t="shared" si="2"/>
        <v/>
      </c>
      <c r="BH118" s="3943"/>
      <c r="BI118" s="3943"/>
    </row>
    <row r="119" spans="1:61" s="4948" customFormat="1" ht="21" customHeight="1">
      <c r="A119" s="3933"/>
      <c r="B119" s="3933"/>
      <c r="C119" s="3933"/>
      <c r="D119" s="3933"/>
      <c r="E119" s="5377"/>
      <c r="F119" s="5377"/>
      <c r="G119" s="5377"/>
      <c r="H119" s="5377"/>
      <c r="I119" s="5397"/>
      <c r="J119" s="5374" t="str">
        <f>I111&amp;".1"</f>
        <v>1.4.1.1.1</v>
      </c>
      <c r="K119" s="3933"/>
      <c r="L119" s="3934"/>
      <c r="M119" s="3935"/>
      <c r="N119" s="3935"/>
      <c r="O119" s="3935"/>
      <c r="P119" s="5375"/>
      <c r="Q119" s="5375"/>
      <c r="R119" s="3948"/>
      <c r="S119" s="4135"/>
      <c r="T119" s="4136" t="s">
        <v>562</v>
      </c>
      <c r="U119" s="4137"/>
      <c r="V119" s="4138"/>
      <c r="W119" s="4139"/>
      <c r="X119" s="4140"/>
      <c r="Y119" s="4141"/>
      <c r="Z119" s="4142"/>
      <c r="AA119" s="4143"/>
      <c r="AB119" s="4144"/>
      <c r="AC119" s="4145"/>
      <c r="AD119" s="4146"/>
      <c r="AE119" s="4147"/>
      <c r="AF119" s="4148"/>
      <c r="AG119" s="4149"/>
      <c r="AH119" s="4150"/>
      <c r="AI119" s="4151"/>
      <c r="AJ119" s="4152"/>
      <c r="AK119" s="4153"/>
      <c r="AL119" s="4154"/>
      <c r="AM119" s="4155"/>
      <c r="AN119" s="4156"/>
      <c r="AO119" s="4157"/>
      <c r="AP119" s="4158"/>
      <c r="AQ119" s="4159"/>
      <c r="AR119" s="4160"/>
      <c r="AS119" s="4161"/>
      <c r="AT119" s="4162"/>
      <c r="AU119" s="4163"/>
      <c r="AV119" s="4164"/>
      <c r="AW119" s="4165"/>
      <c r="AX119" s="4166"/>
      <c r="AY119" s="4167"/>
      <c r="AZ119" s="4168"/>
      <c r="BA119" s="4169"/>
      <c r="BB119" s="4170"/>
      <c r="BC119" s="4171"/>
      <c r="BD119" s="3986" t="s">
        <v>563</v>
      </c>
      <c r="BE119" s="3942"/>
      <c r="BF119" s="3943"/>
      <c r="BG119" s="3943" t="str">
        <f t="shared" si="2"/>
        <v>Добавить значение признака дифференциации</v>
      </c>
      <c r="BH119" s="3943"/>
      <c r="BI119" s="3943"/>
    </row>
    <row r="120" spans="1:61" s="4949" customFormat="1" ht="21" customHeight="1">
      <c r="A120" s="1973"/>
      <c r="B120" s="1973"/>
      <c r="C120" s="1973"/>
      <c r="D120" s="1973"/>
      <c r="E120" s="5377"/>
      <c r="F120" s="5377" t="s">
        <v>87</v>
      </c>
      <c r="G120" s="5377"/>
      <c r="H120" s="5377"/>
      <c r="I120" s="5374"/>
      <c r="J120" s="1973"/>
      <c r="K120" s="1973"/>
      <c r="L120" s="1974"/>
      <c r="M120" s="1986"/>
      <c r="N120" s="1986"/>
      <c r="O120" s="1986"/>
      <c r="P120" s="5375"/>
      <c r="Q120" s="1987"/>
      <c r="R120" s="1988"/>
      <c r="S120" s="2496"/>
      <c r="T120" s="2497" t="s">
        <v>490</v>
      </c>
      <c r="U120" s="2498"/>
      <c r="V120" s="2499"/>
      <c r="W120" s="2500"/>
      <c r="X120" s="2501"/>
      <c r="Y120" s="2502"/>
      <c r="Z120" s="2503"/>
      <c r="AA120" s="2504"/>
      <c r="AB120" s="2505"/>
      <c r="AC120" s="2506"/>
      <c r="AD120" s="2507"/>
      <c r="AE120" s="2508"/>
      <c r="AF120" s="2509"/>
      <c r="AG120" s="2510"/>
      <c r="AH120" s="2511"/>
      <c r="AI120" s="2512"/>
      <c r="AJ120" s="2513"/>
      <c r="AK120" s="2514"/>
      <c r="AL120" s="2515"/>
      <c r="AM120" s="2516"/>
      <c r="AN120" s="2517"/>
      <c r="AO120" s="2518"/>
      <c r="AP120" s="2519"/>
      <c r="AQ120" s="2520"/>
      <c r="AR120" s="2521"/>
      <c r="AS120" s="2522"/>
      <c r="AT120" s="2523"/>
      <c r="AU120" s="2524"/>
      <c r="AV120" s="2525"/>
      <c r="AW120" s="2526"/>
      <c r="AX120" s="2527"/>
      <c r="AY120" s="2528"/>
      <c r="AZ120" s="2529"/>
      <c r="BA120" s="2530"/>
      <c r="BB120" s="2531"/>
      <c r="BC120" s="2532"/>
      <c r="BD120" s="2533"/>
      <c r="BE120" s="1935"/>
      <c r="BF120" s="1983"/>
      <c r="BG120" s="1983" t="str">
        <f t="shared" si="2"/>
        <v>Добавить группу потребителей</v>
      </c>
      <c r="BH120" s="1983"/>
      <c r="BI120" s="1983"/>
    </row>
    <row r="121" spans="1:61" s="4950" customFormat="1" ht="21" customHeight="1">
      <c r="A121" s="1973"/>
      <c r="B121" s="1973"/>
      <c r="C121" s="1973"/>
      <c r="D121" s="1973"/>
      <c r="E121" s="5377"/>
      <c r="F121" s="5377" t="s">
        <v>87</v>
      </c>
      <c r="G121" s="5377"/>
      <c r="H121" s="5376"/>
      <c r="I121" s="1973"/>
      <c r="J121" s="1973"/>
      <c r="K121" s="1973"/>
      <c r="L121" s="1974"/>
      <c r="M121" s="1975"/>
      <c r="N121" s="1975"/>
      <c r="O121" s="1929"/>
      <c r="P121" s="2072"/>
      <c r="Q121" s="2073"/>
      <c r="R121" s="2074"/>
      <c r="S121" s="2534"/>
      <c r="T121" s="2535" t="s">
        <v>564</v>
      </c>
      <c r="U121" s="2536"/>
      <c r="V121" s="2537"/>
      <c r="W121" s="2538"/>
      <c r="X121" s="2539"/>
      <c r="Y121" s="2540"/>
      <c r="Z121" s="2541"/>
      <c r="AA121" s="2542"/>
      <c r="AB121" s="2543"/>
      <c r="AC121" s="2544"/>
      <c r="AD121" s="2545"/>
      <c r="AE121" s="2546"/>
      <c r="AF121" s="2547"/>
      <c r="AG121" s="2548"/>
      <c r="AH121" s="2549"/>
      <c r="AI121" s="2550"/>
      <c r="AJ121" s="2551"/>
      <c r="AK121" s="2552"/>
      <c r="AL121" s="2553"/>
      <c r="AM121" s="2554"/>
      <c r="AN121" s="2555"/>
      <c r="AO121" s="2556"/>
      <c r="AP121" s="2557"/>
      <c r="AQ121" s="2558"/>
      <c r="AR121" s="2559"/>
      <c r="AS121" s="2560"/>
      <c r="AT121" s="2561"/>
      <c r="AU121" s="2562"/>
      <c r="AV121" s="2563"/>
      <c r="AW121" s="2564"/>
      <c r="AX121" s="2565"/>
      <c r="AY121" s="2566"/>
      <c r="AZ121" s="2567"/>
      <c r="BA121" s="2568"/>
      <c r="BB121" s="2569"/>
      <c r="BC121" s="2570"/>
      <c r="BD121" s="2571"/>
      <c r="BE121" s="1935"/>
      <c r="BF121" s="1983"/>
      <c r="BG121" s="1983" t="str">
        <f t="shared" si="2"/>
        <v>Добавить наименование признака дифференциации</v>
      </c>
      <c r="BH121" s="1983"/>
      <c r="BI121" s="1983"/>
    </row>
    <row r="122" spans="1:61" s="4951" customFormat="1" ht="23.25" customHeight="1">
      <c r="A122" s="1973"/>
      <c r="B122" s="1973"/>
      <c r="C122" s="1973" t="s">
        <v>291</v>
      </c>
      <c r="D122" s="1973"/>
      <c r="E122" s="5377"/>
      <c r="F122" s="5377"/>
      <c r="G122" s="5376" t="s">
        <v>100</v>
      </c>
      <c r="H122" s="1973"/>
      <c r="I122" s="1973"/>
      <c r="J122" s="1973"/>
      <c r="K122" s="1973"/>
      <c r="L122" s="1974"/>
      <c r="M122" s="1975"/>
      <c r="N122" s="1975"/>
      <c r="O122" s="1975"/>
      <c r="P122" s="1984"/>
      <c r="Q122" s="1977"/>
      <c r="R122" s="1978"/>
      <c r="S122" s="1979" t="str">
        <f>INDEX(PT_DIFFERENTIATION_NUM_CS,MATCH(C122,PT_DIFFERENTIATION_CS_ID,0))</f>
        <v>1.4.2</v>
      </c>
      <c r="T122" s="1985" t="s">
        <v>606</v>
      </c>
      <c r="U122" s="1981"/>
      <c r="V122" s="5362"/>
      <c r="W122" s="5363"/>
      <c r="X122" s="5363"/>
      <c r="Y122" s="5363"/>
      <c r="Z122" s="5363"/>
      <c r="AA122" s="5363"/>
      <c r="AB122" s="5363"/>
      <c r="AC122" s="5363"/>
      <c r="AD122" s="5363"/>
      <c r="AE122" s="5363"/>
      <c r="AF122" s="5364"/>
      <c r="AG122" s="5362" t="str">
        <f>INDEX(PT_DIFFERENTIATION_CS,MATCH(C122,PT_DIFFERENTIATION_CS_ID,0))</f>
        <v>г.Сергиев Посад (Константиново, Трехселище, Самотовино,Каменки и.др)</v>
      </c>
      <c r="AH122" s="5363"/>
      <c r="AI122" s="5363"/>
      <c r="AJ122" s="5363"/>
      <c r="AK122" s="5363"/>
      <c r="AL122" s="5363"/>
      <c r="AM122" s="5363"/>
      <c r="AN122" s="5363"/>
      <c r="AO122" s="5363"/>
      <c r="AP122" s="5363"/>
      <c r="AQ122" s="5363"/>
      <c r="AR122" s="5362"/>
      <c r="AS122" s="5363"/>
      <c r="AT122" s="5363"/>
      <c r="AU122" s="5363"/>
      <c r="AV122" s="5363"/>
      <c r="AW122" s="5363"/>
      <c r="AX122" s="5363"/>
      <c r="AY122" s="5363"/>
      <c r="AZ122" s="5363"/>
      <c r="BA122" s="5363"/>
      <c r="BB122" s="5364"/>
      <c r="BC122" s="5364"/>
      <c r="BD122" s="1982" t="s">
        <v>607</v>
      </c>
      <c r="BE122" s="1935"/>
      <c r="BF122" s="1983"/>
      <c r="BG122" s="1983" t="str">
        <f t="shared" si="2"/>
        <v>Наименование централизованной системы горячего водоснабжения</v>
      </c>
      <c r="BH122" s="1983"/>
      <c r="BI122" s="1983"/>
    </row>
    <row r="123" spans="1:61" s="4952" customFormat="1" ht="23.25" customHeight="1">
      <c r="A123" s="1973"/>
      <c r="B123" s="1973"/>
      <c r="C123" s="1973"/>
      <c r="D123" s="1973"/>
      <c r="E123" s="5377"/>
      <c r="F123" s="5377"/>
      <c r="G123" s="5377">
        <v>1</v>
      </c>
      <c r="H123" s="5377"/>
      <c r="I123" s="5374" t="str">
        <f>S122&amp;".1"</f>
        <v>1.4.2.1</v>
      </c>
      <c r="J123" s="1973"/>
      <c r="K123" s="1973"/>
      <c r="L123" s="1974"/>
      <c r="M123" s="1986"/>
      <c r="N123" s="1986"/>
      <c r="O123" s="1986"/>
      <c r="P123" s="5375">
        <v>1</v>
      </c>
      <c r="Q123" s="1987"/>
      <c r="R123" s="1988"/>
      <c r="S123" s="1979" t="str">
        <f>$I123</f>
        <v>1.4.2.1</v>
      </c>
      <c r="T123" s="1989" t="s">
        <v>559</v>
      </c>
      <c r="U123" s="1981"/>
      <c r="V123" s="5435"/>
      <c r="W123" s="5436"/>
      <c r="X123" s="5436"/>
      <c r="Y123" s="5436"/>
      <c r="Z123" s="5436"/>
      <c r="AA123" s="5436"/>
      <c r="AB123" s="5436"/>
      <c r="AC123" s="5436"/>
      <c r="AD123" s="5436"/>
      <c r="AE123" s="5436"/>
      <c r="AF123" s="5437"/>
      <c r="AG123" s="5438"/>
      <c r="AH123" s="5439"/>
      <c r="AI123" s="5439"/>
      <c r="AJ123" s="5439"/>
      <c r="AK123" s="5439"/>
      <c r="AL123" s="5439"/>
      <c r="AM123" s="5439"/>
      <c r="AN123" s="5439"/>
      <c r="AO123" s="5439"/>
      <c r="AP123" s="5439"/>
      <c r="AQ123" s="5439"/>
      <c r="AR123" s="5435"/>
      <c r="AS123" s="5436"/>
      <c r="AT123" s="5436"/>
      <c r="AU123" s="5436"/>
      <c r="AV123" s="5436"/>
      <c r="AW123" s="5436"/>
      <c r="AX123" s="5436"/>
      <c r="AY123" s="5436"/>
      <c r="AZ123" s="5436"/>
      <c r="BA123" s="5436"/>
      <c r="BB123" s="5437"/>
      <c r="BC123" s="5440"/>
      <c r="BD123" s="1982" t="s">
        <v>560</v>
      </c>
      <c r="BE123" s="1935"/>
      <c r="BF123" s="1983"/>
      <c r="BG123" s="1983" t="str">
        <f t="shared" si="2"/>
        <v>Наименование признака дифференциации</v>
      </c>
      <c r="BH123" s="1983"/>
      <c r="BI123" s="1983"/>
    </row>
    <row r="124" spans="1:61" s="4953" customFormat="1" ht="23.25" customHeight="1">
      <c r="A124" s="1973"/>
      <c r="B124" s="1973"/>
      <c r="C124" s="1973"/>
      <c r="D124" s="1973"/>
      <c r="E124" s="5377"/>
      <c r="F124" s="5377"/>
      <c r="G124" s="5377">
        <v>1</v>
      </c>
      <c r="H124" s="5377"/>
      <c r="I124" s="5397"/>
      <c r="J124" s="5374" t="str">
        <f>I123&amp;".1"</f>
        <v>1.4.2.1.1</v>
      </c>
      <c r="K124" s="1973"/>
      <c r="L124" s="1974" t="s">
        <v>484</v>
      </c>
      <c r="M124" s="1986"/>
      <c r="N124" s="1986"/>
      <c r="O124" s="1986"/>
      <c r="P124" s="5375"/>
      <c r="Q124" s="5375">
        <v>1</v>
      </c>
      <c r="R124" s="1990"/>
      <c r="S124" s="1979" t="str">
        <f>$J124</f>
        <v>1.4.2.1.1</v>
      </c>
      <c r="T124" s="1991" t="s">
        <v>485</v>
      </c>
      <c r="U124" s="1981"/>
      <c r="V124" s="5365"/>
      <c r="W124" s="5366"/>
      <c r="X124" s="5366"/>
      <c r="Y124" s="5366"/>
      <c r="Z124" s="5366"/>
      <c r="AA124" s="5366"/>
      <c r="AB124" s="5366"/>
      <c r="AC124" s="5366"/>
      <c r="AD124" s="5366"/>
      <c r="AE124" s="5366"/>
      <c r="AF124" s="5367"/>
      <c r="AG124" s="5365" t="s">
        <v>619</v>
      </c>
      <c r="AH124" s="5366"/>
      <c r="AI124" s="5366"/>
      <c r="AJ124" s="5366"/>
      <c r="AK124" s="5366"/>
      <c r="AL124" s="5366"/>
      <c r="AM124" s="5366"/>
      <c r="AN124" s="5366"/>
      <c r="AO124" s="5366"/>
      <c r="AP124" s="5366"/>
      <c r="AQ124" s="5366"/>
      <c r="AR124" s="5365"/>
      <c r="AS124" s="5366"/>
      <c r="AT124" s="5366"/>
      <c r="AU124" s="5366"/>
      <c r="AV124" s="5366"/>
      <c r="AW124" s="5366"/>
      <c r="AX124" s="5366"/>
      <c r="AY124" s="5366"/>
      <c r="AZ124" s="5366"/>
      <c r="BA124" s="5366"/>
      <c r="BB124" s="5367"/>
      <c r="BC124" s="5367"/>
      <c r="BD124" s="1992" t="s">
        <v>561</v>
      </c>
      <c r="BE124" s="1935"/>
      <c r="BF124" s="1983"/>
      <c r="BG124" s="1983" t="str">
        <f t="shared" si="2"/>
        <v>Группа потребителей</v>
      </c>
      <c r="BH124" s="1983"/>
      <c r="BI124" s="1983"/>
    </row>
    <row r="125" spans="1:61" s="4954" customFormat="1" ht="23.25" customHeight="1">
      <c r="A125" s="1973"/>
      <c r="B125" s="1973"/>
      <c r="C125" s="1973"/>
      <c r="D125" s="1973"/>
      <c r="E125" s="5377"/>
      <c r="F125" s="5377"/>
      <c r="G125" s="5377">
        <v>1</v>
      </c>
      <c r="H125" s="5377"/>
      <c r="I125" s="5397"/>
      <c r="J125" s="5397"/>
      <c r="K125" s="5374" t="str">
        <f>J124&amp;".1"</f>
        <v>1.4.2.1.1.1</v>
      </c>
      <c r="L125" s="1974"/>
      <c r="M125" s="1986"/>
      <c r="N125" s="1986"/>
      <c r="O125" s="1986"/>
      <c r="P125" s="5375"/>
      <c r="Q125" s="5375"/>
      <c r="R125" s="1990">
        <v>1</v>
      </c>
      <c r="S125" s="1979" t="str">
        <f>$K125</f>
        <v>1.4.2.1.1.1</v>
      </c>
      <c r="T125" s="1993" t="s">
        <v>625</v>
      </c>
      <c r="U125" s="1981"/>
      <c r="V125" s="1893"/>
      <c r="W125" s="1893"/>
      <c r="X125" s="1893"/>
      <c r="Y125" s="1893"/>
      <c r="Z125" s="1893"/>
      <c r="AA125" s="1893"/>
      <c r="AB125" s="1893"/>
      <c r="AC125" s="5379"/>
      <c r="AD125" s="5225" t="s">
        <v>64</v>
      </c>
      <c r="AE125" s="5379"/>
      <c r="AF125" s="5225" t="s">
        <v>64</v>
      </c>
      <c r="AG125" s="1893"/>
      <c r="AH125" s="1893">
        <v>35.65</v>
      </c>
      <c r="AI125" s="1893"/>
      <c r="AJ125" s="1893"/>
      <c r="AK125" s="1893">
        <v>2585.44</v>
      </c>
      <c r="AL125" s="1893"/>
      <c r="AM125" s="1893"/>
      <c r="AN125" s="5379">
        <v>45292</v>
      </c>
      <c r="AO125" s="5225" t="s">
        <v>64</v>
      </c>
      <c r="AP125" s="5398">
        <v>45473.396493055552</v>
      </c>
      <c r="AQ125" s="5225" t="s">
        <v>64</v>
      </c>
      <c r="AR125" s="1893"/>
      <c r="AS125" s="1893">
        <v>35.65</v>
      </c>
      <c r="AT125" s="1893"/>
      <c r="AU125" s="1893"/>
      <c r="AV125" s="1893">
        <v>3510.91</v>
      </c>
      <c r="AW125" s="1893"/>
      <c r="AX125" s="1893"/>
      <c r="AY125" s="5379">
        <v>45474.492280092592</v>
      </c>
      <c r="AZ125" s="5225" t="s">
        <v>64</v>
      </c>
      <c r="BA125" s="5379">
        <v>45657.397303240738</v>
      </c>
      <c r="BB125" s="5225" t="s">
        <v>64</v>
      </c>
      <c r="BC125" s="1994"/>
      <c r="BD125"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25" s="1935" t="e">
        <f ca="1">STRCHECKDATE(V126:BC126)</f>
        <v>#NAME?</v>
      </c>
      <c r="BF125" s="1983"/>
      <c r="BG125" s="1983" t="str">
        <f t="shared" si="2"/>
        <v>МУП "Водоканал"</v>
      </c>
      <c r="BH125" s="1983"/>
      <c r="BI125" s="1983"/>
    </row>
    <row r="126" spans="1:61" s="4955" customFormat="1" ht="14.25" customHeight="1">
      <c r="A126" s="1973"/>
      <c r="B126" s="1973"/>
      <c r="C126" s="1973"/>
      <c r="D126" s="1973"/>
      <c r="E126" s="5377"/>
      <c r="F126" s="5377"/>
      <c r="G126" s="5377">
        <v>1</v>
      </c>
      <c r="H126" s="5377"/>
      <c r="I126" s="5397"/>
      <c r="J126" s="5397"/>
      <c r="K126" s="5374"/>
      <c r="L126" s="1974"/>
      <c r="M126" s="1986"/>
      <c r="N126" s="1986"/>
      <c r="O126" s="1986"/>
      <c r="P126" s="5375"/>
      <c r="Q126" s="5375"/>
      <c r="R126" s="1990"/>
      <c r="S126" s="1995"/>
      <c r="T126" s="1981"/>
      <c r="U126" s="1981"/>
      <c r="V126" s="1894"/>
      <c r="W126" s="1894"/>
      <c r="X126" s="1894"/>
      <c r="Y126" s="1894"/>
      <c r="Z126" s="1894"/>
      <c r="AA126" s="1894"/>
      <c r="AB126" s="1894"/>
      <c r="AC126" s="5380"/>
      <c r="AD126" s="5225"/>
      <c r="AE126" s="5380"/>
      <c r="AF126" s="5225"/>
      <c r="AG126" s="1894"/>
      <c r="AH126" s="1894"/>
      <c r="AI126" s="1894"/>
      <c r="AJ126" s="1894"/>
      <c r="AK126" s="1894"/>
      <c r="AL126" s="1894"/>
      <c r="AM126" s="1894"/>
      <c r="AN126" s="5380"/>
      <c r="AO126" s="5225"/>
      <c r="AP126" s="5399"/>
      <c r="AQ126" s="5225"/>
      <c r="AR126" s="1894"/>
      <c r="AS126" s="1894"/>
      <c r="AT126" s="1894"/>
      <c r="AU126" s="1894"/>
      <c r="AV126" s="1894"/>
      <c r="AW126" s="1894"/>
      <c r="AX126" s="1894"/>
      <c r="AY126" s="5380"/>
      <c r="AZ126" s="5225"/>
      <c r="BA126" s="5380"/>
      <c r="BB126" s="5225"/>
      <c r="BC126" s="1996"/>
      <c r="BD126" s="5434"/>
      <c r="BE126" s="1935"/>
      <c r="BF126" s="1983"/>
      <c r="BG126" s="1983" t="str">
        <f t="shared" si="2"/>
        <v/>
      </c>
      <c r="BH126" s="1983"/>
      <c r="BI126" s="1983"/>
    </row>
    <row r="127" spans="1:61" s="4956" customFormat="1" ht="21" customHeight="1">
      <c r="A127" s="1973"/>
      <c r="B127" s="1973"/>
      <c r="C127" s="1973"/>
      <c r="D127" s="1973"/>
      <c r="E127" s="5377"/>
      <c r="F127" s="5377"/>
      <c r="G127" s="5377">
        <v>1</v>
      </c>
      <c r="H127" s="5377"/>
      <c r="I127" s="5397"/>
      <c r="J127" s="5374"/>
      <c r="K127" s="1973"/>
      <c r="L127" s="1974"/>
      <c r="M127" s="1986"/>
      <c r="N127" s="1986"/>
      <c r="O127" s="1986"/>
      <c r="P127" s="5375"/>
      <c r="Q127" s="5375"/>
      <c r="R127" s="1988"/>
      <c r="S127" s="2572"/>
      <c r="T127" s="2573" t="s">
        <v>562</v>
      </c>
      <c r="U127" s="2574"/>
      <c r="V127" s="2575"/>
      <c r="W127" s="2576"/>
      <c r="X127" s="2577"/>
      <c r="Y127" s="2578"/>
      <c r="Z127" s="2579"/>
      <c r="AA127" s="2580"/>
      <c r="AB127" s="2581"/>
      <c r="AC127" s="2582"/>
      <c r="AD127" s="2583"/>
      <c r="AE127" s="2584"/>
      <c r="AF127" s="2585"/>
      <c r="AG127" s="2586"/>
      <c r="AH127" s="2587"/>
      <c r="AI127" s="2588"/>
      <c r="AJ127" s="2589"/>
      <c r="AK127" s="2590"/>
      <c r="AL127" s="2591"/>
      <c r="AM127" s="2592"/>
      <c r="AN127" s="2593"/>
      <c r="AO127" s="2594"/>
      <c r="AP127" s="2595"/>
      <c r="AQ127" s="2596"/>
      <c r="AR127" s="2597"/>
      <c r="AS127" s="2598"/>
      <c r="AT127" s="2599"/>
      <c r="AU127" s="2600"/>
      <c r="AV127" s="2601"/>
      <c r="AW127" s="2602"/>
      <c r="AX127" s="2603"/>
      <c r="AY127" s="2604"/>
      <c r="AZ127" s="2605"/>
      <c r="BA127" s="2606"/>
      <c r="BB127" s="2607"/>
      <c r="BC127" s="2608"/>
      <c r="BD127" s="1982" t="s">
        <v>563</v>
      </c>
      <c r="BE127" s="1935"/>
      <c r="BF127" s="1983"/>
      <c r="BG127" s="1983" t="str">
        <f t="shared" si="2"/>
        <v>Добавить значение признака дифференциации</v>
      </c>
      <c r="BH127" s="1983"/>
      <c r="BI127" s="1983"/>
    </row>
    <row r="128" spans="1:61" s="4957" customFormat="1" ht="23.25" customHeight="1">
      <c r="A128" s="3933"/>
      <c r="B128" s="3933"/>
      <c r="C128" s="3933"/>
      <c r="D128" s="3933"/>
      <c r="E128" s="5377"/>
      <c r="F128" s="5377"/>
      <c r="G128" s="5377"/>
      <c r="H128" s="5377"/>
      <c r="I128" s="5397"/>
      <c r="J128" s="5374" t="str">
        <f>I123&amp;".2"</f>
        <v>1.4.2.1.2</v>
      </c>
      <c r="K128" s="3933"/>
      <c r="L128" s="3934" t="s">
        <v>484</v>
      </c>
      <c r="M128" s="3935"/>
      <c r="N128" s="3935"/>
      <c r="O128" s="3935"/>
      <c r="P128" s="5375"/>
      <c r="Q128" s="5452" t="s">
        <v>101</v>
      </c>
      <c r="R128" s="3937"/>
      <c r="S128" s="3938" t="str">
        <f>$J128</f>
        <v>1.4.2.1.2</v>
      </c>
      <c r="T128" s="3939" t="s">
        <v>485</v>
      </c>
      <c r="U128" s="3940"/>
      <c r="V128" s="5365"/>
      <c r="W128" s="5366"/>
      <c r="X128" s="5366"/>
      <c r="Y128" s="5366"/>
      <c r="Z128" s="5366"/>
      <c r="AA128" s="5366"/>
      <c r="AB128" s="5366"/>
      <c r="AC128" s="5366"/>
      <c r="AD128" s="5366"/>
      <c r="AE128" s="5366"/>
      <c r="AF128" s="5367"/>
      <c r="AG128" s="5365" t="s">
        <v>621</v>
      </c>
      <c r="AH128" s="5366"/>
      <c r="AI128" s="5366"/>
      <c r="AJ128" s="5366"/>
      <c r="AK128" s="5366"/>
      <c r="AL128" s="5366"/>
      <c r="AM128" s="5366"/>
      <c r="AN128" s="5366"/>
      <c r="AO128" s="5366"/>
      <c r="AP128" s="5366"/>
      <c r="AQ128" s="5366"/>
      <c r="AR128" s="5365"/>
      <c r="AS128" s="5366"/>
      <c r="AT128" s="5366"/>
      <c r="AU128" s="5366"/>
      <c r="AV128" s="5366"/>
      <c r="AW128" s="5366"/>
      <c r="AX128" s="5366"/>
      <c r="AY128" s="5366"/>
      <c r="AZ128" s="5366"/>
      <c r="BA128" s="5366"/>
      <c r="BB128" s="5453"/>
      <c r="BC128" s="5367"/>
      <c r="BD128" s="3941" t="s">
        <v>561</v>
      </c>
      <c r="BE128" s="3942"/>
      <c r="BF128" s="3943"/>
      <c r="BG128" s="3943" t="str">
        <f t="shared" si="2"/>
        <v>Группа потребителей</v>
      </c>
      <c r="BH128" s="3943"/>
      <c r="BI128" s="3943"/>
    </row>
    <row r="129" spans="1:61" s="4958" customFormat="1" ht="23.25" customHeight="1">
      <c r="A129" s="3933"/>
      <c r="B129" s="3933"/>
      <c r="C129" s="3933"/>
      <c r="D129" s="3933"/>
      <c r="E129" s="5377"/>
      <c r="F129" s="5377"/>
      <c r="G129" s="5377"/>
      <c r="H129" s="5377"/>
      <c r="I129" s="5397"/>
      <c r="J129" s="5397" t="str">
        <f>I123&amp;".1"</f>
        <v>1.4.2.1.1</v>
      </c>
      <c r="K129" s="5374" t="str">
        <f>J128&amp;".1"</f>
        <v>1.4.2.1.2.1</v>
      </c>
      <c r="L129" s="3934"/>
      <c r="M129" s="3935"/>
      <c r="N129" s="3935"/>
      <c r="O129" s="3935"/>
      <c r="P129" s="5375"/>
      <c r="Q129" s="5375"/>
      <c r="R129" s="3937">
        <v>1</v>
      </c>
      <c r="S129" s="3938" t="str">
        <f>$K129</f>
        <v>1.4.2.1.2.1</v>
      </c>
      <c r="T129" s="3944" t="s">
        <v>625</v>
      </c>
      <c r="U129" s="3940"/>
      <c r="V129" s="3931"/>
      <c r="W129" s="3931"/>
      <c r="X129" s="3931"/>
      <c r="Y129" s="3931"/>
      <c r="Z129" s="3931"/>
      <c r="AA129" s="3931"/>
      <c r="AB129" s="3931"/>
      <c r="AC129" s="5379"/>
      <c r="AD129" s="5225" t="s">
        <v>64</v>
      </c>
      <c r="AE129" s="5379"/>
      <c r="AF129" s="5225" t="s">
        <v>64</v>
      </c>
      <c r="AG129" s="3931"/>
      <c r="AH129" s="3931">
        <v>35.65</v>
      </c>
      <c r="AI129" s="3931"/>
      <c r="AJ129" s="3931"/>
      <c r="AK129" s="3931">
        <v>3102.53</v>
      </c>
      <c r="AL129" s="3931"/>
      <c r="AM129" s="3931"/>
      <c r="AN129" s="5379">
        <v>45292</v>
      </c>
      <c r="AO129" s="5225" t="s">
        <v>64</v>
      </c>
      <c r="AP129" s="5398">
        <v>45473.396493055552</v>
      </c>
      <c r="AQ129" s="5225" t="s">
        <v>64</v>
      </c>
      <c r="AR129" s="3931"/>
      <c r="AS129" s="3931">
        <v>35.65</v>
      </c>
      <c r="AT129" s="3931"/>
      <c r="AU129" s="3931"/>
      <c r="AV129" s="3931">
        <v>3567.91</v>
      </c>
      <c r="AW129" s="3931"/>
      <c r="AX129" s="3931"/>
      <c r="AY129" s="5379">
        <v>45474.492280092592</v>
      </c>
      <c r="AZ129" s="5225" t="s">
        <v>64</v>
      </c>
      <c r="BA129" s="5379">
        <v>45657.397303240738</v>
      </c>
      <c r="BB129" s="5451" t="s">
        <v>64</v>
      </c>
      <c r="BC129" s="3945"/>
      <c r="BD129"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29" s="3942" t="e">
        <f ca="1">STRCHECKDATE(V130:BC130)</f>
        <v>#NAME?</v>
      </c>
      <c r="BF129" s="3943"/>
      <c r="BG129" s="3943" t="str">
        <f t="shared" si="2"/>
        <v>МУП "Водоканал"</v>
      </c>
      <c r="BH129" s="3943"/>
      <c r="BI129" s="3943"/>
    </row>
    <row r="130" spans="1:61" s="4959" customFormat="1" ht="14.25" customHeight="1">
      <c r="A130" s="3933"/>
      <c r="B130" s="3933"/>
      <c r="C130" s="3933"/>
      <c r="D130" s="3933"/>
      <c r="E130" s="5377"/>
      <c r="F130" s="5377"/>
      <c r="G130" s="5377"/>
      <c r="H130" s="5377"/>
      <c r="I130" s="5397"/>
      <c r="J130" s="5397" t="str">
        <f>I123&amp;".1"</f>
        <v>1.4.2.1.1</v>
      </c>
      <c r="K130" s="5374"/>
      <c r="L130" s="3934"/>
      <c r="M130" s="3935"/>
      <c r="N130" s="3935"/>
      <c r="O130" s="3935"/>
      <c r="P130" s="5375"/>
      <c r="Q130" s="5375"/>
      <c r="R130" s="3937"/>
      <c r="S130" s="3946"/>
      <c r="T130" s="3940"/>
      <c r="U130" s="3940"/>
      <c r="V130" s="3932"/>
      <c r="W130" s="3932"/>
      <c r="X130" s="3932"/>
      <c r="Y130" s="3932"/>
      <c r="Z130" s="3932"/>
      <c r="AA130" s="3932"/>
      <c r="AB130" s="3932"/>
      <c r="AC130" s="5380"/>
      <c r="AD130" s="5225"/>
      <c r="AE130" s="5380"/>
      <c r="AF130" s="5225"/>
      <c r="AG130" s="3932"/>
      <c r="AH130" s="3932"/>
      <c r="AI130" s="3932"/>
      <c r="AJ130" s="3932"/>
      <c r="AK130" s="3932"/>
      <c r="AL130" s="3932"/>
      <c r="AM130" s="3932"/>
      <c r="AN130" s="5380"/>
      <c r="AO130" s="5225"/>
      <c r="AP130" s="5399"/>
      <c r="AQ130" s="5225"/>
      <c r="AR130" s="3932"/>
      <c r="AS130" s="3932"/>
      <c r="AT130" s="3932"/>
      <c r="AU130" s="3932"/>
      <c r="AV130" s="3932"/>
      <c r="AW130" s="3932"/>
      <c r="AX130" s="3932"/>
      <c r="AY130" s="5380"/>
      <c r="AZ130" s="5225"/>
      <c r="BA130" s="5380"/>
      <c r="BB130" s="5451"/>
      <c r="BC130" s="3947"/>
      <c r="BD130" s="5434"/>
      <c r="BE130" s="3942"/>
      <c r="BF130" s="3943"/>
      <c r="BG130" s="3943" t="str">
        <f t="shared" si="2"/>
        <v/>
      </c>
      <c r="BH130" s="3943"/>
      <c r="BI130" s="3943"/>
    </row>
    <row r="131" spans="1:61" s="4960" customFormat="1" ht="21" customHeight="1">
      <c r="A131" s="3933"/>
      <c r="B131" s="3933"/>
      <c r="C131" s="3933"/>
      <c r="D131" s="3933"/>
      <c r="E131" s="5377"/>
      <c r="F131" s="5377"/>
      <c r="G131" s="5377"/>
      <c r="H131" s="5377"/>
      <c r="I131" s="5397"/>
      <c r="J131" s="5374" t="str">
        <f>I123&amp;".1"</f>
        <v>1.4.2.1.1</v>
      </c>
      <c r="K131" s="3933"/>
      <c r="L131" s="3934"/>
      <c r="M131" s="3935"/>
      <c r="N131" s="3935"/>
      <c r="O131" s="3935"/>
      <c r="P131" s="5375"/>
      <c r="Q131" s="5375"/>
      <c r="R131" s="3948"/>
      <c r="S131" s="4172"/>
      <c r="T131" s="4173" t="s">
        <v>562</v>
      </c>
      <c r="U131" s="4174"/>
      <c r="V131" s="4175"/>
      <c r="W131" s="4176"/>
      <c r="X131" s="4177"/>
      <c r="Y131" s="4178"/>
      <c r="Z131" s="4179"/>
      <c r="AA131" s="4180"/>
      <c r="AB131" s="4181"/>
      <c r="AC131" s="4182"/>
      <c r="AD131" s="4183"/>
      <c r="AE131" s="4184"/>
      <c r="AF131" s="4185"/>
      <c r="AG131" s="4186"/>
      <c r="AH131" s="4187"/>
      <c r="AI131" s="4188"/>
      <c r="AJ131" s="4189"/>
      <c r="AK131" s="4190"/>
      <c r="AL131" s="4191"/>
      <c r="AM131" s="4192"/>
      <c r="AN131" s="4193"/>
      <c r="AO131" s="4194"/>
      <c r="AP131" s="4195"/>
      <c r="AQ131" s="4196"/>
      <c r="AR131" s="4197"/>
      <c r="AS131" s="4198"/>
      <c r="AT131" s="4199"/>
      <c r="AU131" s="4200"/>
      <c r="AV131" s="4201"/>
      <c r="AW131" s="4202"/>
      <c r="AX131" s="4203"/>
      <c r="AY131" s="4204"/>
      <c r="AZ131" s="4205"/>
      <c r="BA131" s="4206"/>
      <c r="BB131" s="4207"/>
      <c r="BC131" s="4208"/>
      <c r="BD131" s="3986" t="s">
        <v>563</v>
      </c>
      <c r="BE131" s="3942"/>
      <c r="BF131" s="3943"/>
      <c r="BG131" s="3943" t="str">
        <f t="shared" si="2"/>
        <v>Добавить значение признака дифференциации</v>
      </c>
      <c r="BH131" s="3943"/>
      <c r="BI131" s="3943"/>
    </row>
    <row r="132" spans="1:61" s="4961" customFormat="1" ht="21" customHeight="1">
      <c r="A132" s="1973"/>
      <c r="B132" s="1973"/>
      <c r="C132" s="1973"/>
      <c r="D132" s="1973"/>
      <c r="E132" s="5377"/>
      <c r="F132" s="5377"/>
      <c r="G132" s="5377">
        <v>1</v>
      </c>
      <c r="H132" s="5377"/>
      <c r="I132" s="5374"/>
      <c r="J132" s="1973"/>
      <c r="K132" s="1973"/>
      <c r="L132" s="1974"/>
      <c r="M132" s="1986"/>
      <c r="N132" s="1986"/>
      <c r="O132" s="1986"/>
      <c r="P132" s="5375"/>
      <c r="Q132" s="1987"/>
      <c r="R132" s="1988"/>
      <c r="S132" s="2609"/>
      <c r="T132" s="2610" t="s">
        <v>490</v>
      </c>
      <c r="U132" s="2611"/>
      <c r="V132" s="2612"/>
      <c r="W132" s="2613"/>
      <c r="X132" s="2614"/>
      <c r="Y132" s="2615"/>
      <c r="Z132" s="2616"/>
      <c r="AA132" s="2617"/>
      <c r="AB132" s="2618"/>
      <c r="AC132" s="2619"/>
      <c r="AD132" s="2620"/>
      <c r="AE132" s="2621"/>
      <c r="AF132" s="2622"/>
      <c r="AG132" s="2623"/>
      <c r="AH132" s="2624"/>
      <c r="AI132" s="2625"/>
      <c r="AJ132" s="2626"/>
      <c r="AK132" s="2627"/>
      <c r="AL132" s="2628"/>
      <c r="AM132" s="2629"/>
      <c r="AN132" s="2630"/>
      <c r="AO132" s="2631"/>
      <c r="AP132" s="2632"/>
      <c r="AQ132" s="2633"/>
      <c r="AR132" s="2634"/>
      <c r="AS132" s="2635"/>
      <c r="AT132" s="2636"/>
      <c r="AU132" s="2637"/>
      <c r="AV132" s="2638"/>
      <c r="AW132" s="2639"/>
      <c r="AX132" s="2640"/>
      <c r="AY132" s="2641"/>
      <c r="AZ132" s="2642"/>
      <c r="BA132" s="2643"/>
      <c r="BB132" s="2644"/>
      <c r="BC132" s="2645"/>
      <c r="BD132" s="2646"/>
      <c r="BE132" s="1935"/>
      <c r="BF132" s="1983"/>
      <c r="BG132" s="1983" t="str">
        <f t="shared" si="2"/>
        <v>Добавить группу потребителей</v>
      </c>
      <c r="BH132" s="1983"/>
      <c r="BI132" s="1983"/>
    </row>
    <row r="133" spans="1:61" s="4962" customFormat="1" ht="21" customHeight="1">
      <c r="A133" s="1973"/>
      <c r="B133" s="1973"/>
      <c r="C133" s="1973"/>
      <c r="D133" s="1973"/>
      <c r="E133" s="5377"/>
      <c r="F133" s="5377"/>
      <c r="G133" s="5377">
        <v>1</v>
      </c>
      <c r="H133" s="5376"/>
      <c r="I133" s="1973"/>
      <c r="J133" s="1973"/>
      <c r="K133" s="1973"/>
      <c r="L133" s="1974"/>
      <c r="M133" s="1975"/>
      <c r="N133" s="1975"/>
      <c r="O133" s="1929"/>
      <c r="P133" s="2072"/>
      <c r="Q133" s="2073"/>
      <c r="R133" s="2074"/>
      <c r="S133" s="2647"/>
      <c r="T133" s="2648" t="s">
        <v>564</v>
      </c>
      <c r="U133" s="2649"/>
      <c r="V133" s="2650"/>
      <c r="W133" s="2651"/>
      <c r="X133" s="2652"/>
      <c r="Y133" s="2653"/>
      <c r="Z133" s="2654"/>
      <c r="AA133" s="2655"/>
      <c r="AB133" s="2656"/>
      <c r="AC133" s="2657"/>
      <c r="AD133" s="2658"/>
      <c r="AE133" s="2659"/>
      <c r="AF133" s="2660"/>
      <c r="AG133" s="2661"/>
      <c r="AH133" s="2662"/>
      <c r="AI133" s="2663"/>
      <c r="AJ133" s="2664"/>
      <c r="AK133" s="2665"/>
      <c r="AL133" s="2666"/>
      <c r="AM133" s="2667"/>
      <c r="AN133" s="2668"/>
      <c r="AO133" s="2669"/>
      <c r="AP133" s="2670"/>
      <c r="AQ133" s="2671"/>
      <c r="AR133" s="2672"/>
      <c r="AS133" s="2673"/>
      <c r="AT133" s="2674"/>
      <c r="AU133" s="2675"/>
      <c r="AV133" s="2676"/>
      <c r="AW133" s="2677"/>
      <c r="AX133" s="2678"/>
      <c r="AY133" s="2679"/>
      <c r="AZ133" s="2680"/>
      <c r="BA133" s="2681"/>
      <c r="BB133" s="2682"/>
      <c r="BC133" s="2683"/>
      <c r="BD133" s="2684"/>
      <c r="BE133" s="1935"/>
      <c r="BF133" s="1983"/>
      <c r="BG133" s="1983" t="str">
        <f t="shared" si="2"/>
        <v>Добавить наименование признака дифференциации</v>
      </c>
      <c r="BH133" s="1983"/>
      <c r="BI133" s="1983"/>
    </row>
    <row r="134" spans="1:61" s="4963" customFormat="1" ht="23.25" customHeight="1">
      <c r="A134" s="1973"/>
      <c r="B134" s="1973"/>
      <c r="C134" s="1973" t="s">
        <v>294</v>
      </c>
      <c r="D134" s="1973"/>
      <c r="E134" s="5377"/>
      <c r="F134" s="5377"/>
      <c r="G134" s="5376" t="s">
        <v>87</v>
      </c>
      <c r="H134" s="1973"/>
      <c r="I134" s="1973"/>
      <c r="J134" s="1973"/>
      <c r="K134" s="1973"/>
      <c r="L134" s="1974"/>
      <c r="M134" s="1975"/>
      <c r="N134" s="1975"/>
      <c r="O134" s="1975"/>
      <c r="P134" s="1984"/>
      <c r="Q134" s="1977"/>
      <c r="R134" s="1978"/>
      <c r="S134" s="1979" t="str">
        <f>INDEX(PT_DIFFERENTIATION_NUM_CS,MATCH(C134,PT_DIFFERENTIATION_CS_ID,0))</f>
        <v>1.4.3</v>
      </c>
      <c r="T134" s="1985" t="s">
        <v>606</v>
      </c>
      <c r="U134" s="1981"/>
      <c r="V134" s="5362"/>
      <c r="W134" s="5363"/>
      <c r="X134" s="5363"/>
      <c r="Y134" s="5363"/>
      <c r="Z134" s="5363"/>
      <c r="AA134" s="5363"/>
      <c r="AB134" s="5363"/>
      <c r="AC134" s="5363"/>
      <c r="AD134" s="5363"/>
      <c r="AE134" s="5363"/>
      <c r="AF134" s="5364"/>
      <c r="AG134" s="5362" t="str">
        <f>INDEX(PT_DIFFERENTIATION_CS,MATCH(C134,PT_DIFFERENTIATION_CS_ID,0))</f>
        <v>г.Сергиев Посад, ЖБИ Скобяное шоссе, д6, 6а</v>
      </c>
      <c r="AH134" s="5363"/>
      <c r="AI134" s="5363"/>
      <c r="AJ134" s="5363"/>
      <c r="AK134" s="5363"/>
      <c r="AL134" s="5363"/>
      <c r="AM134" s="5363"/>
      <c r="AN134" s="5363"/>
      <c r="AO134" s="5363"/>
      <c r="AP134" s="5363"/>
      <c r="AQ134" s="5363"/>
      <c r="AR134" s="5362"/>
      <c r="AS134" s="5363"/>
      <c r="AT134" s="5363"/>
      <c r="AU134" s="5363"/>
      <c r="AV134" s="5363"/>
      <c r="AW134" s="5363"/>
      <c r="AX134" s="5363"/>
      <c r="AY134" s="5363"/>
      <c r="AZ134" s="5363"/>
      <c r="BA134" s="5363"/>
      <c r="BB134" s="5364"/>
      <c r="BC134" s="5364"/>
      <c r="BD134" s="1982" t="s">
        <v>607</v>
      </c>
      <c r="BE134" s="1935"/>
      <c r="BF134" s="1983"/>
      <c r="BG134" s="1983" t="str">
        <f t="shared" si="2"/>
        <v>Наименование централизованной системы горячего водоснабжения</v>
      </c>
      <c r="BH134" s="1983"/>
      <c r="BI134" s="1983"/>
    </row>
    <row r="135" spans="1:61" s="4964" customFormat="1" ht="23.25" customHeight="1">
      <c r="A135" s="1973"/>
      <c r="B135" s="1973"/>
      <c r="C135" s="1973"/>
      <c r="D135" s="1973"/>
      <c r="E135" s="5377"/>
      <c r="F135" s="5377"/>
      <c r="G135" s="5377" t="s">
        <v>100</v>
      </c>
      <c r="H135" s="5377"/>
      <c r="I135" s="5374" t="str">
        <f>S134&amp;".1"</f>
        <v>1.4.3.1</v>
      </c>
      <c r="J135" s="1973"/>
      <c r="K135" s="1973"/>
      <c r="L135" s="1974"/>
      <c r="M135" s="1986"/>
      <c r="N135" s="1986"/>
      <c r="O135" s="1986"/>
      <c r="P135" s="5375">
        <v>1</v>
      </c>
      <c r="Q135" s="1987"/>
      <c r="R135" s="1988"/>
      <c r="S135" s="1979" t="str">
        <f>$I135</f>
        <v>1.4.3.1</v>
      </c>
      <c r="T135" s="1989" t="s">
        <v>559</v>
      </c>
      <c r="U135" s="1981"/>
      <c r="V135" s="5435"/>
      <c r="W135" s="5436"/>
      <c r="X135" s="5436"/>
      <c r="Y135" s="5436"/>
      <c r="Z135" s="5436"/>
      <c r="AA135" s="5436"/>
      <c r="AB135" s="5436"/>
      <c r="AC135" s="5436"/>
      <c r="AD135" s="5436"/>
      <c r="AE135" s="5436"/>
      <c r="AF135" s="5437"/>
      <c r="AG135" s="5438"/>
      <c r="AH135" s="5439"/>
      <c r="AI135" s="5439"/>
      <c r="AJ135" s="5439"/>
      <c r="AK135" s="5439"/>
      <c r="AL135" s="5439"/>
      <c r="AM135" s="5439"/>
      <c r="AN135" s="5439"/>
      <c r="AO135" s="5439"/>
      <c r="AP135" s="5439"/>
      <c r="AQ135" s="5439"/>
      <c r="AR135" s="5435"/>
      <c r="AS135" s="5436"/>
      <c r="AT135" s="5436"/>
      <c r="AU135" s="5436"/>
      <c r="AV135" s="5436"/>
      <c r="AW135" s="5436"/>
      <c r="AX135" s="5436"/>
      <c r="AY135" s="5436"/>
      <c r="AZ135" s="5436"/>
      <c r="BA135" s="5436"/>
      <c r="BB135" s="5437"/>
      <c r="BC135" s="5440"/>
      <c r="BD135" s="1982" t="s">
        <v>560</v>
      </c>
      <c r="BE135" s="1935"/>
      <c r="BF135" s="1983"/>
      <c r="BG135" s="1983" t="str">
        <f t="shared" si="2"/>
        <v>Наименование признака дифференциации</v>
      </c>
      <c r="BH135" s="1983"/>
      <c r="BI135" s="1983"/>
    </row>
    <row r="136" spans="1:61" s="4965" customFormat="1" ht="23.25" customHeight="1">
      <c r="A136" s="1973"/>
      <c r="B136" s="1973"/>
      <c r="C136" s="1973"/>
      <c r="D136" s="1973"/>
      <c r="E136" s="5377"/>
      <c r="F136" s="5377"/>
      <c r="G136" s="5377" t="s">
        <v>100</v>
      </c>
      <c r="H136" s="5377"/>
      <c r="I136" s="5397"/>
      <c r="J136" s="5374" t="str">
        <f>I135&amp;".1"</f>
        <v>1.4.3.1.1</v>
      </c>
      <c r="K136" s="1973"/>
      <c r="L136" s="1974" t="s">
        <v>484</v>
      </c>
      <c r="M136" s="1986"/>
      <c r="N136" s="1986"/>
      <c r="O136" s="1986"/>
      <c r="P136" s="5375"/>
      <c r="Q136" s="5375">
        <v>1</v>
      </c>
      <c r="R136" s="1990"/>
      <c r="S136" s="1979" t="str">
        <f>$J136</f>
        <v>1.4.3.1.1</v>
      </c>
      <c r="T136" s="1991" t="s">
        <v>485</v>
      </c>
      <c r="U136" s="1981"/>
      <c r="V136" s="5365"/>
      <c r="W136" s="5366"/>
      <c r="X136" s="5366"/>
      <c r="Y136" s="5366"/>
      <c r="Z136" s="5366"/>
      <c r="AA136" s="5366"/>
      <c r="AB136" s="5366"/>
      <c r="AC136" s="5366"/>
      <c r="AD136" s="5366"/>
      <c r="AE136" s="5366"/>
      <c r="AF136" s="5367"/>
      <c r="AG136" s="5365" t="s">
        <v>619</v>
      </c>
      <c r="AH136" s="5366"/>
      <c r="AI136" s="5366"/>
      <c r="AJ136" s="5366"/>
      <c r="AK136" s="5366"/>
      <c r="AL136" s="5366"/>
      <c r="AM136" s="5366"/>
      <c r="AN136" s="5366"/>
      <c r="AO136" s="5366"/>
      <c r="AP136" s="5366"/>
      <c r="AQ136" s="5366"/>
      <c r="AR136" s="5365"/>
      <c r="AS136" s="5366"/>
      <c r="AT136" s="5366"/>
      <c r="AU136" s="5366"/>
      <c r="AV136" s="5366"/>
      <c r="AW136" s="5366"/>
      <c r="AX136" s="5366"/>
      <c r="AY136" s="5366"/>
      <c r="AZ136" s="5366"/>
      <c r="BA136" s="5366"/>
      <c r="BB136" s="5367"/>
      <c r="BC136" s="5367"/>
      <c r="BD136" s="1992" t="s">
        <v>561</v>
      </c>
      <c r="BE136" s="1935"/>
      <c r="BF136" s="1983"/>
      <c r="BG136" s="1983" t="str">
        <f t="shared" si="2"/>
        <v>Группа потребителей</v>
      </c>
      <c r="BH136" s="1983"/>
      <c r="BI136" s="1983"/>
    </row>
    <row r="137" spans="1:61" s="4966" customFormat="1" ht="23.25" customHeight="1">
      <c r="A137" s="1973"/>
      <c r="B137" s="1973"/>
      <c r="C137" s="1973"/>
      <c r="D137" s="1973"/>
      <c r="E137" s="5377"/>
      <c r="F137" s="5377"/>
      <c r="G137" s="5377" t="s">
        <v>100</v>
      </c>
      <c r="H137" s="5377"/>
      <c r="I137" s="5397"/>
      <c r="J137" s="5397"/>
      <c r="K137" s="5374" t="str">
        <f>J136&amp;".1"</f>
        <v>1.4.3.1.1.1</v>
      </c>
      <c r="L137" s="1974"/>
      <c r="M137" s="1986"/>
      <c r="N137" s="1986"/>
      <c r="O137" s="1986"/>
      <c r="P137" s="5375"/>
      <c r="Q137" s="5375"/>
      <c r="R137" s="1990">
        <v>1</v>
      </c>
      <c r="S137" s="1979" t="str">
        <f>$K137</f>
        <v>1.4.3.1.1.1</v>
      </c>
      <c r="T137" s="1993" t="s">
        <v>625</v>
      </c>
      <c r="U137" s="1981"/>
      <c r="V137" s="1893"/>
      <c r="W137" s="1893"/>
      <c r="X137" s="1893"/>
      <c r="Y137" s="1893"/>
      <c r="Z137" s="1893"/>
      <c r="AA137" s="1893"/>
      <c r="AB137" s="1893"/>
      <c r="AC137" s="5379"/>
      <c r="AD137" s="5225" t="s">
        <v>64</v>
      </c>
      <c r="AE137" s="5379"/>
      <c r="AF137" s="5225" t="s">
        <v>64</v>
      </c>
      <c r="AG137" s="1893"/>
      <c r="AH137" s="1893">
        <v>31.78</v>
      </c>
      <c r="AI137" s="1893"/>
      <c r="AJ137" s="1893"/>
      <c r="AK137" s="1893">
        <v>2585.44</v>
      </c>
      <c r="AL137" s="1893"/>
      <c r="AM137" s="1893"/>
      <c r="AN137" s="5379">
        <v>45292</v>
      </c>
      <c r="AO137" s="5225" t="s">
        <v>64</v>
      </c>
      <c r="AP137" s="5398">
        <v>45473.396493055552</v>
      </c>
      <c r="AQ137" s="5225" t="s">
        <v>64</v>
      </c>
      <c r="AR137" s="1893"/>
      <c r="AS137" s="1893">
        <v>35.65</v>
      </c>
      <c r="AT137" s="1893"/>
      <c r="AU137" s="1893"/>
      <c r="AV137" s="1893">
        <v>3510.91</v>
      </c>
      <c r="AW137" s="1893"/>
      <c r="AX137" s="1893"/>
      <c r="AY137" s="5379">
        <v>45474.492280092592</v>
      </c>
      <c r="AZ137" s="5225" t="s">
        <v>64</v>
      </c>
      <c r="BA137" s="5379">
        <v>45657.397303240738</v>
      </c>
      <c r="BB137" s="5225" t="s">
        <v>64</v>
      </c>
      <c r="BC137" s="1994"/>
      <c r="BD13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37" s="1935" t="e">
        <f ca="1">STRCHECKDATE(V138:BC138)</f>
        <v>#NAME?</v>
      </c>
      <c r="BF137" s="1983"/>
      <c r="BG137" s="1983" t="str">
        <f t="shared" si="2"/>
        <v>МУП "Водоканал"</v>
      </c>
      <c r="BH137" s="1983"/>
      <c r="BI137" s="1983"/>
    </row>
    <row r="138" spans="1:61" s="4967" customFormat="1" ht="14.25" customHeight="1">
      <c r="A138" s="1973"/>
      <c r="B138" s="1973"/>
      <c r="C138" s="1973"/>
      <c r="D138" s="1973"/>
      <c r="E138" s="5377"/>
      <c r="F138" s="5377"/>
      <c r="G138" s="5377" t="s">
        <v>100</v>
      </c>
      <c r="H138" s="5377"/>
      <c r="I138" s="5397"/>
      <c r="J138" s="5397"/>
      <c r="K138" s="5374"/>
      <c r="L138" s="1974"/>
      <c r="M138" s="1986"/>
      <c r="N138" s="1986"/>
      <c r="O138" s="1986"/>
      <c r="P138" s="5375"/>
      <c r="Q138" s="5375"/>
      <c r="R138" s="1990"/>
      <c r="S138" s="1995"/>
      <c r="T138" s="1981"/>
      <c r="U138" s="1981"/>
      <c r="V138" s="1894"/>
      <c r="W138" s="1894"/>
      <c r="X138" s="1894"/>
      <c r="Y138" s="1894"/>
      <c r="Z138" s="1894"/>
      <c r="AA138" s="1894"/>
      <c r="AB138" s="1894"/>
      <c r="AC138" s="5380"/>
      <c r="AD138" s="5225"/>
      <c r="AE138" s="5380"/>
      <c r="AF138" s="5225"/>
      <c r="AG138" s="1894"/>
      <c r="AH138" s="1894"/>
      <c r="AI138" s="1894"/>
      <c r="AJ138" s="1894"/>
      <c r="AK138" s="1894"/>
      <c r="AL138" s="1894"/>
      <c r="AM138" s="1894"/>
      <c r="AN138" s="5380"/>
      <c r="AO138" s="5225"/>
      <c r="AP138" s="5399"/>
      <c r="AQ138" s="5225"/>
      <c r="AR138" s="1894"/>
      <c r="AS138" s="1894"/>
      <c r="AT138" s="1894"/>
      <c r="AU138" s="1894"/>
      <c r="AV138" s="1894"/>
      <c r="AW138" s="1894"/>
      <c r="AX138" s="1894"/>
      <c r="AY138" s="5380"/>
      <c r="AZ138" s="5225"/>
      <c r="BA138" s="5380"/>
      <c r="BB138" s="5225"/>
      <c r="BC138" s="1996"/>
      <c r="BD138" s="5434"/>
      <c r="BE138" s="1935"/>
      <c r="BF138" s="1983"/>
      <c r="BG138" s="1983" t="str">
        <f t="shared" si="2"/>
        <v/>
      </c>
      <c r="BH138" s="1983"/>
      <c r="BI138" s="1983"/>
    </row>
    <row r="139" spans="1:61" s="4968" customFormat="1" ht="21" customHeight="1">
      <c r="A139" s="1973"/>
      <c r="B139" s="1973"/>
      <c r="C139" s="1973"/>
      <c r="D139" s="1973"/>
      <c r="E139" s="5377"/>
      <c r="F139" s="5377"/>
      <c r="G139" s="5377" t="s">
        <v>100</v>
      </c>
      <c r="H139" s="5377"/>
      <c r="I139" s="5397"/>
      <c r="J139" s="5374"/>
      <c r="K139" s="1973"/>
      <c r="L139" s="1974"/>
      <c r="M139" s="1986"/>
      <c r="N139" s="1986"/>
      <c r="O139" s="1986"/>
      <c r="P139" s="5375"/>
      <c r="Q139" s="5375"/>
      <c r="R139" s="1988"/>
      <c r="S139" s="2685"/>
      <c r="T139" s="2686" t="s">
        <v>562</v>
      </c>
      <c r="U139" s="2687"/>
      <c r="V139" s="2688"/>
      <c r="W139" s="2689"/>
      <c r="X139" s="2690"/>
      <c r="Y139" s="2691"/>
      <c r="Z139" s="2692"/>
      <c r="AA139" s="2693"/>
      <c r="AB139" s="2694"/>
      <c r="AC139" s="2695"/>
      <c r="AD139" s="2696"/>
      <c r="AE139" s="2697"/>
      <c r="AF139" s="2698"/>
      <c r="AG139" s="2699"/>
      <c r="AH139" s="2700"/>
      <c r="AI139" s="2701"/>
      <c r="AJ139" s="2702"/>
      <c r="AK139" s="2703"/>
      <c r="AL139" s="2704"/>
      <c r="AM139" s="2705"/>
      <c r="AN139" s="2706"/>
      <c r="AO139" s="2707"/>
      <c r="AP139" s="2708"/>
      <c r="AQ139" s="2709"/>
      <c r="AR139" s="2710"/>
      <c r="AS139" s="2711"/>
      <c r="AT139" s="2712"/>
      <c r="AU139" s="2713"/>
      <c r="AV139" s="2714"/>
      <c r="AW139" s="2715"/>
      <c r="AX139" s="2716"/>
      <c r="AY139" s="2717"/>
      <c r="AZ139" s="2718"/>
      <c r="BA139" s="2719"/>
      <c r="BB139" s="2720"/>
      <c r="BC139" s="2721"/>
      <c r="BD139" s="1982" t="s">
        <v>563</v>
      </c>
      <c r="BE139" s="1935"/>
      <c r="BF139" s="1983"/>
      <c r="BG139" s="1983" t="str">
        <f t="shared" si="2"/>
        <v>Добавить значение признака дифференциации</v>
      </c>
      <c r="BH139" s="1983"/>
      <c r="BI139" s="1983"/>
    </row>
    <row r="140" spans="1:61" s="4969" customFormat="1" ht="23.25" customHeight="1">
      <c r="A140" s="3933"/>
      <c r="B140" s="3933"/>
      <c r="C140" s="3933"/>
      <c r="D140" s="3933"/>
      <c r="E140" s="5377"/>
      <c r="F140" s="5377"/>
      <c r="G140" s="5377"/>
      <c r="H140" s="5377"/>
      <c r="I140" s="5397"/>
      <c r="J140" s="5374" t="str">
        <f>I135&amp;".2"</f>
        <v>1.4.3.1.2</v>
      </c>
      <c r="K140" s="3933"/>
      <c r="L140" s="3934" t="s">
        <v>484</v>
      </c>
      <c r="M140" s="3935"/>
      <c r="N140" s="3935"/>
      <c r="O140" s="3935"/>
      <c r="P140" s="5375"/>
      <c r="Q140" s="5452" t="s">
        <v>101</v>
      </c>
      <c r="R140" s="3937"/>
      <c r="S140" s="3938" t="str">
        <f>$J140</f>
        <v>1.4.3.1.2</v>
      </c>
      <c r="T140" s="3939" t="s">
        <v>485</v>
      </c>
      <c r="U140" s="3940"/>
      <c r="V140" s="5365"/>
      <c r="W140" s="5366"/>
      <c r="X140" s="5366"/>
      <c r="Y140" s="5366"/>
      <c r="Z140" s="5366"/>
      <c r="AA140" s="5366"/>
      <c r="AB140" s="5366"/>
      <c r="AC140" s="5366"/>
      <c r="AD140" s="5366"/>
      <c r="AE140" s="5366"/>
      <c r="AF140" s="5367"/>
      <c r="AG140" s="5365" t="s">
        <v>621</v>
      </c>
      <c r="AH140" s="5366"/>
      <c r="AI140" s="5366"/>
      <c r="AJ140" s="5366"/>
      <c r="AK140" s="5366"/>
      <c r="AL140" s="5366"/>
      <c r="AM140" s="5366"/>
      <c r="AN140" s="5366"/>
      <c r="AO140" s="5366"/>
      <c r="AP140" s="5366"/>
      <c r="AQ140" s="5366"/>
      <c r="AR140" s="5365"/>
      <c r="AS140" s="5366"/>
      <c r="AT140" s="5366"/>
      <c r="AU140" s="5366"/>
      <c r="AV140" s="5366"/>
      <c r="AW140" s="5366"/>
      <c r="AX140" s="5366"/>
      <c r="AY140" s="5366"/>
      <c r="AZ140" s="5366"/>
      <c r="BA140" s="5366"/>
      <c r="BB140" s="5453"/>
      <c r="BC140" s="5367"/>
      <c r="BD140" s="3941" t="s">
        <v>561</v>
      </c>
      <c r="BE140" s="3942"/>
      <c r="BF140" s="3943"/>
      <c r="BG140" s="3943" t="str">
        <f t="shared" si="2"/>
        <v>Группа потребителей</v>
      </c>
      <c r="BH140" s="3943"/>
      <c r="BI140" s="3943"/>
    </row>
    <row r="141" spans="1:61" s="4970" customFormat="1" ht="23.25" customHeight="1">
      <c r="A141" s="3933"/>
      <c r="B141" s="3933"/>
      <c r="C141" s="3933"/>
      <c r="D141" s="3933"/>
      <c r="E141" s="5377"/>
      <c r="F141" s="5377"/>
      <c r="G141" s="5377"/>
      <c r="H141" s="5377"/>
      <c r="I141" s="5397"/>
      <c r="J141" s="5397" t="str">
        <f>I135&amp;".1"</f>
        <v>1.4.3.1.1</v>
      </c>
      <c r="K141" s="5374" t="str">
        <f>J140&amp;".1"</f>
        <v>1.4.3.1.2.1</v>
      </c>
      <c r="L141" s="3934"/>
      <c r="M141" s="3935"/>
      <c r="N141" s="3935"/>
      <c r="O141" s="3935"/>
      <c r="P141" s="5375"/>
      <c r="Q141" s="5375"/>
      <c r="R141" s="3937">
        <v>1</v>
      </c>
      <c r="S141" s="3938" t="str">
        <f>$K141</f>
        <v>1.4.3.1.2.1</v>
      </c>
      <c r="T141" s="3944" t="s">
        <v>625</v>
      </c>
      <c r="U141" s="3940"/>
      <c r="V141" s="3931"/>
      <c r="W141" s="3931"/>
      <c r="X141" s="3931"/>
      <c r="Y141" s="3931"/>
      <c r="Z141" s="3931"/>
      <c r="AA141" s="3931"/>
      <c r="AB141" s="3931"/>
      <c r="AC141" s="5379"/>
      <c r="AD141" s="5225" t="s">
        <v>64</v>
      </c>
      <c r="AE141" s="5379"/>
      <c r="AF141" s="5225" t="s">
        <v>64</v>
      </c>
      <c r="AG141" s="3931"/>
      <c r="AH141" s="3931">
        <v>31.78</v>
      </c>
      <c r="AI141" s="3931"/>
      <c r="AJ141" s="3931"/>
      <c r="AK141" s="3931">
        <v>2036.95</v>
      </c>
      <c r="AL141" s="3931"/>
      <c r="AM141" s="3931"/>
      <c r="AN141" s="5379">
        <v>45292</v>
      </c>
      <c r="AO141" s="5225" t="s">
        <v>64</v>
      </c>
      <c r="AP141" s="5398">
        <v>45473.396493055552</v>
      </c>
      <c r="AQ141" s="5225" t="s">
        <v>64</v>
      </c>
      <c r="AR141" s="3931"/>
      <c r="AS141" s="3931">
        <v>35.65</v>
      </c>
      <c r="AT141" s="3931"/>
      <c r="AU141" s="3931"/>
      <c r="AV141" s="3931">
        <v>2383.23</v>
      </c>
      <c r="AW141" s="3931"/>
      <c r="AX141" s="3931"/>
      <c r="AY141" s="5379">
        <v>45474.492280092592</v>
      </c>
      <c r="AZ141" s="5225" t="s">
        <v>64</v>
      </c>
      <c r="BA141" s="5379">
        <v>45657.397303240738</v>
      </c>
      <c r="BB141" s="5451" t="s">
        <v>64</v>
      </c>
      <c r="BC141" s="3945"/>
      <c r="BD141"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41" s="3942" t="e">
        <f ca="1">STRCHECKDATE(V142:BC142)</f>
        <v>#NAME?</v>
      </c>
      <c r="BF141" s="3943"/>
      <c r="BG141" s="3943" t="str">
        <f t="shared" si="2"/>
        <v>МУП "Водоканал"</v>
      </c>
      <c r="BH141" s="3943"/>
      <c r="BI141" s="3943"/>
    </row>
    <row r="142" spans="1:61" s="4971" customFormat="1" ht="14.25" customHeight="1">
      <c r="A142" s="3933"/>
      <c r="B142" s="3933"/>
      <c r="C142" s="3933"/>
      <c r="D142" s="3933"/>
      <c r="E142" s="5377"/>
      <c r="F142" s="5377"/>
      <c r="G142" s="5377"/>
      <c r="H142" s="5377"/>
      <c r="I142" s="5397"/>
      <c r="J142" s="5397" t="str">
        <f>I135&amp;".1"</f>
        <v>1.4.3.1.1</v>
      </c>
      <c r="K142" s="5374"/>
      <c r="L142" s="3934"/>
      <c r="M142" s="3935"/>
      <c r="N142" s="3935"/>
      <c r="O142" s="3935"/>
      <c r="P142" s="5375"/>
      <c r="Q142" s="5375"/>
      <c r="R142" s="3937"/>
      <c r="S142" s="3946"/>
      <c r="T142" s="3940"/>
      <c r="U142" s="3940"/>
      <c r="V142" s="3932"/>
      <c r="W142" s="3932"/>
      <c r="X142" s="3932"/>
      <c r="Y142" s="3932"/>
      <c r="Z142" s="3932"/>
      <c r="AA142" s="3932"/>
      <c r="AB142" s="3932"/>
      <c r="AC142" s="5380"/>
      <c r="AD142" s="5225"/>
      <c r="AE142" s="5380"/>
      <c r="AF142" s="5225"/>
      <c r="AG142" s="3932"/>
      <c r="AH142" s="3932"/>
      <c r="AI142" s="3932"/>
      <c r="AJ142" s="3932"/>
      <c r="AK142" s="3932"/>
      <c r="AL142" s="3932"/>
      <c r="AM142" s="3932"/>
      <c r="AN142" s="5380"/>
      <c r="AO142" s="5225"/>
      <c r="AP142" s="5399"/>
      <c r="AQ142" s="5225"/>
      <c r="AR142" s="3932"/>
      <c r="AS142" s="3932"/>
      <c r="AT142" s="3932"/>
      <c r="AU142" s="3932"/>
      <c r="AV142" s="3932"/>
      <c r="AW142" s="3932"/>
      <c r="AX142" s="3932"/>
      <c r="AY142" s="5380"/>
      <c r="AZ142" s="5225"/>
      <c r="BA142" s="5380"/>
      <c r="BB142" s="5451"/>
      <c r="BC142" s="3947"/>
      <c r="BD142" s="5434"/>
      <c r="BE142" s="3942"/>
      <c r="BF142" s="3943"/>
      <c r="BG142" s="3943" t="str">
        <f t="shared" si="2"/>
        <v/>
      </c>
      <c r="BH142" s="3943"/>
      <c r="BI142" s="3943"/>
    </row>
    <row r="143" spans="1:61" s="4972" customFormat="1" ht="21" customHeight="1">
      <c r="A143" s="3933"/>
      <c r="B143" s="3933"/>
      <c r="C143" s="3933"/>
      <c r="D143" s="3933"/>
      <c r="E143" s="5377"/>
      <c r="F143" s="5377"/>
      <c r="G143" s="5377"/>
      <c r="H143" s="5377"/>
      <c r="I143" s="5397"/>
      <c r="J143" s="5374" t="str">
        <f>I135&amp;".1"</f>
        <v>1.4.3.1.1</v>
      </c>
      <c r="K143" s="3933"/>
      <c r="L143" s="3934"/>
      <c r="M143" s="3935"/>
      <c r="N143" s="3935"/>
      <c r="O143" s="3935"/>
      <c r="P143" s="5375"/>
      <c r="Q143" s="5375"/>
      <c r="R143" s="3948"/>
      <c r="S143" s="4209"/>
      <c r="T143" s="4210" t="s">
        <v>562</v>
      </c>
      <c r="U143" s="4211"/>
      <c r="V143" s="4212"/>
      <c r="W143" s="4213"/>
      <c r="X143" s="4214"/>
      <c r="Y143" s="4215"/>
      <c r="Z143" s="4216"/>
      <c r="AA143" s="4217"/>
      <c r="AB143" s="4218"/>
      <c r="AC143" s="4219"/>
      <c r="AD143" s="4220"/>
      <c r="AE143" s="4221"/>
      <c r="AF143" s="4222"/>
      <c r="AG143" s="4223"/>
      <c r="AH143" s="4224"/>
      <c r="AI143" s="4225"/>
      <c r="AJ143" s="4226"/>
      <c r="AK143" s="4227"/>
      <c r="AL143" s="4228"/>
      <c r="AM143" s="4229"/>
      <c r="AN143" s="4230"/>
      <c r="AO143" s="4231"/>
      <c r="AP143" s="4232"/>
      <c r="AQ143" s="4233"/>
      <c r="AR143" s="4234"/>
      <c r="AS143" s="4235"/>
      <c r="AT143" s="4236"/>
      <c r="AU143" s="4237"/>
      <c r="AV143" s="4238"/>
      <c r="AW143" s="4239"/>
      <c r="AX143" s="4240"/>
      <c r="AY143" s="4241"/>
      <c r="AZ143" s="4242"/>
      <c r="BA143" s="4243"/>
      <c r="BB143" s="4244"/>
      <c r="BC143" s="4245"/>
      <c r="BD143" s="3986" t="s">
        <v>563</v>
      </c>
      <c r="BE143" s="3942"/>
      <c r="BF143" s="3943"/>
      <c r="BG143" s="3943" t="str">
        <f t="shared" si="2"/>
        <v>Добавить значение признака дифференциации</v>
      </c>
      <c r="BH143" s="3943"/>
      <c r="BI143" s="3943"/>
    </row>
    <row r="144" spans="1:61" s="4973" customFormat="1" ht="21" customHeight="1">
      <c r="A144" s="1973"/>
      <c r="B144" s="1973"/>
      <c r="C144" s="1973"/>
      <c r="D144" s="1973"/>
      <c r="E144" s="5377"/>
      <c r="F144" s="5377"/>
      <c r="G144" s="5377" t="s">
        <v>100</v>
      </c>
      <c r="H144" s="5377"/>
      <c r="I144" s="5374"/>
      <c r="J144" s="1973"/>
      <c r="K144" s="1973"/>
      <c r="L144" s="1974"/>
      <c r="M144" s="1986"/>
      <c r="N144" s="1986"/>
      <c r="O144" s="1986"/>
      <c r="P144" s="5375"/>
      <c r="Q144" s="1987"/>
      <c r="R144" s="1988"/>
      <c r="S144" s="2722"/>
      <c r="T144" s="2723" t="s">
        <v>490</v>
      </c>
      <c r="U144" s="2724"/>
      <c r="V144" s="2725"/>
      <c r="W144" s="2726"/>
      <c r="X144" s="2727"/>
      <c r="Y144" s="2728"/>
      <c r="Z144" s="2729"/>
      <c r="AA144" s="2730"/>
      <c r="AB144" s="2731"/>
      <c r="AC144" s="2732"/>
      <c r="AD144" s="2733"/>
      <c r="AE144" s="2734"/>
      <c r="AF144" s="2735"/>
      <c r="AG144" s="2736"/>
      <c r="AH144" s="2737"/>
      <c r="AI144" s="2738"/>
      <c r="AJ144" s="2739"/>
      <c r="AK144" s="2740"/>
      <c r="AL144" s="2741"/>
      <c r="AM144" s="2742"/>
      <c r="AN144" s="2743"/>
      <c r="AO144" s="2744"/>
      <c r="AP144" s="2745"/>
      <c r="AQ144" s="2746"/>
      <c r="AR144" s="2747"/>
      <c r="AS144" s="2748"/>
      <c r="AT144" s="2749"/>
      <c r="AU144" s="2750"/>
      <c r="AV144" s="2751"/>
      <c r="AW144" s="2752"/>
      <c r="AX144" s="2753"/>
      <c r="AY144" s="2754"/>
      <c r="AZ144" s="2755"/>
      <c r="BA144" s="2756"/>
      <c r="BB144" s="2757"/>
      <c r="BC144" s="2758"/>
      <c r="BD144" s="2759"/>
      <c r="BE144" s="1935"/>
      <c r="BF144" s="1983"/>
      <c r="BG144" s="1983" t="str">
        <f t="shared" si="2"/>
        <v>Добавить группу потребителей</v>
      </c>
      <c r="BH144" s="1983"/>
      <c r="BI144" s="1983"/>
    </row>
    <row r="145" spans="1:61" s="4974" customFormat="1" ht="21" customHeight="1">
      <c r="A145" s="1973"/>
      <c r="B145" s="1973"/>
      <c r="C145" s="1973"/>
      <c r="D145" s="1973"/>
      <c r="E145" s="5377"/>
      <c r="F145" s="5377"/>
      <c r="G145" s="5377" t="s">
        <v>100</v>
      </c>
      <c r="H145" s="5376"/>
      <c r="I145" s="1973"/>
      <c r="J145" s="1973"/>
      <c r="K145" s="1973"/>
      <c r="L145" s="1974"/>
      <c r="M145" s="1975"/>
      <c r="N145" s="1975"/>
      <c r="O145" s="1929"/>
      <c r="P145" s="2072"/>
      <c r="Q145" s="2073"/>
      <c r="R145" s="2074"/>
      <c r="S145" s="2760"/>
      <c r="T145" s="2761" t="s">
        <v>564</v>
      </c>
      <c r="U145" s="2762"/>
      <c r="V145" s="2763"/>
      <c r="W145" s="2764"/>
      <c r="X145" s="2765"/>
      <c r="Y145" s="2766"/>
      <c r="Z145" s="2767"/>
      <c r="AA145" s="2768"/>
      <c r="AB145" s="2769"/>
      <c r="AC145" s="2770"/>
      <c r="AD145" s="2771"/>
      <c r="AE145" s="2772"/>
      <c r="AF145" s="2773"/>
      <c r="AG145" s="2774"/>
      <c r="AH145" s="2775"/>
      <c r="AI145" s="2776"/>
      <c r="AJ145" s="2777"/>
      <c r="AK145" s="2778"/>
      <c r="AL145" s="2779"/>
      <c r="AM145" s="2780"/>
      <c r="AN145" s="2781"/>
      <c r="AO145" s="2782"/>
      <c r="AP145" s="2783"/>
      <c r="AQ145" s="2784"/>
      <c r="AR145" s="2785"/>
      <c r="AS145" s="2786"/>
      <c r="AT145" s="2787"/>
      <c r="AU145" s="2788"/>
      <c r="AV145" s="2789"/>
      <c r="AW145" s="2790"/>
      <c r="AX145" s="2791"/>
      <c r="AY145" s="2792"/>
      <c r="AZ145" s="2793"/>
      <c r="BA145" s="2794"/>
      <c r="BB145" s="2795"/>
      <c r="BC145" s="2796"/>
      <c r="BD145" s="2797"/>
      <c r="BE145" s="1935"/>
      <c r="BF145" s="1983"/>
      <c r="BG145" s="1983" t="str">
        <f t="shared" si="2"/>
        <v>Добавить наименование признака дифференциации</v>
      </c>
      <c r="BH145" s="1983"/>
      <c r="BI145" s="1983"/>
    </row>
    <row r="146" spans="1:61" s="4975" customFormat="1" ht="23.25" customHeight="1">
      <c r="A146" s="1973"/>
      <c r="B146" s="1973"/>
      <c r="C146" s="1973" t="s">
        <v>297</v>
      </c>
      <c r="D146" s="1973"/>
      <c r="E146" s="5377"/>
      <c r="F146" s="5377"/>
      <c r="G146" s="5376" t="s">
        <v>88</v>
      </c>
      <c r="H146" s="1973"/>
      <c r="I146" s="1973"/>
      <c r="J146" s="1973"/>
      <c r="K146" s="1973"/>
      <c r="L146" s="1974"/>
      <c r="M146" s="1975"/>
      <c r="N146" s="1975"/>
      <c r="O146" s="1975"/>
      <c r="P146" s="1984"/>
      <c r="Q146" s="1977"/>
      <c r="R146" s="1978"/>
      <c r="S146" s="1979" t="str">
        <f>INDEX(PT_DIFFERENTIATION_NUM_CS,MATCH(C146,PT_DIFFERENTIATION_CS_ID,0))</f>
        <v>1.4.4</v>
      </c>
      <c r="T146" s="1985" t="s">
        <v>606</v>
      </c>
      <c r="U146" s="1981"/>
      <c r="V146" s="5362"/>
      <c r="W146" s="5363"/>
      <c r="X146" s="5363"/>
      <c r="Y146" s="5363"/>
      <c r="Z146" s="5363"/>
      <c r="AA146" s="5363"/>
      <c r="AB146" s="5363"/>
      <c r="AC146" s="5363"/>
      <c r="AD146" s="5363"/>
      <c r="AE146" s="5363"/>
      <c r="AF146" s="5364"/>
      <c r="AG146" s="5362" t="str">
        <f>INDEX(PT_DIFFERENTIATION_CS,MATCH(C146,PT_DIFFERENTIATION_CS_ID,0))</f>
        <v>г.Сергиев Посад, Академика Силина, 3</v>
      </c>
      <c r="AH146" s="5363"/>
      <c r="AI146" s="5363"/>
      <c r="AJ146" s="5363"/>
      <c r="AK146" s="5363"/>
      <c r="AL146" s="5363"/>
      <c r="AM146" s="5363"/>
      <c r="AN146" s="5363"/>
      <c r="AO146" s="5363"/>
      <c r="AP146" s="5363"/>
      <c r="AQ146" s="5363"/>
      <c r="AR146" s="5362"/>
      <c r="AS146" s="5363"/>
      <c r="AT146" s="5363"/>
      <c r="AU146" s="5363"/>
      <c r="AV146" s="5363"/>
      <c r="AW146" s="5363"/>
      <c r="AX146" s="5363"/>
      <c r="AY146" s="5363"/>
      <c r="AZ146" s="5363"/>
      <c r="BA146" s="5363"/>
      <c r="BB146" s="5364"/>
      <c r="BC146" s="5364"/>
      <c r="BD146" s="1982" t="s">
        <v>607</v>
      </c>
      <c r="BE146" s="1935"/>
      <c r="BF146" s="1983"/>
      <c r="BG146" s="1983" t="str">
        <f t="shared" si="2"/>
        <v>Наименование централизованной системы горячего водоснабжения</v>
      </c>
      <c r="BH146" s="1983"/>
      <c r="BI146" s="1983"/>
    </row>
    <row r="147" spans="1:61" s="4976" customFormat="1" ht="23.25" customHeight="1">
      <c r="A147" s="1973"/>
      <c r="B147" s="1973"/>
      <c r="C147" s="1973"/>
      <c r="D147" s="1973"/>
      <c r="E147" s="5377"/>
      <c r="F147" s="5377"/>
      <c r="G147" s="5377" t="s">
        <v>87</v>
      </c>
      <c r="H147" s="5377"/>
      <c r="I147" s="5374" t="str">
        <f>S146&amp;".1"</f>
        <v>1.4.4.1</v>
      </c>
      <c r="J147" s="1973"/>
      <c r="K147" s="1973"/>
      <c r="L147" s="1974"/>
      <c r="M147" s="1986"/>
      <c r="N147" s="1986"/>
      <c r="O147" s="1986"/>
      <c r="P147" s="5375">
        <v>1</v>
      </c>
      <c r="Q147" s="1987"/>
      <c r="R147" s="1988"/>
      <c r="S147" s="1979" t="str">
        <f>$I147</f>
        <v>1.4.4.1</v>
      </c>
      <c r="T147" s="1989" t="s">
        <v>559</v>
      </c>
      <c r="U147" s="1981"/>
      <c r="V147" s="5435"/>
      <c r="W147" s="5436"/>
      <c r="X147" s="5436"/>
      <c r="Y147" s="5436"/>
      <c r="Z147" s="5436"/>
      <c r="AA147" s="5436"/>
      <c r="AB147" s="5436"/>
      <c r="AC147" s="5436"/>
      <c r="AD147" s="5436"/>
      <c r="AE147" s="5436"/>
      <c r="AF147" s="5437"/>
      <c r="AG147" s="5438"/>
      <c r="AH147" s="5439"/>
      <c r="AI147" s="5439"/>
      <c r="AJ147" s="5439"/>
      <c r="AK147" s="5439"/>
      <c r="AL147" s="5439"/>
      <c r="AM147" s="5439"/>
      <c r="AN147" s="5439"/>
      <c r="AO147" s="5439"/>
      <c r="AP147" s="5439"/>
      <c r="AQ147" s="5439"/>
      <c r="AR147" s="5435"/>
      <c r="AS147" s="5436"/>
      <c r="AT147" s="5436"/>
      <c r="AU147" s="5436"/>
      <c r="AV147" s="5436"/>
      <c r="AW147" s="5436"/>
      <c r="AX147" s="5436"/>
      <c r="AY147" s="5436"/>
      <c r="AZ147" s="5436"/>
      <c r="BA147" s="5436"/>
      <c r="BB147" s="5437"/>
      <c r="BC147" s="5440"/>
      <c r="BD147" s="1982" t="s">
        <v>560</v>
      </c>
      <c r="BE147" s="1935"/>
      <c r="BF147" s="1983"/>
      <c r="BG147" s="1983" t="str">
        <f t="shared" si="2"/>
        <v>Наименование признака дифференциации</v>
      </c>
      <c r="BH147" s="1983"/>
      <c r="BI147" s="1983"/>
    </row>
    <row r="148" spans="1:61" s="4977" customFormat="1" ht="23.25" customHeight="1">
      <c r="A148" s="1973"/>
      <c r="B148" s="1973"/>
      <c r="C148" s="1973"/>
      <c r="D148" s="1973"/>
      <c r="E148" s="5377"/>
      <c r="F148" s="5377"/>
      <c r="G148" s="5377" t="s">
        <v>87</v>
      </c>
      <c r="H148" s="5377"/>
      <c r="I148" s="5397"/>
      <c r="J148" s="5374" t="str">
        <f>I147&amp;".1"</f>
        <v>1.4.4.1.1</v>
      </c>
      <c r="K148" s="1973"/>
      <c r="L148" s="1974" t="s">
        <v>484</v>
      </c>
      <c r="M148" s="1986"/>
      <c r="N148" s="1986"/>
      <c r="O148" s="1986"/>
      <c r="P148" s="5375"/>
      <c r="Q148" s="5375">
        <v>1</v>
      </c>
      <c r="R148" s="1990"/>
      <c r="S148" s="1979" t="str">
        <f>$J148</f>
        <v>1.4.4.1.1</v>
      </c>
      <c r="T148" s="1991" t="s">
        <v>485</v>
      </c>
      <c r="U148" s="1981"/>
      <c r="V148" s="5365"/>
      <c r="W148" s="5366"/>
      <c r="X148" s="5366"/>
      <c r="Y148" s="5366"/>
      <c r="Z148" s="5366"/>
      <c r="AA148" s="5366"/>
      <c r="AB148" s="5366"/>
      <c r="AC148" s="5366"/>
      <c r="AD148" s="5366"/>
      <c r="AE148" s="5366"/>
      <c r="AF148" s="5367"/>
      <c r="AG148" s="5365" t="s">
        <v>619</v>
      </c>
      <c r="AH148" s="5366"/>
      <c r="AI148" s="5366"/>
      <c r="AJ148" s="5366"/>
      <c r="AK148" s="5366"/>
      <c r="AL148" s="5366"/>
      <c r="AM148" s="5366"/>
      <c r="AN148" s="5366"/>
      <c r="AO148" s="5366"/>
      <c r="AP148" s="5366"/>
      <c r="AQ148" s="5366"/>
      <c r="AR148" s="5365"/>
      <c r="AS148" s="5366"/>
      <c r="AT148" s="5366"/>
      <c r="AU148" s="5366"/>
      <c r="AV148" s="5366"/>
      <c r="AW148" s="5366"/>
      <c r="AX148" s="5366"/>
      <c r="AY148" s="5366"/>
      <c r="AZ148" s="5366"/>
      <c r="BA148" s="5366"/>
      <c r="BB148" s="5367"/>
      <c r="BC148" s="5367"/>
      <c r="BD148" s="1992" t="s">
        <v>561</v>
      </c>
      <c r="BE148" s="1935"/>
      <c r="BF148" s="1983"/>
      <c r="BG148" s="1983" t="str">
        <f t="shared" si="2"/>
        <v>Группа потребителей</v>
      </c>
      <c r="BH148" s="1983"/>
      <c r="BI148" s="1983"/>
    </row>
    <row r="149" spans="1:61" s="4978" customFormat="1" ht="23.25" customHeight="1">
      <c r="A149" s="1973"/>
      <c r="B149" s="1973"/>
      <c r="C149" s="1973"/>
      <c r="D149" s="1973"/>
      <c r="E149" s="5377"/>
      <c r="F149" s="5377"/>
      <c r="G149" s="5377" t="s">
        <v>87</v>
      </c>
      <c r="H149" s="5377"/>
      <c r="I149" s="5397"/>
      <c r="J149" s="5397"/>
      <c r="K149" s="5374" t="str">
        <f>J148&amp;".1"</f>
        <v>1.4.4.1.1.1</v>
      </c>
      <c r="L149" s="1974"/>
      <c r="M149" s="1986"/>
      <c r="N149" s="1986"/>
      <c r="O149" s="1986"/>
      <c r="P149" s="5375"/>
      <c r="Q149" s="5375"/>
      <c r="R149" s="1990">
        <v>1</v>
      </c>
      <c r="S149" s="1979" t="str">
        <f>$K149</f>
        <v>1.4.4.1.1.1</v>
      </c>
      <c r="T149" s="1993" t="s">
        <v>625</v>
      </c>
      <c r="U149" s="1981"/>
      <c r="V149" s="3931"/>
      <c r="W149" s="3931"/>
      <c r="X149" s="3931"/>
      <c r="Y149" s="3931"/>
      <c r="Z149" s="3931"/>
      <c r="AA149" s="3931"/>
      <c r="AB149" s="3931"/>
      <c r="AC149" s="5379"/>
      <c r="AD149" s="5225" t="s">
        <v>64</v>
      </c>
      <c r="AE149" s="5398"/>
      <c r="AF149" s="5225" t="s">
        <v>64</v>
      </c>
      <c r="AG149" s="1893"/>
      <c r="AH149" s="1893">
        <v>24.84</v>
      </c>
      <c r="AI149" s="1893"/>
      <c r="AJ149" s="1893"/>
      <c r="AK149" s="1893">
        <v>2585.44</v>
      </c>
      <c r="AL149" s="1893"/>
      <c r="AM149" s="1893"/>
      <c r="AN149" s="5379">
        <v>45292.396319444444</v>
      </c>
      <c r="AO149" s="5225" t="s">
        <v>64</v>
      </c>
      <c r="AP149" s="5398">
        <v>45473.396493055552</v>
      </c>
      <c r="AQ149" s="5225" t="s">
        <v>64</v>
      </c>
      <c r="AR149" s="3931"/>
      <c r="AS149" s="3931">
        <v>27.05</v>
      </c>
      <c r="AT149" s="3931"/>
      <c r="AU149" s="3931"/>
      <c r="AV149" s="3931">
        <v>3510.91</v>
      </c>
      <c r="AW149" s="3931"/>
      <c r="AX149" s="3931"/>
      <c r="AY149" s="5379">
        <v>45474.397222222222</v>
      </c>
      <c r="AZ149" s="5225" t="s">
        <v>64</v>
      </c>
      <c r="BA149" s="5398">
        <v>45657.397303240738</v>
      </c>
      <c r="BB149" s="5451" t="s">
        <v>64</v>
      </c>
      <c r="BC149" s="1994"/>
      <c r="BD149"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49" s="1935" t="e">
        <f ca="1">STRCHECKDATE(V150:BC150)</f>
        <v>#NAME?</v>
      </c>
      <c r="BF149" s="1983"/>
      <c r="BG149" s="1983" t="str">
        <f t="shared" si="2"/>
        <v>МУП "Водоканал"</v>
      </c>
      <c r="BH149" s="1983"/>
      <c r="BI149" s="1983"/>
    </row>
    <row r="150" spans="1:61" s="4979" customFormat="1" ht="14.25" customHeight="1">
      <c r="A150" s="1973"/>
      <c r="B150" s="1973"/>
      <c r="C150" s="1973"/>
      <c r="D150" s="1973"/>
      <c r="E150" s="5377"/>
      <c r="F150" s="5377"/>
      <c r="G150" s="5377" t="s">
        <v>87</v>
      </c>
      <c r="H150" s="5377"/>
      <c r="I150" s="5397"/>
      <c r="J150" s="5397"/>
      <c r="K150" s="5374"/>
      <c r="L150" s="1974"/>
      <c r="M150" s="1986"/>
      <c r="N150" s="1986"/>
      <c r="O150" s="1986"/>
      <c r="P150" s="5375"/>
      <c r="Q150" s="5375"/>
      <c r="R150" s="1990"/>
      <c r="S150" s="1995"/>
      <c r="T150" s="1981"/>
      <c r="U150" s="1981"/>
      <c r="V150" s="3932"/>
      <c r="W150" s="3932"/>
      <c r="X150" s="3932"/>
      <c r="Y150" s="3932"/>
      <c r="Z150" s="3932"/>
      <c r="AA150" s="3932"/>
      <c r="AB150" s="3932"/>
      <c r="AC150" s="5380"/>
      <c r="AD150" s="5225"/>
      <c r="AE150" s="5399"/>
      <c r="AF150" s="5225"/>
      <c r="AG150" s="1894"/>
      <c r="AH150" s="1894"/>
      <c r="AI150" s="1894"/>
      <c r="AJ150" s="1894"/>
      <c r="AK150" s="1894"/>
      <c r="AL150" s="1894"/>
      <c r="AM150" s="1894"/>
      <c r="AN150" s="5380"/>
      <c r="AO150" s="5225"/>
      <c r="AP150" s="5399"/>
      <c r="AQ150" s="5225"/>
      <c r="AR150" s="3932"/>
      <c r="AS150" s="3932"/>
      <c r="AT150" s="3932"/>
      <c r="AU150" s="3932"/>
      <c r="AV150" s="3932"/>
      <c r="AW150" s="3932"/>
      <c r="AX150" s="3932"/>
      <c r="AY150" s="5380"/>
      <c r="AZ150" s="5225"/>
      <c r="BA150" s="5399"/>
      <c r="BB150" s="5451"/>
      <c r="BC150" s="1996"/>
      <c r="BD150" s="5434"/>
      <c r="BE150" s="1935"/>
      <c r="BF150" s="1983"/>
      <c r="BG150" s="1983" t="str">
        <f t="shared" si="2"/>
        <v/>
      </c>
      <c r="BH150" s="1983"/>
      <c r="BI150" s="1983"/>
    </row>
    <row r="151" spans="1:61" s="4980" customFormat="1" ht="21" customHeight="1">
      <c r="A151" s="1973"/>
      <c r="B151" s="1973"/>
      <c r="C151" s="1973"/>
      <c r="D151" s="1973"/>
      <c r="E151" s="5377"/>
      <c r="F151" s="5377"/>
      <c r="G151" s="5377" t="s">
        <v>87</v>
      </c>
      <c r="H151" s="5377"/>
      <c r="I151" s="5397"/>
      <c r="J151" s="5374"/>
      <c r="K151" s="1973"/>
      <c r="L151" s="1974"/>
      <c r="M151" s="1986"/>
      <c r="N151" s="1986"/>
      <c r="O151" s="1986"/>
      <c r="P151" s="5375"/>
      <c r="Q151" s="5375"/>
      <c r="R151" s="1988"/>
      <c r="S151" s="2798"/>
      <c r="T151" s="2799" t="s">
        <v>562</v>
      </c>
      <c r="U151" s="2800"/>
      <c r="V151" s="2801"/>
      <c r="W151" s="2802"/>
      <c r="X151" s="2803"/>
      <c r="Y151" s="2804"/>
      <c r="Z151" s="2805"/>
      <c r="AA151" s="2806"/>
      <c r="AB151" s="2807"/>
      <c r="AC151" s="2808"/>
      <c r="AD151" s="2809"/>
      <c r="AE151" s="2810"/>
      <c r="AF151" s="2811"/>
      <c r="AG151" s="2812"/>
      <c r="AH151" s="2813"/>
      <c r="AI151" s="2814"/>
      <c r="AJ151" s="2815"/>
      <c r="AK151" s="2816"/>
      <c r="AL151" s="2817"/>
      <c r="AM151" s="2818"/>
      <c r="AN151" s="2819"/>
      <c r="AO151" s="2820"/>
      <c r="AP151" s="2821"/>
      <c r="AQ151" s="2822"/>
      <c r="AR151" s="2823"/>
      <c r="AS151" s="2824"/>
      <c r="AT151" s="2825"/>
      <c r="AU151" s="2826"/>
      <c r="AV151" s="2827"/>
      <c r="AW151" s="2828"/>
      <c r="AX151" s="2829"/>
      <c r="AY151" s="2830"/>
      <c r="AZ151" s="2831"/>
      <c r="BA151" s="2832"/>
      <c r="BB151" s="2833"/>
      <c r="BC151" s="2834"/>
      <c r="BD151" s="1982" t="s">
        <v>563</v>
      </c>
      <c r="BE151" s="1935"/>
      <c r="BF151" s="1983"/>
      <c r="BG151" s="1983" t="str">
        <f t="shared" si="2"/>
        <v>Добавить значение признака дифференциации</v>
      </c>
      <c r="BH151" s="1983"/>
      <c r="BI151" s="1983"/>
    </row>
    <row r="152" spans="1:61" s="4981" customFormat="1" ht="23.25" customHeight="1">
      <c r="A152" s="3933"/>
      <c r="B152" s="3933"/>
      <c r="C152" s="3933"/>
      <c r="D152" s="3933"/>
      <c r="E152" s="5377"/>
      <c r="F152" s="5377"/>
      <c r="G152" s="5377"/>
      <c r="H152" s="5377"/>
      <c r="I152" s="5397"/>
      <c r="J152" s="5374" t="str">
        <f>I147&amp;".2"</f>
        <v>1.4.4.1.2</v>
      </c>
      <c r="K152" s="3933"/>
      <c r="L152" s="3934" t="s">
        <v>484</v>
      </c>
      <c r="M152" s="3935"/>
      <c r="N152" s="3935"/>
      <c r="O152" s="3935"/>
      <c r="P152" s="5375"/>
      <c r="Q152" s="5452" t="s">
        <v>101</v>
      </c>
      <c r="R152" s="3937"/>
      <c r="S152" s="3938" t="str">
        <f>$J152</f>
        <v>1.4.4.1.2</v>
      </c>
      <c r="T152" s="3939" t="s">
        <v>485</v>
      </c>
      <c r="U152" s="3940"/>
      <c r="V152" s="5365"/>
      <c r="W152" s="5366"/>
      <c r="X152" s="5366"/>
      <c r="Y152" s="5366"/>
      <c r="Z152" s="5366"/>
      <c r="AA152" s="5366"/>
      <c r="AB152" s="5366"/>
      <c r="AC152" s="5366"/>
      <c r="AD152" s="5366"/>
      <c r="AE152" s="5366"/>
      <c r="AF152" s="5367"/>
      <c r="AG152" s="5365" t="s">
        <v>621</v>
      </c>
      <c r="AH152" s="5366"/>
      <c r="AI152" s="5366"/>
      <c r="AJ152" s="5366"/>
      <c r="AK152" s="5366"/>
      <c r="AL152" s="5366"/>
      <c r="AM152" s="5366"/>
      <c r="AN152" s="5366"/>
      <c r="AO152" s="5366"/>
      <c r="AP152" s="5366"/>
      <c r="AQ152" s="5366"/>
      <c r="AR152" s="5365"/>
      <c r="AS152" s="5366"/>
      <c r="AT152" s="5366"/>
      <c r="AU152" s="5366"/>
      <c r="AV152" s="5366"/>
      <c r="AW152" s="5366"/>
      <c r="AX152" s="5366"/>
      <c r="AY152" s="5366"/>
      <c r="AZ152" s="5366"/>
      <c r="BA152" s="5366"/>
      <c r="BB152" s="5453"/>
      <c r="BC152" s="5367"/>
      <c r="BD152" s="3941" t="s">
        <v>561</v>
      </c>
      <c r="BE152" s="3942"/>
      <c r="BF152" s="3943"/>
      <c r="BG152" s="3943" t="str">
        <f t="shared" si="2"/>
        <v>Группа потребителей</v>
      </c>
      <c r="BH152" s="3943"/>
      <c r="BI152" s="3943"/>
    </row>
    <row r="153" spans="1:61" s="4982" customFormat="1" ht="23.25" customHeight="1">
      <c r="A153" s="3933"/>
      <c r="B153" s="3933"/>
      <c r="C153" s="3933"/>
      <c r="D153" s="3933"/>
      <c r="E153" s="5377"/>
      <c r="F153" s="5377"/>
      <c r="G153" s="5377"/>
      <c r="H153" s="5377"/>
      <c r="I153" s="5397"/>
      <c r="J153" s="5397" t="str">
        <f>I147&amp;".1"</f>
        <v>1.4.4.1.1</v>
      </c>
      <c r="K153" s="5374" t="str">
        <f>J152&amp;".1"</f>
        <v>1.4.4.1.2.1</v>
      </c>
      <c r="L153" s="3934"/>
      <c r="M153" s="3935"/>
      <c r="N153" s="3935"/>
      <c r="O153" s="3935"/>
      <c r="P153" s="5375"/>
      <c r="Q153" s="5375"/>
      <c r="R153" s="3937">
        <v>1</v>
      </c>
      <c r="S153" s="3938" t="str">
        <f>$K153</f>
        <v>1.4.4.1.2.1</v>
      </c>
      <c r="T153" s="3944" t="s">
        <v>625</v>
      </c>
      <c r="U153" s="3940"/>
      <c r="V153" s="3931"/>
      <c r="W153" s="3931"/>
      <c r="X153" s="3931"/>
      <c r="Y153" s="3931"/>
      <c r="Z153" s="3931"/>
      <c r="AA153" s="3931"/>
      <c r="AB153" s="3931"/>
      <c r="AC153" s="5379"/>
      <c r="AD153" s="5225" t="s">
        <v>64</v>
      </c>
      <c r="AE153" s="5379"/>
      <c r="AF153" s="5225" t="s">
        <v>64</v>
      </c>
      <c r="AG153" s="3931"/>
      <c r="AH153" s="3931">
        <v>24.84</v>
      </c>
      <c r="AI153" s="3931"/>
      <c r="AJ153" s="3931"/>
      <c r="AK153" s="3931">
        <v>2036.95</v>
      </c>
      <c r="AL153" s="3931"/>
      <c r="AM153" s="3931"/>
      <c r="AN153" s="5379">
        <v>45292.396319444444</v>
      </c>
      <c r="AO153" s="5225" t="s">
        <v>64</v>
      </c>
      <c r="AP153" s="5398">
        <v>45473.396493055552</v>
      </c>
      <c r="AQ153" s="5225" t="s">
        <v>64</v>
      </c>
      <c r="AR153" s="3931"/>
      <c r="AS153" s="3931">
        <v>27.05</v>
      </c>
      <c r="AT153" s="3931"/>
      <c r="AU153" s="3931"/>
      <c r="AV153" s="3931">
        <v>2383.23</v>
      </c>
      <c r="AW153" s="3931"/>
      <c r="AX153" s="3931"/>
      <c r="AY153" s="5379">
        <v>45474.397222222222</v>
      </c>
      <c r="AZ153" s="5225" t="s">
        <v>64</v>
      </c>
      <c r="BA153" s="5379">
        <v>45657.397303240738</v>
      </c>
      <c r="BB153" s="5451" t="s">
        <v>64</v>
      </c>
      <c r="BC153" s="3945"/>
      <c r="BD153"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53" s="3942" t="e">
        <f ca="1">STRCHECKDATE(V154:BC154)</f>
        <v>#NAME?</v>
      </c>
      <c r="BF153" s="3943"/>
      <c r="BG153" s="3943" t="str">
        <f t="shared" si="2"/>
        <v>МУП "Водоканал"</v>
      </c>
      <c r="BH153" s="3943"/>
      <c r="BI153" s="3943"/>
    </row>
    <row r="154" spans="1:61" s="4983" customFormat="1" ht="14.25" customHeight="1">
      <c r="A154" s="3933"/>
      <c r="B154" s="3933"/>
      <c r="C154" s="3933"/>
      <c r="D154" s="3933"/>
      <c r="E154" s="5377"/>
      <c r="F154" s="5377"/>
      <c r="G154" s="5377"/>
      <c r="H154" s="5377"/>
      <c r="I154" s="5397"/>
      <c r="J154" s="5397" t="str">
        <f>I147&amp;".1"</f>
        <v>1.4.4.1.1</v>
      </c>
      <c r="K154" s="5374"/>
      <c r="L154" s="3934"/>
      <c r="M154" s="3935"/>
      <c r="N154" s="3935"/>
      <c r="O154" s="3935"/>
      <c r="P154" s="5375"/>
      <c r="Q154" s="5375"/>
      <c r="R154" s="3937"/>
      <c r="S154" s="3946"/>
      <c r="T154" s="3940"/>
      <c r="U154" s="3940"/>
      <c r="V154" s="3932"/>
      <c r="W154" s="3932"/>
      <c r="X154" s="3932"/>
      <c r="Y154" s="3932"/>
      <c r="Z154" s="3932"/>
      <c r="AA154" s="3932"/>
      <c r="AB154" s="3932"/>
      <c r="AC154" s="5380"/>
      <c r="AD154" s="5225"/>
      <c r="AE154" s="5380"/>
      <c r="AF154" s="5225"/>
      <c r="AG154" s="3932"/>
      <c r="AH154" s="3932"/>
      <c r="AI154" s="3932"/>
      <c r="AJ154" s="3932"/>
      <c r="AK154" s="3932"/>
      <c r="AL154" s="3932"/>
      <c r="AM154" s="3932"/>
      <c r="AN154" s="5380"/>
      <c r="AO154" s="5225"/>
      <c r="AP154" s="5399"/>
      <c r="AQ154" s="5225"/>
      <c r="AR154" s="3932"/>
      <c r="AS154" s="3932"/>
      <c r="AT154" s="3932"/>
      <c r="AU154" s="3932"/>
      <c r="AV154" s="3932"/>
      <c r="AW154" s="3932"/>
      <c r="AX154" s="3932"/>
      <c r="AY154" s="5380"/>
      <c r="AZ154" s="5225"/>
      <c r="BA154" s="5380"/>
      <c r="BB154" s="5451"/>
      <c r="BC154" s="3947"/>
      <c r="BD154" s="5434"/>
      <c r="BE154" s="3942"/>
      <c r="BF154" s="3943"/>
      <c r="BG154" s="3943" t="str">
        <f t="shared" si="2"/>
        <v/>
      </c>
      <c r="BH154" s="3943"/>
      <c r="BI154" s="3943"/>
    </row>
    <row r="155" spans="1:61" s="4984" customFormat="1" ht="21" customHeight="1">
      <c r="A155" s="3933"/>
      <c r="B155" s="3933"/>
      <c r="C155" s="3933"/>
      <c r="D155" s="3933"/>
      <c r="E155" s="5377"/>
      <c r="F155" s="5377"/>
      <c r="G155" s="5377"/>
      <c r="H155" s="5377"/>
      <c r="I155" s="5397"/>
      <c r="J155" s="5374" t="str">
        <f>I147&amp;".1"</f>
        <v>1.4.4.1.1</v>
      </c>
      <c r="K155" s="3933"/>
      <c r="L155" s="3934"/>
      <c r="M155" s="3935"/>
      <c r="N155" s="3935"/>
      <c r="O155" s="3935"/>
      <c r="P155" s="5375"/>
      <c r="Q155" s="5375"/>
      <c r="R155" s="3948"/>
      <c r="S155" s="4246"/>
      <c r="T155" s="4247" t="s">
        <v>562</v>
      </c>
      <c r="U155" s="4248"/>
      <c r="V155" s="4249"/>
      <c r="W155" s="4250"/>
      <c r="X155" s="4251"/>
      <c r="Y155" s="4252"/>
      <c r="Z155" s="4253"/>
      <c r="AA155" s="4254"/>
      <c r="AB155" s="4255"/>
      <c r="AC155" s="4256"/>
      <c r="AD155" s="4257"/>
      <c r="AE155" s="4258"/>
      <c r="AF155" s="4259"/>
      <c r="AG155" s="4260"/>
      <c r="AH155" s="4261"/>
      <c r="AI155" s="4262"/>
      <c r="AJ155" s="4263"/>
      <c r="AK155" s="4264"/>
      <c r="AL155" s="4265"/>
      <c r="AM155" s="4266"/>
      <c r="AN155" s="4267"/>
      <c r="AO155" s="4268"/>
      <c r="AP155" s="4269"/>
      <c r="AQ155" s="4270"/>
      <c r="AR155" s="4271"/>
      <c r="AS155" s="4272"/>
      <c r="AT155" s="4273"/>
      <c r="AU155" s="4274"/>
      <c r="AV155" s="4275"/>
      <c r="AW155" s="4276"/>
      <c r="AX155" s="4277"/>
      <c r="AY155" s="4278"/>
      <c r="AZ155" s="4279"/>
      <c r="BA155" s="4280"/>
      <c r="BB155" s="4281"/>
      <c r="BC155" s="4282"/>
      <c r="BD155" s="3986" t="s">
        <v>563</v>
      </c>
      <c r="BE155" s="3942"/>
      <c r="BF155" s="3943"/>
      <c r="BG155" s="3943" t="str">
        <f t="shared" si="2"/>
        <v>Добавить значение признака дифференциации</v>
      </c>
      <c r="BH155" s="3943"/>
      <c r="BI155" s="3943"/>
    </row>
    <row r="156" spans="1:61" s="4985" customFormat="1" ht="21" customHeight="1">
      <c r="A156" s="1973"/>
      <c r="B156" s="1973"/>
      <c r="C156" s="1973"/>
      <c r="D156" s="1973"/>
      <c r="E156" s="5377"/>
      <c r="F156" s="5377"/>
      <c r="G156" s="5377" t="s">
        <v>87</v>
      </c>
      <c r="H156" s="5377"/>
      <c r="I156" s="5374"/>
      <c r="J156" s="1973"/>
      <c r="K156" s="1973"/>
      <c r="L156" s="1974"/>
      <c r="M156" s="1986"/>
      <c r="N156" s="1986"/>
      <c r="O156" s="1986"/>
      <c r="P156" s="5375"/>
      <c r="Q156" s="1987"/>
      <c r="R156" s="1988"/>
      <c r="S156" s="2835"/>
      <c r="T156" s="2836" t="s">
        <v>490</v>
      </c>
      <c r="U156" s="2837"/>
      <c r="V156" s="2838"/>
      <c r="W156" s="2839"/>
      <c r="X156" s="2840"/>
      <c r="Y156" s="2841"/>
      <c r="Z156" s="2842"/>
      <c r="AA156" s="2843"/>
      <c r="AB156" s="2844"/>
      <c r="AC156" s="2845"/>
      <c r="AD156" s="2846"/>
      <c r="AE156" s="2847"/>
      <c r="AF156" s="2848"/>
      <c r="AG156" s="2849"/>
      <c r="AH156" s="2850"/>
      <c r="AI156" s="2851"/>
      <c r="AJ156" s="2852"/>
      <c r="AK156" s="2853"/>
      <c r="AL156" s="2854"/>
      <c r="AM156" s="2855"/>
      <c r="AN156" s="2856"/>
      <c r="AO156" s="2857"/>
      <c r="AP156" s="2858"/>
      <c r="AQ156" s="2859"/>
      <c r="AR156" s="2860"/>
      <c r="AS156" s="2861"/>
      <c r="AT156" s="2862"/>
      <c r="AU156" s="2863"/>
      <c r="AV156" s="2864"/>
      <c r="AW156" s="2865"/>
      <c r="AX156" s="2866"/>
      <c r="AY156" s="2867"/>
      <c r="AZ156" s="2868"/>
      <c r="BA156" s="2869"/>
      <c r="BB156" s="2870"/>
      <c r="BC156" s="2871"/>
      <c r="BD156" s="2872"/>
      <c r="BE156" s="1935"/>
      <c r="BF156" s="1983"/>
      <c r="BG156" s="1983" t="str">
        <f t="shared" si="2"/>
        <v>Добавить группу потребителей</v>
      </c>
      <c r="BH156" s="1983"/>
      <c r="BI156" s="1983"/>
    </row>
    <row r="157" spans="1:61" s="4986" customFormat="1" ht="21" customHeight="1">
      <c r="A157" s="1973"/>
      <c r="B157" s="1973"/>
      <c r="C157" s="1973"/>
      <c r="D157" s="1973"/>
      <c r="E157" s="5377"/>
      <c r="F157" s="5377"/>
      <c r="G157" s="5377" t="s">
        <v>87</v>
      </c>
      <c r="H157" s="5376"/>
      <c r="I157" s="1973"/>
      <c r="J157" s="1973"/>
      <c r="K157" s="1973"/>
      <c r="L157" s="1974"/>
      <c r="M157" s="1975"/>
      <c r="N157" s="1975"/>
      <c r="O157" s="1929"/>
      <c r="P157" s="2072"/>
      <c r="Q157" s="2073"/>
      <c r="R157" s="2074"/>
      <c r="S157" s="2873"/>
      <c r="T157" s="2874" t="s">
        <v>564</v>
      </c>
      <c r="U157" s="2875"/>
      <c r="V157" s="2876"/>
      <c r="W157" s="2877"/>
      <c r="X157" s="2878"/>
      <c r="Y157" s="2879"/>
      <c r="Z157" s="2880"/>
      <c r="AA157" s="2881"/>
      <c r="AB157" s="2882"/>
      <c r="AC157" s="2883"/>
      <c r="AD157" s="2884"/>
      <c r="AE157" s="2885"/>
      <c r="AF157" s="2886"/>
      <c r="AG157" s="2887"/>
      <c r="AH157" s="2888"/>
      <c r="AI157" s="2889"/>
      <c r="AJ157" s="2890"/>
      <c r="AK157" s="2891"/>
      <c r="AL157" s="2892"/>
      <c r="AM157" s="2893"/>
      <c r="AN157" s="2894"/>
      <c r="AO157" s="2895"/>
      <c r="AP157" s="2896"/>
      <c r="AQ157" s="2897"/>
      <c r="AR157" s="2898"/>
      <c r="AS157" s="2899"/>
      <c r="AT157" s="2900"/>
      <c r="AU157" s="2901"/>
      <c r="AV157" s="2902"/>
      <c r="AW157" s="2903"/>
      <c r="AX157" s="2904"/>
      <c r="AY157" s="2905"/>
      <c r="AZ157" s="2906"/>
      <c r="BA157" s="2907"/>
      <c r="BB157" s="2908"/>
      <c r="BC157" s="2909"/>
      <c r="BD157" s="2910"/>
      <c r="BE157" s="1935"/>
      <c r="BF157" s="1983"/>
      <c r="BG157" s="1983" t="str">
        <f t="shared" si="2"/>
        <v>Добавить наименование признака дифференциации</v>
      </c>
      <c r="BH157" s="1983"/>
      <c r="BI157" s="1983"/>
    </row>
    <row r="158" spans="1:61" s="4987" customFormat="1" ht="23.25" customHeight="1">
      <c r="A158" s="1973"/>
      <c r="B158" s="1973"/>
      <c r="C158" s="1973" t="s">
        <v>300</v>
      </c>
      <c r="D158" s="1973"/>
      <c r="E158" s="5377"/>
      <c r="F158" s="5377"/>
      <c r="G158" s="5376" t="s">
        <v>114</v>
      </c>
      <c r="H158" s="1973"/>
      <c r="I158" s="1973"/>
      <c r="J158" s="1973"/>
      <c r="K158" s="1973"/>
      <c r="L158" s="1974"/>
      <c r="M158" s="1975"/>
      <c r="N158" s="1975"/>
      <c r="O158" s="1975"/>
      <c r="P158" s="1984"/>
      <c r="Q158" s="1977"/>
      <c r="R158" s="1978"/>
      <c r="S158" s="1979" t="str">
        <f>INDEX(PT_DIFFERENTIATION_NUM_CS,MATCH(C158,PT_DIFFERENTIATION_CS_ID,0))</f>
        <v>1.4.5</v>
      </c>
      <c r="T158" s="1985" t="s">
        <v>606</v>
      </c>
      <c r="U158" s="1981"/>
      <c r="V158" s="5362"/>
      <c r="W158" s="5363"/>
      <c r="X158" s="5363"/>
      <c r="Y158" s="5363"/>
      <c r="Z158" s="5363"/>
      <c r="AA158" s="5363"/>
      <c r="AB158" s="5363"/>
      <c r="AC158" s="5363"/>
      <c r="AD158" s="5363"/>
      <c r="AE158" s="5363"/>
      <c r="AF158" s="5364"/>
      <c r="AG158" s="5362" t="str">
        <f>INDEX(PT_DIFFERENTIATION_CS,MATCH(C158,PT_DIFFERENTIATION_CS_ID,0))</f>
        <v>г.Сергиев Посад, Шеметово, Путитно, Сватки, лакокраска и др.</v>
      </c>
      <c r="AH158" s="5363"/>
      <c r="AI158" s="5363"/>
      <c r="AJ158" s="5363"/>
      <c r="AK158" s="5363"/>
      <c r="AL158" s="5363"/>
      <c r="AM158" s="5363"/>
      <c r="AN158" s="5363"/>
      <c r="AO158" s="5363"/>
      <c r="AP158" s="5363"/>
      <c r="AQ158" s="5363"/>
      <c r="AR158" s="5362"/>
      <c r="AS158" s="5363"/>
      <c r="AT158" s="5363"/>
      <c r="AU158" s="5363"/>
      <c r="AV158" s="5363"/>
      <c r="AW158" s="5363"/>
      <c r="AX158" s="5363"/>
      <c r="AY158" s="5363"/>
      <c r="AZ158" s="5363"/>
      <c r="BA158" s="5363"/>
      <c r="BB158" s="5364"/>
      <c r="BC158" s="5364"/>
      <c r="BD158" s="1982" t="s">
        <v>607</v>
      </c>
      <c r="BE158" s="1935"/>
      <c r="BF158" s="1983"/>
      <c r="BG158" s="1983" t="str">
        <f t="shared" si="2"/>
        <v>Наименование централизованной системы горячего водоснабжения</v>
      </c>
      <c r="BH158" s="1983"/>
      <c r="BI158" s="1983"/>
    </row>
    <row r="159" spans="1:61" s="4988" customFormat="1" ht="23.25" customHeight="1">
      <c r="A159" s="1973"/>
      <c r="B159" s="1973"/>
      <c r="C159" s="1973"/>
      <c r="D159" s="1973"/>
      <c r="E159" s="5377"/>
      <c r="F159" s="5377"/>
      <c r="G159" s="5377" t="s">
        <v>88</v>
      </c>
      <c r="H159" s="5377"/>
      <c r="I159" s="5374" t="str">
        <f>S158&amp;".1"</f>
        <v>1.4.5.1</v>
      </c>
      <c r="J159" s="1973"/>
      <c r="K159" s="1973"/>
      <c r="L159" s="1974"/>
      <c r="M159" s="1986"/>
      <c r="N159" s="1986"/>
      <c r="O159" s="1986"/>
      <c r="P159" s="5375">
        <v>1</v>
      </c>
      <c r="Q159" s="1987"/>
      <c r="R159" s="1988"/>
      <c r="S159" s="1979" t="str">
        <f>$I159</f>
        <v>1.4.5.1</v>
      </c>
      <c r="T159" s="1989" t="s">
        <v>559</v>
      </c>
      <c r="U159" s="1981"/>
      <c r="V159" s="5435"/>
      <c r="W159" s="5436"/>
      <c r="X159" s="5436"/>
      <c r="Y159" s="5436"/>
      <c r="Z159" s="5436"/>
      <c r="AA159" s="5436"/>
      <c r="AB159" s="5436"/>
      <c r="AC159" s="5436"/>
      <c r="AD159" s="5436"/>
      <c r="AE159" s="5436"/>
      <c r="AF159" s="5437"/>
      <c r="AG159" s="5438"/>
      <c r="AH159" s="5439"/>
      <c r="AI159" s="5439"/>
      <c r="AJ159" s="5439"/>
      <c r="AK159" s="5439"/>
      <c r="AL159" s="5439"/>
      <c r="AM159" s="5439"/>
      <c r="AN159" s="5439"/>
      <c r="AO159" s="5439"/>
      <c r="AP159" s="5439"/>
      <c r="AQ159" s="5439"/>
      <c r="AR159" s="5435"/>
      <c r="AS159" s="5436"/>
      <c r="AT159" s="5436"/>
      <c r="AU159" s="5436"/>
      <c r="AV159" s="5436"/>
      <c r="AW159" s="5436"/>
      <c r="AX159" s="5436"/>
      <c r="AY159" s="5436"/>
      <c r="AZ159" s="5436"/>
      <c r="BA159" s="5436"/>
      <c r="BB159" s="5437"/>
      <c r="BC159" s="5440"/>
      <c r="BD159" s="1982" t="s">
        <v>560</v>
      </c>
      <c r="BE159" s="1935"/>
      <c r="BF159" s="1983"/>
      <c r="BG159" s="1983" t="str">
        <f t="shared" si="2"/>
        <v>Наименование признака дифференциации</v>
      </c>
      <c r="BH159" s="1983"/>
      <c r="BI159" s="1983"/>
    </row>
    <row r="160" spans="1:61" s="4989" customFormat="1" ht="23.25" customHeight="1">
      <c r="A160" s="1973"/>
      <c r="B160" s="1973"/>
      <c r="C160" s="1973"/>
      <c r="D160" s="1973"/>
      <c r="E160" s="5377"/>
      <c r="F160" s="5377"/>
      <c r="G160" s="5377" t="s">
        <v>88</v>
      </c>
      <c r="H160" s="5377"/>
      <c r="I160" s="5397"/>
      <c r="J160" s="5374" t="str">
        <f>I159&amp;".1"</f>
        <v>1.4.5.1.1</v>
      </c>
      <c r="K160" s="1973"/>
      <c r="L160" s="1974" t="s">
        <v>484</v>
      </c>
      <c r="M160" s="1986"/>
      <c r="N160" s="1986"/>
      <c r="O160" s="1986"/>
      <c r="P160" s="5375"/>
      <c r="Q160" s="5375">
        <v>1</v>
      </c>
      <c r="R160" s="1990"/>
      <c r="S160" s="1979" t="str">
        <f>$J160</f>
        <v>1.4.5.1.1</v>
      </c>
      <c r="T160" s="1991" t="s">
        <v>485</v>
      </c>
      <c r="U160" s="1981"/>
      <c r="V160" s="5365"/>
      <c r="W160" s="5366"/>
      <c r="X160" s="5366"/>
      <c r="Y160" s="5366"/>
      <c r="Z160" s="5366"/>
      <c r="AA160" s="5366"/>
      <c r="AB160" s="5366"/>
      <c r="AC160" s="5366"/>
      <c r="AD160" s="5366"/>
      <c r="AE160" s="5366"/>
      <c r="AF160" s="5367"/>
      <c r="AG160" s="5365" t="s">
        <v>619</v>
      </c>
      <c r="AH160" s="5366"/>
      <c r="AI160" s="5366"/>
      <c r="AJ160" s="5366"/>
      <c r="AK160" s="5366"/>
      <c r="AL160" s="5366"/>
      <c r="AM160" s="5366"/>
      <c r="AN160" s="5366"/>
      <c r="AO160" s="5366"/>
      <c r="AP160" s="5366"/>
      <c r="AQ160" s="5366"/>
      <c r="AR160" s="5365"/>
      <c r="AS160" s="5366"/>
      <c r="AT160" s="5366"/>
      <c r="AU160" s="5366"/>
      <c r="AV160" s="5366"/>
      <c r="AW160" s="5366"/>
      <c r="AX160" s="5366"/>
      <c r="AY160" s="5366"/>
      <c r="AZ160" s="5366"/>
      <c r="BA160" s="5366"/>
      <c r="BB160" s="5367"/>
      <c r="BC160" s="5367"/>
      <c r="BD160" s="1992" t="s">
        <v>561</v>
      </c>
      <c r="BE160" s="1935"/>
      <c r="BF160" s="1983"/>
      <c r="BG160" s="1983" t="str">
        <f t="shared" si="2"/>
        <v>Группа потребителей</v>
      </c>
      <c r="BH160" s="1983"/>
      <c r="BI160" s="1983"/>
    </row>
    <row r="161" spans="1:61" s="4990" customFormat="1" ht="23.25" customHeight="1">
      <c r="A161" s="1973"/>
      <c r="B161" s="1973"/>
      <c r="C161" s="1973"/>
      <c r="D161" s="1973"/>
      <c r="E161" s="5377"/>
      <c r="F161" s="5377"/>
      <c r="G161" s="5377" t="s">
        <v>88</v>
      </c>
      <c r="H161" s="5377"/>
      <c r="I161" s="5397"/>
      <c r="J161" s="5397"/>
      <c r="K161" s="5374" t="str">
        <f>J160&amp;".1"</f>
        <v>1.4.5.1.1.1</v>
      </c>
      <c r="L161" s="1974"/>
      <c r="M161" s="1986"/>
      <c r="N161" s="1986"/>
      <c r="O161" s="1986"/>
      <c r="P161" s="5375"/>
      <c r="Q161" s="5375"/>
      <c r="R161" s="1990">
        <v>1</v>
      </c>
      <c r="S161" s="1979" t="str">
        <f>$K161</f>
        <v>1.4.5.1.1.1</v>
      </c>
      <c r="T161" s="1993" t="s">
        <v>625</v>
      </c>
      <c r="U161" s="1981"/>
      <c r="V161" s="1893"/>
      <c r="W161" s="1893"/>
      <c r="X161" s="1893"/>
      <c r="Y161" s="1893"/>
      <c r="Z161" s="1893"/>
      <c r="AA161" s="1893"/>
      <c r="AB161" s="1893"/>
      <c r="AC161" s="5379"/>
      <c r="AD161" s="5225" t="s">
        <v>64</v>
      </c>
      <c r="AE161" s="5379"/>
      <c r="AF161" s="5225" t="s">
        <v>64</v>
      </c>
      <c r="AG161" s="1893"/>
      <c r="AH161" s="1893">
        <v>31.78</v>
      </c>
      <c r="AI161" s="1893"/>
      <c r="AJ161" s="1893"/>
      <c r="AK161" s="1893">
        <v>2220.09</v>
      </c>
      <c r="AL161" s="1893"/>
      <c r="AM161" s="1893"/>
      <c r="AN161" s="5379">
        <v>45292.396319444444</v>
      </c>
      <c r="AO161" s="5225" t="s">
        <v>64</v>
      </c>
      <c r="AP161" s="5398">
        <v>45473.396493055552</v>
      </c>
      <c r="AQ161" s="5225" t="s">
        <v>64</v>
      </c>
      <c r="AR161" s="1893"/>
      <c r="AS161" s="1893">
        <v>35.65</v>
      </c>
      <c r="AT161" s="1893"/>
      <c r="AU161" s="1893"/>
      <c r="AV161" s="1893">
        <v>2928.44</v>
      </c>
      <c r="AW161" s="1893"/>
      <c r="AX161" s="1893"/>
      <c r="AY161" s="5379">
        <v>45474.397222222222</v>
      </c>
      <c r="AZ161" s="5225" t="s">
        <v>64</v>
      </c>
      <c r="BA161" s="5379">
        <v>45657.397303240738</v>
      </c>
      <c r="BB161" s="5225" t="s">
        <v>64</v>
      </c>
      <c r="BC161" s="1994"/>
      <c r="BD161"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61" s="1935" t="e">
        <f ca="1">STRCHECKDATE(V162:BC162)</f>
        <v>#NAME?</v>
      </c>
      <c r="BF161" s="1983"/>
      <c r="BG161" s="1983" t="str">
        <f t="shared" si="2"/>
        <v>МУП "Водоканал"</v>
      </c>
      <c r="BH161" s="1983"/>
      <c r="BI161" s="1983"/>
    </row>
    <row r="162" spans="1:61" s="4991" customFormat="1" ht="14.25" customHeight="1">
      <c r="A162" s="1973"/>
      <c r="B162" s="1973"/>
      <c r="C162" s="1973"/>
      <c r="D162" s="1973"/>
      <c r="E162" s="5377"/>
      <c r="F162" s="5377"/>
      <c r="G162" s="5377" t="s">
        <v>88</v>
      </c>
      <c r="H162" s="5377"/>
      <c r="I162" s="5397"/>
      <c r="J162" s="5397"/>
      <c r="K162" s="5374"/>
      <c r="L162" s="1974"/>
      <c r="M162" s="1986"/>
      <c r="N162" s="1986"/>
      <c r="O162" s="1986"/>
      <c r="P162" s="5375"/>
      <c r="Q162" s="5375"/>
      <c r="R162" s="1990"/>
      <c r="S162" s="1995"/>
      <c r="T162" s="1981"/>
      <c r="U162" s="1981"/>
      <c r="V162" s="1894"/>
      <c r="W162" s="1894"/>
      <c r="X162" s="1894"/>
      <c r="Y162" s="1894"/>
      <c r="Z162" s="1894"/>
      <c r="AA162" s="1894"/>
      <c r="AB162" s="1894"/>
      <c r="AC162" s="5380"/>
      <c r="AD162" s="5225"/>
      <c r="AE162" s="5380"/>
      <c r="AF162" s="5225"/>
      <c r="AG162" s="1894"/>
      <c r="AH162" s="1894"/>
      <c r="AI162" s="1894"/>
      <c r="AJ162" s="1894"/>
      <c r="AK162" s="1894"/>
      <c r="AL162" s="1894"/>
      <c r="AM162" s="1894"/>
      <c r="AN162" s="5380"/>
      <c r="AO162" s="5225"/>
      <c r="AP162" s="5399"/>
      <c r="AQ162" s="5225"/>
      <c r="AR162" s="1894"/>
      <c r="AS162" s="1894"/>
      <c r="AT162" s="1894"/>
      <c r="AU162" s="1894"/>
      <c r="AV162" s="1894"/>
      <c r="AW162" s="1894"/>
      <c r="AX162" s="1894"/>
      <c r="AY162" s="5380"/>
      <c r="AZ162" s="5225"/>
      <c r="BA162" s="5380"/>
      <c r="BB162" s="5225"/>
      <c r="BC162" s="1996"/>
      <c r="BD162" s="5434"/>
      <c r="BE162" s="1935"/>
      <c r="BF162" s="1983"/>
      <c r="BG162" s="1983" t="str">
        <f t="shared" si="2"/>
        <v/>
      </c>
      <c r="BH162" s="1983"/>
      <c r="BI162" s="1983"/>
    </row>
    <row r="163" spans="1:61" s="4992" customFormat="1" ht="21" customHeight="1">
      <c r="A163" s="1973"/>
      <c r="B163" s="1973"/>
      <c r="C163" s="1973"/>
      <c r="D163" s="1973"/>
      <c r="E163" s="5377"/>
      <c r="F163" s="5377"/>
      <c r="G163" s="5377" t="s">
        <v>88</v>
      </c>
      <c r="H163" s="5377"/>
      <c r="I163" s="5397"/>
      <c r="J163" s="5374"/>
      <c r="K163" s="1973"/>
      <c r="L163" s="1974"/>
      <c r="M163" s="1986"/>
      <c r="N163" s="1986"/>
      <c r="O163" s="1986"/>
      <c r="P163" s="5375"/>
      <c r="Q163" s="5375"/>
      <c r="R163" s="1988"/>
      <c r="S163" s="2911"/>
      <c r="T163" s="2912" t="s">
        <v>562</v>
      </c>
      <c r="U163" s="2913"/>
      <c r="V163" s="2914"/>
      <c r="W163" s="2915"/>
      <c r="X163" s="2916"/>
      <c r="Y163" s="2917"/>
      <c r="Z163" s="2918"/>
      <c r="AA163" s="2919"/>
      <c r="AB163" s="2920"/>
      <c r="AC163" s="2921"/>
      <c r="AD163" s="2922"/>
      <c r="AE163" s="2923"/>
      <c r="AF163" s="2924"/>
      <c r="AG163" s="2925"/>
      <c r="AH163" s="2926"/>
      <c r="AI163" s="2927"/>
      <c r="AJ163" s="2928"/>
      <c r="AK163" s="2929"/>
      <c r="AL163" s="2930"/>
      <c r="AM163" s="2931"/>
      <c r="AN163" s="2932"/>
      <c r="AO163" s="2933"/>
      <c r="AP163" s="2934"/>
      <c r="AQ163" s="2935"/>
      <c r="AR163" s="2936"/>
      <c r="AS163" s="2937"/>
      <c r="AT163" s="2938"/>
      <c r="AU163" s="2939"/>
      <c r="AV163" s="2940"/>
      <c r="AW163" s="2941"/>
      <c r="AX163" s="2942"/>
      <c r="AY163" s="2943"/>
      <c r="AZ163" s="2944"/>
      <c r="BA163" s="2945"/>
      <c r="BB163" s="2946"/>
      <c r="BC163" s="2947"/>
      <c r="BD163" s="1982" t="s">
        <v>563</v>
      </c>
      <c r="BE163" s="1935"/>
      <c r="BF163" s="1983"/>
      <c r="BG163" s="1983" t="str">
        <f t="shared" si="2"/>
        <v>Добавить значение признака дифференциации</v>
      </c>
      <c r="BH163" s="1983"/>
      <c r="BI163" s="1983"/>
    </row>
    <row r="164" spans="1:61" s="4993" customFormat="1" ht="23.25" customHeight="1">
      <c r="A164" s="3933"/>
      <c r="B164" s="3933"/>
      <c r="C164" s="3933"/>
      <c r="D164" s="3933"/>
      <c r="E164" s="5377"/>
      <c r="F164" s="5377"/>
      <c r="G164" s="5377"/>
      <c r="H164" s="5377"/>
      <c r="I164" s="5397"/>
      <c r="J164" s="5374" t="str">
        <f>I159&amp;".2"</f>
        <v>1.4.5.1.2</v>
      </c>
      <c r="K164" s="3933"/>
      <c r="L164" s="3934" t="s">
        <v>484</v>
      </c>
      <c r="M164" s="3935"/>
      <c r="N164" s="3935"/>
      <c r="O164" s="3935"/>
      <c r="P164" s="5375"/>
      <c r="Q164" s="5452" t="s">
        <v>101</v>
      </c>
      <c r="R164" s="3937"/>
      <c r="S164" s="3938" t="str">
        <f>$J164</f>
        <v>1.4.5.1.2</v>
      </c>
      <c r="T164" s="3939" t="s">
        <v>485</v>
      </c>
      <c r="U164" s="3940"/>
      <c r="V164" s="5365"/>
      <c r="W164" s="5366"/>
      <c r="X164" s="5366"/>
      <c r="Y164" s="5366"/>
      <c r="Z164" s="5366"/>
      <c r="AA164" s="5366"/>
      <c r="AB164" s="5366"/>
      <c r="AC164" s="5366"/>
      <c r="AD164" s="5366"/>
      <c r="AE164" s="5366"/>
      <c r="AF164" s="5367"/>
      <c r="AG164" s="5365" t="s">
        <v>621</v>
      </c>
      <c r="AH164" s="5366"/>
      <c r="AI164" s="5366"/>
      <c r="AJ164" s="5366"/>
      <c r="AK164" s="5366"/>
      <c r="AL164" s="5366"/>
      <c r="AM164" s="5366"/>
      <c r="AN164" s="5366"/>
      <c r="AO164" s="5366"/>
      <c r="AP164" s="5366"/>
      <c r="AQ164" s="5366"/>
      <c r="AR164" s="5365"/>
      <c r="AS164" s="5366"/>
      <c r="AT164" s="5366"/>
      <c r="AU164" s="5366"/>
      <c r="AV164" s="5366"/>
      <c r="AW164" s="5366"/>
      <c r="AX164" s="5366"/>
      <c r="AY164" s="5366"/>
      <c r="AZ164" s="5366"/>
      <c r="BA164" s="5366"/>
      <c r="BB164" s="5453"/>
      <c r="BC164" s="5367"/>
      <c r="BD164" s="3941" t="s">
        <v>561</v>
      </c>
      <c r="BE164" s="3942"/>
      <c r="BF164" s="3943"/>
      <c r="BG164" s="3943" t="str">
        <f t="shared" si="2"/>
        <v>Группа потребителей</v>
      </c>
      <c r="BH164" s="3943"/>
      <c r="BI164" s="3943"/>
    </row>
    <row r="165" spans="1:61" s="4994" customFormat="1" ht="23.25" customHeight="1">
      <c r="A165" s="3933"/>
      <c r="B165" s="3933"/>
      <c r="C165" s="3933"/>
      <c r="D165" s="3933"/>
      <c r="E165" s="5377"/>
      <c r="F165" s="5377"/>
      <c r="G165" s="5377"/>
      <c r="H165" s="5377"/>
      <c r="I165" s="5397"/>
      <c r="J165" s="5397" t="str">
        <f>I159&amp;".1"</f>
        <v>1.4.5.1.1</v>
      </c>
      <c r="K165" s="5374" t="str">
        <f>J164&amp;".1"</f>
        <v>1.4.5.1.2.1</v>
      </c>
      <c r="L165" s="3934"/>
      <c r="M165" s="3935"/>
      <c r="N165" s="3935"/>
      <c r="O165" s="3935"/>
      <c r="P165" s="5375"/>
      <c r="Q165" s="5375"/>
      <c r="R165" s="3937">
        <v>1</v>
      </c>
      <c r="S165" s="3938" t="str">
        <f>$K165</f>
        <v>1.4.5.1.2.1</v>
      </c>
      <c r="T165" s="3944" t="s">
        <v>625</v>
      </c>
      <c r="U165" s="3940"/>
      <c r="V165" s="3931"/>
      <c r="W165" s="3931"/>
      <c r="X165" s="3931"/>
      <c r="Y165" s="3931"/>
      <c r="Z165" s="3931"/>
      <c r="AA165" s="3931"/>
      <c r="AB165" s="3931"/>
      <c r="AC165" s="5379"/>
      <c r="AD165" s="5225" t="s">
        <v>64</v>
      </c>
      <c r="AE165" s="5379"/>
      <c r="AF165" s="5225" t="s">
        <v>64</v>
      </c>
      <c r="AG165" s="3931"/>
      <c r="AH165" s="3931">
        <v>31.78</v>
      </c>
      <c r="AI165" s="3931"/>
      <c r="AJ165" s="3931"/>
      <c r="AK165" s="3931">
        <v>2664.11</v>
      </c>
      <c r="AL165" s="3931"/>
      <c r="AM165" s="3931"/>
      <c r="AN165" s="5379">
        <v>45292.396319444444</v>
      </c>
      <c r="AO165" s="5225" t="s">
        <v>64</v>
      </c>
      <c r="AP165" s="5398">
        <v>45473.396493055552</v>
      </c>
      <c r="AQ165" s="5225" t="s">
        <v>64</v>
      </c>
      <c r="AR165" s="3931"/>
      <c r="AS165" s="3931">
        <v>35.65</v>
      </c>
      <c r="AT165" s="3931"/>
      <c r="AU165" s="3931"/>
      <c r="AV165" s="3931">
        <v>3063.73</v>
      </c>
      <c r="AW165" s="3931"/>
      <c r="AX165" s="3931"/>
      <c r="AY165" s="5379">
        <v>45474.397222222222</v>
      </c>
      <c r="AZ165" s="5225" t="s">
        <v>64</v>
      </c>
      <c r="BA165" s="5379">
        <v>45657.397303240738</v>
      </c>
      <c r="BB165" s="5451" t="s">
        <v>64</v>
      </c>
      <c r="BC165" s="3945"/>
      <c r="BD165"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65" s="3942" t="e">
        <f ca="1">STRCHECKDATE(V166:BC166)</f>
        <v>#NAME?</v>
      </c>
      <c r="BF165" s="3943"/>
      <c r="BG165" s="3943" t="str">
        <f t="shared" si="2"/>
        <v>МУП "Водоканал"</v>
      </c>
      <c r="BH165" s="3943"/>
      <c r="BI165" s="3943"/>
    </row>
    <row r="166" spans="1:61" s="4995" customFormat="1" ht="14.25" customHeight="1">
      <c r="A166" s="3933"/>
      <c r="B166" s="3933"/>
      <c r="C166" s="3933"/>
      <c r="D166" s="3933"/>
      <c r="E166" s="5377"/>
      <c r="F166" s="5377"/>
      <c r="G166" s="5377"/>
      <c r="H166" s="5377"/>
      <c r="I166" s="5397"/>
      <c r="J166" s="5397" t="str">
        <f>I159&amp;".1"</f>
        <v>1.4.5.1.1</v>
      </c>
      <c r="K166" s="5374"/>
      <c r="L166" s="3934"/>
      <c r="M166" s="3935"/>
      <c r="N166" s="3935"/>
      <c r="O166" s="3935"/>
      <c r="P166" s="5375"/>
      <c r="Q166" s="5375"/>
      <c r="R166" s="3937"/>
      <c r="S166" s="3946"/>
      <c r="T166" s="3940"/>
      <c r="U166" s="3940"/>
      <c r="V166" s="3932"/>
      <c r="W166" s="3932"/>
      <c r="X166" s="3932"/>
      <c r="Y166" s="3932"/>
      <c r="Z166" s="3932"/>
      <c r="AA166" s="3932"/>
      <c r="AB166" s="3932"/>
      <c r="AC166" s="5380"/>
      <c r="AD166" s="5225"/>
      <c r="AE166" s="5380"/>
      <c r="AF166" s="5225"/>
      <c r="AG166" s="3932"/>
      <c r="AH166" s="3932"/>
      <c r="AI166" s="3932"/>
      <c r="AJ166" s="3932"/>
      <c r="AK166" s="3932"/>
      <c r="AL166" s="3932"/>
      <c r="AM166" s="3932"/>
      <c r="AN166" s="5380"/>
      <c r="AO166" s="5225"/>
      <c r="AP166" s="5399"/>
      <c r="AQ166" s="5225"/>
      <c r="AR166" s="3932"/>
      <c r="AS166" s="3932"/>
      <c r="AT166" s="3932"/>
      <c r="AU166" s="3932"/>
      <c r="AV166" s="3932"/>
      <c r="AW166" s="3932"/>
      <c r="AX166" s="3932"/>
      <c r="AY166" s="5380"/>
      <c r="AZ166" s="5225"/>
      <c r="BA166" s="5380"/>
      <c r="BB166" s="5451"/>
      <c r="BC166" s="3947"/>
      <c r="BD166" s="5434"/>
      <c r="BE166" s="3942"/>
      <c r="BF166" s="3943"/>
      <c r="BG166" s="3943" t="str">
        <f t="shared" si="2"/>
        <v/>
      </c>
      <c r="BH166" s="3943"/>
      <c r="BI166" s="3943"/>
    </row>
    <row r="167" spans="1:61" s="4996" customFormat="1" ht="21" customHeight="1">
      <c r="A167" s="3933"/>
      <c r="B167" s="3933"/>
      <c r="C167" s="3933"/>
      <c r="D167" s="3933"/>
      <c r="E167" s="5377"/>
      <c r="F167" s="5377"/>
      <c r="G167" s="5377"/>
      <c r="H167" s="5377"/>
      <c r="I167" s="5397"/>
      <c r="J167" s="5374" t="str">
        <f>I159&amp;".1"</f>
        <v>1.4.5.1.1</v>
      </c>
      <c r="K167" s="3933"/>
      <c r="L167" s="3934"/>
      <c r="M167" s="3935"/>
      <c r="N167" s="3935"/>
      <c r="O167" s="3935"/>
      <c r="P167" s="5375"/>
      <c r="Q167" s="5375"/>
      <c r="R167" s="3948"/>
      <c r="S167" s="4283"/>
      <c r="T167" s="4284" t="s">
        <v>562</v>
      </c>
      <c r="U167" s="4285"/>
      <c r="V167" s="4286"/>
      <c r="W167" s="4287"/>
      <c r="X167" s="4288"/>
      <c r="Y167" s="4289"/>
      <c r="Z167" s="4290"/>
      <c r="AA167" s="4291"/>
      <c r="AB167" s="4292"/>
      <c r="AC167" s="4293"/>
      <c r="AD167" s="4294"/>
      <c r="AE167" s="4295"/>
      <c r="AF167" s="4296"/>
      <c r="AG167" s="4297"/>
      <c r="AH167" s="4298"/>
      <c r="AI167" s="4299"/>
      <c r="AJ167" s="4300"/>
      <c r="AK167" s="4301"/>
      <c r="AL167" s="4302"/>
      <c r="AM167" s="4303"/>
      <c r="AN167" s="4304"/>
      <c r="AO167" s="4305"/>
      <c r="AP167" s="4306"/>
      <c r="AQ167" s="4307"/>
      <c r="AR167" s="4308"/>
      <c r="AS167" s="4309"/>
      <c r="AT167" s="4310"/>
      <c r="AU167" s="4311"/>
      <c r="AV167" s="4312"/>
      <c r="AW167" s="4313"/>
      <c r="AX167" s="4314"/>
      <c r="AY167" s="4315"/>
      <c r="AZ167" s="4316"/>
      <c r="BA167" s="4317"/>
      <c r="BB167" s="4318"/>
      <c r="BC167" s="4319"/>
      <c r="BD167" s="3986" t="s">
        <v>563</v>
      </c>
      <c r="BE167" s="3942"/>
      <c r="BF167" s="3943"/>
      <c r="BG167" s="3943" t="str">
        <f t="shared" si="2"/>
        <v>Добавить значение признака дифференциации</v>
      </c>
      <c r="BH167" s="3943"/>
      <c r="BI167" s="3943"/>
    </row>
    <row r="168" spans="1:61" s="4997" customFormat="1" ht="21" customHeight="1">
      <c r="A168" s="1973"/>
      <c r="B168" s="1973"/>
      <c r="C168" s="1973"/>
      <c r="D168" s="1973"/>
      <c r="E168" s="5377"/>
      <c r="F168" s="5377"/>
      <c r="G168" s="5377" t="s">
        <v>88</v>
      </c>
      <c r="H168" s="5377"/>
      <c r="I168" s="5374"/>
      <c r="J168" s="1973"/>
      <c r="K168" s="1973"/>
      <c r="L168" s="1974"/>
      <c r="M168" s="1986"/>
      <c r="N168" s="1986"/>
      <c r="O168" s="1986"/>
      <c r="P168" s="5375"/>
      <c r="Q168" s="1987"/>
      <c r="R168" s="1988"/>
      <c r="S168" s="2948"/>
      <c r="T168" s="2949" t="s">
        <v>490</v>
      </c>
      <c r="U168" s="2950"/>
      <c r="V168" s="2951"/>
      <c r="W168" s="2952"/>
      <c r="X168" s="2953"/>
      <c r="Y168" s="2954"/>
      <c r="Z168" s="2955"/>
      <c r="AA168" s="2956"/>
      <c r="AB168" s="2957"/>
      <c r="AC168" s="2958"/>
      <c r="AD168" s="2959"/>
      <c r="AE168" s="2960"/>
      <c r="AF168" s="2961"/>
      <c r="AG168" s="2962"/>
      <c r="AH168" s="2963"/>
      <c r="AI168" s="2964"/>
      <c r="AJ168" s="2965"/>
      <c r="AK168" s="2966"/>
      <c r="AL168" s="2967"/>
      <c r="AM168" s="2968"/>
      <c r="AN168" s="2969"/>
      <c r="AO168" s="2970"/>
      <c r="AP168" s="2971"/>
      <c r="AQ168" s="2972"/>
      <c r="AR168" s="2973"/>
      <c r="AS168" s="2974"/>
      <c r="AT168" s="2975"/>
      <c r="AU168" s="2976"/>
      <c r="AV168" s="2977"/>
      <c r="AW168" s="2978"/>
      <c r="AX168" s="2979"/>
      <c r="AY168" s="2980"/>
      <c r="AZ168" s="2981"/>
      <c r="BA168" s="2982"/>
      <c r="BB168" s="2983"/>
      <c r="BC168" s="2984"/>
      <c r="BD168" s="2985"/>
      <c r="BE168" s="1935"/>
      <c r="BF168" s="1983"/>
      <c r="BG168" s="1983" t="str">
        <f t="shared" si="2"/>
        <v>Добавить группу потребителей</v>
      </c>
      <c r="BH168" s="1983"/>
      <c r="BI168" s="1983"/>
    </row>
    <row r="169" spans="1:61" s="4998" customFormat="1" ht="21" customHeight="1">
      <c r="A169" s="1973"/>
      <c r="B169" s="1973"/>
      <c r="C169" s="1973"/>
      <c r="D169" s="1973"/>
      <c r="E169" s="5377"/>
      <c r="F169" s="5377"/>
      <c r="G169" s="5377" t="s">
        <v>88</v>
      </c>
      <c r="H169" s="5376"/>
      <c r="I169" s="1973"/>
      <c r="J169" s="1973"/>
      <c r="K169" s="1973"/>
      <c r="L169" s="1974"/>
      <c r="M169" s="1975"/>
      <c r="N169" s="1975"/>
      <c r="O169" s="1929"/>
      <c r="P169" s="2072"/>
      <c r="Q169" s="2073"/>
      <c r="R169" s="2074"/>
      <c r="S169" s="2986"/>
      <c r="T169" s="2987" t="s">
        <v>564</v>
      </c>
      <c r="U169" s="2988"/>
      <c r="V169" s="2989"/>
      <c r="W169" s="2990"/>
      <c r="X169" s="2991"/>
      <c r="Y169" s="2992"/>
      <c r="Z169" s="2993"/>
      <c r="AA169" s="2994"/>
      <c r="AB169" s="2995"/>
      <c r="AC169" s="2996"/>
      <c r="AD169" s="2997"/>
      <c r="AE169" s="2998"/>
      <c r="AF169" s="2999"/>
      <c r="AG169" s="3000"/>
      <c r="AH169" s="3001"/>
      <c r="AI169" s="3002"/>
      <c r="AJ169" s="3003"/>
      <c r="AK169" s="3004"/>
      <c r="AL169" s="3005"/>
      <c r="AM169" s="3006"/>
      <c r="AN169" s="3007"/>
      <c r="AO169" s="3008"/>
      <c r="AP169" s="3009"/>
      <c r="AQ169" s="3010"/>
      <c r="AR169" s="3011"/>
      <c r="AS169" s="3012"/>
      <c r="AT169" s="3013"/>
      <c r="AU169" s="3014"/>
      <c r="AV169" s="3015"/>
      <c r="AW169" s="3016"/>
      <c r="AX169" s="3017"/>
      <c r="AY169" s="3018"/>
      <c r="AZ169" s="3019"/>
      <c r="BA169" s="3020"/>
      <c r="BB169" s="3021"/>
      <c r="BC169" s="3022"/>
      <c r="BD169" s="3023"/>
      <c r="BE169" s="1935"/>
      <c r="BF169" s="1983"/>
      <c r="BG169" s="1983" t="str">
        <f t="shared" si="2"/>
        <v>Добавить наименование признака дифференциации</v>
      </c>
      <c r="BH169" s="1983"/>
      <c r="BI169" s="1983"/>
    </row>
    <row r="170" spans="1:61" s="4999" customFormat="1" ht="23.25" customHeight="1">
      <c r="A170" s="1973"/>
      <c r="B170" s="1973"/>
      <c r="C170" s="1973" t="s">
        <v>303</v>
      </c>
      <c r="D170" s="1973"/>
      <c r="E170" s="5377"/>
      <c r="F170" s="5377"/>
      <c r="G170" s="5376" t="s">
        <v>89</v>
      </c>
      <c r="H170" s="1973"/>
      <c r="I170" s="1973"/>
      <c r="J170" s="1973"/>
      <c r="K170" s="1973"/>
      <c r="L170" s="1974"/>
      <c r="M170" s="1975"/>
      <c r="N170" s="1975"/>
      <c r="O170" s="1975"/>
      <c r="P170" s="1984"/>
      <c r="Q170" s="1977"/>
      <c r="R170" s="1978"/>
      <c r="S170" s="1979" t="str">
        <f>INDEX(PT_DIFFERENTIATION_NUM_CS,MATCH(C170,PT_DIFFERENTIATION_CS_ID,0))</f>
        <v>1.4.6</v>
      </c>
      <c r="T170" s="1985" t="s">
        <v>606</v>
      </c>
      <c r="U170" s="1981"/>
      <c r="V170" s="5362"/>
      <c r="W170" s="5363"/>
      <c r="X170" s="5363"/>
      <c r="Y170" s="5363"/>
      <c r="Z170" s="5363"/>
      <c r="AA170" s="5363"/>
      <c r="AB170" s="5363"/>
      <c r="AC170" s="5363"/>
      <c r="AD170" s="5363"/>
      <c r="AE170" s="5363"/>
      <c r="AF170" s="5364"/>
      <c r="AG170" s="5362" t="str">
        <f>INDEX(PT_DIFFERENTIATION_CS,MATCH(C170,PT_DIFFERENTIATION_CS_ID,0))</f>
        <v>г.Сергиев Посад, мкр.Новый, Красной армии, 212 пос.НИИРП</v>
      </c>
      <c r="AH170" s="5363"/>
      <c r="AI170" s="5363"/>
      <c r="AJ170" s="5363"/>
      <c r="AK170" s="5363"/>
      <c r="AL170" s="5363"/>
      <c r="AM170" s="5363"/>
      <c r="AN170" s="5363"/>
      <c r="AO170" s="5363"/>
      <c r="AP170" s="5363"/>
      <c r="AQ170" s="5363"/>
      <c r="AR170" s="5362"/>
      <c r="AS170" s="5363"/>
      <c r="AT170" s="5363"/>
      <c r="AU170" s="5363"/>
      <c r="AV170" s="5363"/>
      <c r="AW170" s="5363"/>
      <c r="AX170" s="5363"/>
      <c r="AY170" s="5363"/>
      <c r="AZ170" s="5363"/>
      <c r="BA170" s="5363"/>
      <c r="BB170" s="5364"/>
      <c r="BC170" s="5364"/>
      <c r="BD170" s="1982" t="s">
        <v>607</v>
      </c>
      <c r="BE170" s="1935"/>
      <c r="BF170" s="1983"/>
      <c r="BG170" s="1983" t="str">
        <f t="shared" ref="BG170:BG233" si="3">IF(T170="","",T170)</f>
        <v>Наименование централизованной системы горячего водоснабжения</v>
      </c>
      <c r="BH170" s="1983"/>
      <c r="BI170" s="1983"/>
    </row>
    <row r="171" spans="1:61" s="5000" customFormat="1" ht="23.25" customHeight="1">
      <c r="A171" s="1973"/>
      <c r="B171" s="1973"/>
      <c r="C171" s="1973"/>
      <c r="D171" s="1973"/>
      <c r="E171" s="5377"/>
      <c r="F171" s="5377"/>
      <c r="G171" s="5377" t="s">
        <v>114</v>
      </c>
      <c r="H171" s="5377"/>
      <c r="I171" s="5374" t="str">
        <f>S170&amp;".1"</f>
        <v>1.4.6.1</v>
      </c>
      <c r="J171" s="1973"/>
      <c r="K171" s="1973"/>
      <c r="L171" s="1974"/>
      <c r="M171" s="1986"/>
      <c r="N171" s="1986"/>
      <c r="O171" s="1986"/>
      <c r="P171" s="5375">
        <v>1</v>
      </c>
      <c r="Q171" s="1987"/>
      <c r="R171" s="1988"/>
      <c r="S171" s="1979" t="str">
        <f>$I171</f>
        <v>1.4.6.1</v>
      </c>
      <c r="T171" s="1989" t="s">
        <v>559</v>
      </c>
      <c r="U171" s="1981"/>
      <c r="V171" s="5435"/>
      <c r="W171" s="5436"/>
      <c r="X171" s="5436"/>
      <c r="Y171" s="5436"/>
      <c r="Z171" s="5436"/>
      <c r="AA171" s="5436"/>
      <c r="AB171" s="5436"/>
      <c r="AC171" s="5436"/>
      <c r="AD171" s="5436"/>
      <c r="AE171" s="5436"/>
      <c r="AF171" s="5437"/>
      <c r="AG171" s="5438"/>
      <c r="AH171" s="5439"/>
      <c r="AI171" s="5439"/>
      <c r="AJ171" s="5439"/>
      <c r="AK171" s="5439"/>
      <c r="AL171" s="5439"/>
      <c r="AM171" s="5439"/>
      <c r="AN171" s="5439"/>
      <c r="AO171" s="5439"/>
      <c r="AP171" s="5439"/>
      <c r="AQ171" s="5439"/>
      <c r="AR171" s="5435"/>
      <c r="AS171" s="5436"/>
      <c r="AT171" s="5436"/>
      <c r="AU171" s="5436"/>
      <c r="AV171" s="5436"/>
      <c r="AW171" s="5436"/>
      <c r="AX171" s="5436"/>
      <c r="AY171" s="5436"/>
      <c r="AZ171" s="5436"/>
      <c r="BA171" s="5436"/>
      <c r="BB171" s="5437"/>
      <c r="BC171" s="5440"/>
      <c r="BD171" s="1982" t="s">
        <v>560</v>
      </c>
      <c r="BE171" s="1935"/>
      <c r="BF171" s="1983"/>
      <c r="BG171" s="1983" t="str">
        <f t="shared" si="3"/>
        <v>Наименование признака дифференциации</v>
      </c>
      <c r="BH171" s="1983"/>
      <c r="BI171" s="1983"/>
    </row>
    <row r="172" spans="1:61" s="5001" customFormat="1" ht="23.25" customHeight="1">
      <c r="A172" s="1973"/>
      <c r="B172" s="1973"/>
      <c r="C172" s="1973"/>
      <c r="D172" s="1973"/>
      <c r="E172" s="5377"/>
      <c r="F172" s="5377"/>
      <c r="G172" s="5377" t="s">
        <v>114</v>
      </c>
      <c r="H172" s="5377"/>
      <c r="I172" s="5397"/>
      <c r="J172" s="5374" t="str">
        <f>I171&amp;".1"</f>
        <v>1.4.6.1.1</v>
      </c>
      <c r="K172" s="1973"/>
      <c r="L172" s="1974" t="s">
        <v>484</v>
      </c>
      <c r="M172" s="1986"/>
      <c r="N172" s="1986"/>
      <c r="O172" s="1986"/>
      <c r="P172" s="5375"/>
      <c r="Q172" s="5375">
        <v>1</v>
      </c>
      <c r="R172" s="1990"/>
      <c r="S172" s="1979" t="str">
        <f>$J172</f>
        <v>1.4.6.1.1</v>
      </c>
      <c r="T172" s="1991" t="s">
        <v>485</v>
      </c>
      <c r="U172" s="1981"/>
      <c r="V172" s="5365"/>
      <c r="W172" s="5366"/>
      <c r="X172" s="5366"/>
      <c r="Y172" s="5366"/>
      <c r="Z172" s="5366"/>
      <c r="AA172" s="5366"/>
      <c r="AB172" s="5366"/>
      <c r="AC172" s="5366"/>
      <c r="AD172" s="5366"/>
      <c r="AE172" s="5366"/>
      <c r="AF172" s="5367"/>
      <c r="AG172" s="5365" t="s">
        <v>619</v>
      </c>
      <c r="AH172" s="5366"/>
      <c r="AI172" s="5366"/>
      <c r="AJ172" s="5366"/>
      <c r="AK172" s="5366"/>
      <c r="AL172" s="5366"/>
      <c r="AM172" s="5366"/>
      <c r="AN172" s="5366"/>
      <c r="AO172" s="5366"/>
      <c r="AP172" s="5366"/>
      <c r="AQ172" s="5366"/>
      <c r="AR172" s="5365"/>
      <c r="AS172" s="5366"/>
      <c r="AT172" s="5366"/>
      <c r="AU172" s="5366"/>
      <c r="AV172" s="5366"/>
      <c r="AW172" s="5366"/>
      <c r="AX172" s="5366"/>
      <c r="AY172" s="5366"/>
      <c r="AZ172" s="5366"/>
      <c r="BA172" s="5366"/>
      <c r="BB172" s="5367"/>
      <c r="BC172" s="5367"/>
      <c r="BD172" s="1992" t="s">
        <v>561</v>
      </c>
      <c r="BE172" s="1935"/>
      <c r="BF172" s="1983"/>
      <c r="BG172" s="1983" t="str">
        <f t="shared" si="3"/>
        <v>Группа потребителей</v>
      </c>
      <c r="BH172" s="1983"/>
      <c r="BI172" s="1983"/>
    </row>
    <row r="173" spans="1:61" s="5002" customFormat="1" ht="23.25" customHeight="1">
      <c r="A173" s="1973"/>
      <c r="B173" s="1973"/>
      <c r="C173" s="1973"/>
      <c r="D173" s="1973"/>
      <c r="E173" s="5377"/>
      <c r="F173" s="5377"/>
      <c r="G173" s="5377" t="s">
        <v>114</v>
      </c>
      <c r="H173" s="5377"/>
      <c r="I173" s="5397"/>
      <c r="J173" s="5397"/>
      <c r="K173" s="5374" t="str">
        <f>J172&amp;".1"</f>
        <v>1.4.6.1.1.1</v>
      </c>
      <c r="L173" s="1974"/>
      <c r="M173" s="1986"/>
      <c r="N173" s="1986"/>
      <c r="O173" s="1986"/>
      <c r="P173" s="5375"/>
      <c r="Q173" s="5375"/>
      <c r="R173" s="1990">
        <v>1</v>
      </c>
      <c r="S173" s="1979" t="str">
        <f>$K173</f>
        <v>1.4.6.1.1.1</v>
      </c>
      <c r="T173" s="1993" t="s">
        <v>625</v>
      </c>
      <c r="U173" s="1981"/>
      <c r="V173" s="1893"/>
      <c r="W173" s="1893"/>
      <c r="X173" s="1893"/>
      <c r="Y173" s="1893"/>
      <c r="Z173" s="1893"/>
      <c r="AA173" s="1893"/>
      <c r="AB173" s="1893"/>
      <c r="AC173" s="5379"/>
      <c r="AD173" s="5225" t="s">
        <v>64</v>
      </c>
      <c r="AE173" s="5379"/>
      <c r="AF173" s="5225" t="s">
        <v>64</v>
      </c>
      <c r="AG173" s="1893"/>
      <c r="AH173" s="1893">
        <v>24.84</v>
      </c>
      <c r="AI173" s="1893"/>
      <c r="AJ173" s="1893"/>
      <c r="AK173" s="1893">
        <v>2220.09</v>
      </c>
      <c r="AL173" s="1893"/>
      <c r="AM173" s="1893"/>
      <c r="AN173" s="5379">
        <v>45292.396319444444</v>
      </c>
      <c r="AO173" s="5225" t="s">
        <v>64</v>
      </c>
      <c r="AP173" s="5398">
        <v>45473.396493055552</v>
      </c>
      <c r="AQ173" s="5225" t="s">
        <v>64</v>
      </c>
      <c r="AR173" s="1893"/>
      <c r="AS173" s="1893">
        <v>27.05</v>
      </c>
      <c r="AT173" s="1893"/>
      <c r="AU173" s="1893"/>
      <c r="AV173" s="1893">
        <v>2928.84</v>
      </c>
      <c r="AW173" s="1893"/>
      <c r="AX173" s="1893"/>
      <c r="AY173" s="5379">
        <v>45474.397222222222</v>
      </c>
      <c r="AZ173" s="5225" t="s">
        <v>64</v>
      </c>
      <c r="BA173" s="5379">
        <v>45657.397303240738</v>
      </c>
      <c r="BB173" s="5225" t="s">
        <v>64</v>
      </c>
      <c r="BC173" s="1994"/>
      <c r="BD173"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73" s="1935" t="e">
        <f ca="1">STRCHECKDATE(V174:BC174)</f>
        <v>#NAME?</v>
      </c>
      <c r="BF173" s="1983"/>
      <c r="BG173" s="1983" t="str">
        <f t="shared" si="3"/>
        <v>МУП "Водоканал"</v>
      </c>
      <c r="BH173" s="1983"/>
      <c r="BI173" s="1983"/>
    </row>
    <row r="174" spans="1:61" s="5003" customFormat="1" ht="14.25" customHeight="1">
      <c r="A174" s="1973"/>
      <c r="B174" s="1973"/>
      <c r="C174" s="1973"/>
      <c r="D174" s="1973"/>
      <c r="E174" s="5377"/>
      <c r="F174" s="5377"/>
      <c r="G174" s="5377" t="s">
        <v>114</v>
      </c>
      <c r="H174" s="5377"/>
      <c r="I174" s="5397"/>
      <c r="J174" s="5397"/>
      <c r="K174" s="5374"/>
      <c r="L174" s="1974"/>
      <c r="M174" s="1986"/>
      <c r="N174" s="1986"/>
      <c r="O174" s="1986"/>
      <c r="P174" s="5375"/>
      <c r="Q174" s="5375"/>
      <c r="R174" s="1990"/>
      <c r="S174" s="1995"/>
      <c r="T174" s="1981"/>
      <c r="U174" s="1981"/>
      <c r="V174" s="1894"/>
      <c r="W174" s="1894"/>
      <c r="X174" s="1894"/>
      <c r="Y174" s="1894"/>
      <c r="Z174" s="1894"/>
      <c r="AA174" s="1894"/>
      <c r="AB174" s="1894"/>
      <c r="AC174" s="5380"/>
      <c r="AD174" s="5225"/>
      <c r="AE174" s="5380"/>
      <c r="AF174" s="5225"/>
      <c r="AG174" s="1894"/>
      <c r="AH174" s="1894"/>
      <c r="AI174" s="1894"/>
      <c r="AJ174" s="1894"/>
      <c r="AK174" s="1894"/>
      <c r="AL174" s="1894"/>
      <c r="AM174" s="1894"/>
      <c r="AN174" s="5380"/>
      <c r="AO174" s="5225"/>
      <c r="AP174" s="5399"/>
      <c r="AQ174" s="5225"/>
      <c r="AR174" s="1894"/>
      <c r="AS174" s="1894"/>
      <c r="AT174" s="1894"/>
      <c r="AU174" s="1894"/>
      <c r="AV174" s="1894"/>
      <c r="AW174" s="1894"/>
      <c r="AX174" s="1894"/>
      <c r="AY174" s="5380"/>
      <c r="AZ174" s="5225"/>
      <c r="BA174" s="5380"/>
      <c r="BB174" s="5225"/>
      <c r="BC174" s="1996"/>
      <c r="BD174" s="5434"/>
      <c r="BE174" s="1935"/>
      <c r="BF174" s="1983"/>
      <c r="BG174" s="1983" t="str">
        <f t="shared" si="3"/>
        <v/>
      </c>
      <c r="BH174" s="1983"/>
      <c r="BI174" s="1983"/>
    </row>
    <row r="175" spans="1:61" s="5004" customFormat="1" ht="21" customHeight="1">
      <c r="A175" s="1973"/>
      <c r="B175" s="1973"/>
      <c r="C175" s="1973"/>
      <c r="D175" s="1973"/>
      <c r="E175" s="5377"/>
      <c r="F175" s="5377"/>
      <c r="G175" s="5377" t="s">
        <v>114</v>
      </c>
      <c r="H175" s="5377"/>
      <c r="I175" s="5397"/>
      <c r="J175" s="5374"/>
      <c r="K175" s="1973"/>
      <c r="L175" s="1974"/>
      <c r="M175" s="1986"/>
      <c r="N175" s="1986"/>
      <c r="O175" s="1986"/>
      <c r="P175" s="5375"/>
      <c r="Q175" s="5375"/>
      <c r="R175" s="1988"/>
      <c r="S175" s="3024"/>
      <c r="T175" s="3025" t="s">
        <v>562</v>
      </c>
      <c r="U175" s="3026"/>
      <c r="V175" s="3027"/>
      <c r="W175" s="3028"/>
      <c r="X175" s="3029"/>
      <c r="Y175" s="3030"/>
      <c r="Z175" s="3031"/>
      <c r="AA175" s="3032"/>
      <c r="AB175" s="3033"/>
      <c r="AC175" s="3034"/>
      <c r="AD175" s="3035"/>
      <c r="AE175" s="3036"/>
      <c r="AF175" s="3037"/>
      <c r="AG175" s="3038"/>
      <c r="AH175" s="3039"/>
      <c r="AI175" s="3040"/>
      <c r="AJ175" s="3041"/>
      <c r="AK175" s="3042"/>
      <c r="AL175" s="3043"/>
      <c r="AM175" s="3044"/>
      <c r="AN175" s="3045"/>
      <c r="AO175" s="3046"/>
      <c r="AP175" s="3047"/>
      <c r="AQ175" s="3048"/>
      <c r="AR175" s="3049"/>
      <c r="AS175" s="3050"/>
      <c r="AT175" s="3051"/>
      <c r="AU175" s="3052"/>
      <c r="AV175" s="3053"/>
      <c r="AW175" s="3054"/>
      <c r="AX175" s="3055"/>
      <c r="AY175" s="3056"/>
      <c r="AZ175" s="3057"/>
      <c r="BA175" s="3058"/>
      <c r="BB175" s="3059"/>
      <c r="BC175" s="3060"/>
      <c r="BD175" s="1982" t="s">
        <v>563</v>
      </c>
      <c r="BE175" s="1935"/>
      <c r="BF175" s="1983"/>
      <c r="BG175" s="1983" t="str">
        <f t="shared" si="3"/>
        <v>Добавить значение признака дифференциации</v>
      </c>
      <c r="BH175" s="1983"/>
      <c r="BI175" s="1983"/>
    </row>
    <row r="176" spans="1:61" s="5005" customFormat="1" ht="23.25" customHeight="1">
      <c r="A176" s="3933"/>
      <c r="B176" s="3933"/>
      <c r="C176" s="3933"/>
      <c r="D176" s="3933"/>
      <c r="E176" s="5377"/>
      <c r="F176" s="5377"/>
      <c r="G176" s="5377"/>
      <c r="H176" s="5377"/>
      <c r="I176" s="5397"/>
      <c r="J176" s="5374" t="str">
        <f>I171&amp;".2"</f>
        <v>1.4.6.1.2</v>
      </c>
      <c r="K176" s="3933"/>
      <c r="L176" s="3934" t="s">
        <v>484</v>
      </c>
      <c r="M176" s="3935"/>
      <c r="N176" s="3935"/>
      <c r="O176" s="3935"/>
      <c r="P176" s="5375"/>
      <c r="Q176" s="5452" t="s">
        <v>101</v>
      </c>
      <c r="R176" s="3937"/>
      <c r="S176" s="3938" t="str">
        <f>$J176</f>
        <v>1.4.6.1.2</v>
      </c>
      <c r="T176" s="3939" t="s">
        <v>485</v>
      </c>
      <c r="U176" s="3940"/>
      <c r="V176" s="5365"/>
      <c r="W176" s="5366"/>
      <c r="X176" s="5366"/>
      <c r="Y176" s="5366"/>
      <c r="Z176" s="5366"/>
      <c r="AA176" s="5366"/>
      <c r="AB176" s="5366"/>
      <c r="AC176" s="5366"/>
      <c r="AD176" s="5366"/>
      <c r="AE176" s="5366"/>
      <c r="AF176" s="5367"/>
      <c r="AG176" s="5365" t="s">
        <v>621</v>
      </c>
      <c r="AH176" s="5366"/>
      <c r="AI176" s="5366"/>
      <c r="AJ176" s="5366"/>
      <c r="AK176" s="5366"/>
      <c r="AL176" s="5366"/>
      <c r="AM176" s="5366"/>
      <c r="AN176" s="5366"/>
      <c r="AO176" s="5366"/>
      <c r="AP176" s="5366"/>
      <c r="AQ176" s="5366"/>
      <c r="AR176" s="5365"/>
      <c r="AS176" s="5366"/>
      <c r="AT176" s="5366"/>
      <c r="AU176" s="5366"/>
      <c r="AV176" s="5366"/>
      <c r="AW176" s="5366"/>
      <c r="AX176" s="5366"/>
      <c r="AY176" s="5366"/>
      <c r="AZ176" s="5366"/>
      <c r="BA176" s="5366"/>
      <c r="BB176" s="5453"/>
      <c r="BC176" s="5367"/>
      <c r="BD176" s="3941" t="s">
        <v>561</v>
      </c>
      <c r="BE176" s="3942"/>
      <c r="BF176" s="3943"/>
      <c r="BG176" s="3943" t="str">
        <f t="shared" si="3"/>
        <v>Группа потребителей</v>
      </c>
      <c r="BH176" s="3943"/>
      <c r="BI176" s="3943"/>
    </row>
    <row r="177" spans="1:61" s="5006" customFormat="1" ht="23.25" customHeight="1">
      <c r="A177" s="3933"/>
      <c r="B177" s="3933"/>
      <c r="C177" s="3933"/>
      <c r="D177" s="3933"/>
      <c r="E177" s="5377"/>
      <c r="F177" s="5377"/>
      <c r="G177" s="5377"/>
      <c r="H177" s="5377"/>
      <c r="I177" s="5397"/>
      <c r="J177" s="5397" t="str">
        <f>I171&amp;".1"</f>
        <v>1.4.6.1.1</v>
      </c>
      <c r="K177" s="5374" t="str">
        <f>J176&amp;".1"</f>
        <v>1.4.6.1.2.1</v>
      </c>
      <c r="L177" s="3934"/>
      <c r="M177" s="3935"/>
      <c r="N177" s="3935"/>
      <c r="O177" s="3935"/>
      <c r="P177" s="5375"/>
      <c r="Q177" s="5375"/>
      <c r="R177" s="3937">
        <v>1</v>
      </c>
      <c r="S177" s="3938" t="str">
        <f>$K177</f>
        <v>1.4.6.1.2.1</v>
      </c>
      <c r="T177" s="3944" t="s">
        <v>625</v>
      </c>
      <c r="U177" s="3940"/>
      <c r="V177" s="3931"/>
      <c r="W177" s="3931"/>
      <c r="X177" s="3931"/>
      <c r="Y177" s="3931"/>
      <c r="Z177" s="3931"/>
      <c r="AA177" s="3931"/>
      <c r="AB177" s="3931"/>
      <c r="AC177" s="5379"/>
      <c r="AD177" s="5225" t="s">
        <v>64</v>
      </c>
      <c r="AE177" s="5379"/>
      <c r="AF177" s="5225" t="s">
        <v>64</v>
      </c>
      <c r="AG177" s="3931"/>
      <c r="AH177" s="3931">
        <v>24.84</v>
      </c>
      <c r="AI177" s="3931"/>
      <c r="AJ177" s="3931"/>
      <c r="AK177" s="3931">
        <v>2664.11</v>
      </c>
      <c r="AL177" s="3931"/>
      <c r="AM177" s="3931"/>
      <c r="AN177" s="5379">
        <v>45292.396319444444</v>
      </c>
      <c r="AO177" s="5225" t="s">
        <v>64</v>
      </c>
      <c r="AP177" s="5398">
        <v>45473.396493055552</v>
      </c>
      <c r="AQ177" s="5225" t="s">
        <v>64</v>
      </c>
      <c r="AR177" s="3931"/>
      <c r="AS177" s="3931">
        <v>27.05</v>
      </c>
      <c r="AT177" s="3931"/>
      <c r="AU177" s="3931"/>
      <c r="AV177" s="3931">
        <v>3063.73</v>
      </c>
      <c r="AW177" s="3931"/>
      <c r="AX177" s="3931"/>
      <c r="AY177" s="5379">
        <v>45474.397222222222</v>
      </c>
      <c r="AZ177" s="5225" t="s">
        <v>64</v>
      </c>
      <c r="BA177" s="5379">
        <v>45657.397303240738</v>
      </c>
      <c r="BB177" s="5451" t="s">
        <v>64</v>
      </c>
      <c r="BC177" s="3945"/>
      <c r="BD17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77" s="3942" t="e">
        <f ca="1">STRCHECKDATE(V178:BC178)</f>
        <v>#NAME?</v>
      </c>
      <c r="BF177" s="3943"/>
      <c r="BG177" s="3943" t="str">
        <f t="shared" si="3"/>
        <v>МУП "Водоканал"</v>
      </c>
      <c r="BH177" s="3943"/>
      <c r="BI177" s="3943"/>
    </row>
    <row r="178" spans="1:61" s="5007" customFormat="1" ht="14.25" customHeight="1">
      <c r="A178" s="3933"/>
      <c r="B178" s="3933"/>
      <c r="C178" s="3933"/>
      <c r="D178" s="3933"/>
      <c r="E178" s="5377"/>
      <c r="F178" s="5377"/>
      <c r="G178" s="5377"/>
      <c r="H178" s="5377"/>
      <c r="I178" s="5397"/>
      <c r="J178" s="5397" t="str">
        <f>I171&amp;".1"</f>
        <v>1.4.6.1.1</v>
      </c>
      <c r="K178" s="5374"/>
      <c r="L178" s="3934"/>
      <c r="M178" s="3935"/>
      <c r="N178" s="3935"/>
      <c r="O178" s="3935"/>
      <c r="P178" s="5375"/>
      <c r="Q178" s="5375"/>
      <c r="R178" s="3937"/>
      <c r="S178" s="3946"/>
      <c r="T178" s="3940"/>
      <c r="U178" s="3940"/>
      <c r="V178" s="3932"/>
      <c r="W178" s="3932"/>
      <c r="X178" s="3932"/>
      <c r="Y178" s="3932"/>
      <c r="Z178" s="3932"/>
      <c r="AA178" s="3932"/>
      <c r="AB178" s="3932"/>
      <c r="AC178" s="5380"/>
      <c r="AD178" s="5225"/>
      <c r="AE178" s="5380"/>
      <c r="AF178" s="5225"/>
      <c r="AG178" s="3932"/>
      <c r="AH178" s="3932"/>
      <c r="AI178" s="3932"/>
      <c r="AJ178" s="3932"/>
      <c r="AK178" s="3932"/>
      <c r="AL178" s="3932"/>
      <c r="AM178" s="3932"/>
      <c r="AN178" s="5380"/>
      <c r="AO178" s="5225"/>
      <c r="AP178" s="5399"/>
      <c r="AQ178" s="5225"/>
      <c r="AR178" s="3932"/>
      <c r="AS178" s="3932"/>
      <c r="AT178" s="3932"/>
      <c r="AU178" s="3932"/>
      <c r="AV178" s="3932"/>
      <c r="AW178" s="3932"/>
      <c r="AX178" s="3932"/>
      <c r="AY178" s="5380"/>
      <c r="AZ178" s="5225"/>
      <c r="BA178" s="5380"/>
      <c r="BB178" s="5451"/>
      <c r="BC178" s="3947"/>
      <c r="BD178" s="5434"/>
      <c r="BE178" s="3942"/>
      <c r="BF178" s="3943"/>
      <c r="BG178" s="3943" t="str">
        <f t="shared" si="3"/>
        <v/>
      </c>
      <c r="BH178" s="3943"/>
      <c r="BI178" s="3943"/>
    </row>
    <row r="179" spans="1:61" s="5008" customFormat="1" ht="21" customHeight="1">
      <c r="A179" s="3933"/>
      <c r="B179" s="3933"/>
      <c r="C179" s="3933"/>
      <c r="D179" s="3933"/>
      <c r="E179" s="5377"/>
      <c r="F179" s="5377"/>
      <c r="G179" s="5377"/>
      <c r="H179" s="5377"/>
      <c r="I179" s="5397"/>
      <c r="J179" s="5374" t="str">
        <f>I171&amp;".1"</f>
        <v>1.4.6.1.1</v>
      </c>
      <c r="K179" s="3933"/>
      <c r="L179" s="3934"/>
      <c r="M179" s="3935"/>
      <c r="N179" s="3935"/>
      <c r="O179" s="3935"/>
      <c r="P179" s="5375"/>
      <c r="Q179" s="5375"/>
      <c r="R179" s="3948"/>
      <c r="S179" s="4320"/>
      <c r="T179" s="4321" t="s">
        <v>562</v>
      </c>
      <c r="U179" s="4322"/>
      <c r="V179" s="4323"/>
      <c r="W179" s="4324"/>
      <c r="X179" s="4325"/>
      <c r="Y179" s="4326"/>
      <c r="Z179" s="4327"/>
      <c r="AA179" s="4328"/>
      <c r="AB179" s="4329"/>
      <c r="AC179" s="4330"/>
      <c r="AD179" s="4331"/>
      <c r="AE179" s="4332"/>
      <c r="AF179" s="4333"/>
      <c r="AG179" s="4334"/>
      <c r="AH179" s="4335"/>
      <c r="AI179" s="4336"/>
      <c r="AJ179" s="4337"/>
      <c r="AK179" s="4338"/>
      <c r="AL179" s="4339"/>
      <c r="AM179" s="4340"/>
      <c r="AN179" s="4341"/>
      <c r="AO179" s="4342"/>
      <c r="AP179" s="4343"/>
      <c r="AQ179" s="4344"/>
      <c r="AR179" s="4345"/>
      <c r="AS179" s="4346"/>
      <c r="AT179" s="4347"/>
      <c r="AU179" s="4348"/>
      <c r="AV179" s="4349"/>
      <c r="AW179" s="4350"/>
      <c r="AX179" s="4351"/>
      <c r="AY179" s="4352"/>
      <c r="AZ179" s="4353"/>
      <c r="BA179" s="4354"/>
      <c r="BB179" s="4355"/>
      <c r="BC179" s="4356"/>
      <c r="BD179" s="3986" t="s">
        <v>563</v>
      </c>
      <c r="BE179" s="3942"/>
      <c r="BF179" s="3943"/>
      <c r="BG179" s="3943" t="str">
        <f t="shared" si="3"/>
        <v>Добавить значение признака дифференциации</v>
      </c>
      <c r="BH179" s="3943"/>
      <c r="BI179" s="3943"/>
    </row>
    <row r="180" spans="1:61" s="5009" customFormat="1" ht="21" customHeight="1">
      <c r="A180" s="1973"/>
      <c r="B180" s="1973"/>
      <c r="C180" s="1973"/>
      <c r="D180" s="1973"/>
      <c r="E180" s="5377"/>
      <c r="F180" s="5377"/>
      <c r="G180" s="5377" t="s">
        <v>114</v>
      </c>
      <c r="H180" s="5377"/>
      <c r="I180" s="5374"/>
      <c r="J180" s="1973"/>
      <c r="K180" s="1973"/>
      <c r="L180" s="1974"/>
      <c r="M180" s="1986"/>
      <c r="N180" s="1986"/>
      <c r="O180" s="1986"/>
      <c r="P180" s="5375"/>
      <c r="Q180" s="1987"/>
      <c r="R180" s="1988"/>
      <c r="S180" s="3061"/>
      <c r="T180" s="3062" t="s">
        <v>490</v>
      </c>
      <c r="U180" s="3063"/>
      <c r="V180" s="3064"/>
      <c r="W180" s="3065"/>
      <c r="X180" s="3066"/>
      <c r="Y180" s="3067"/>
      <c r="Z180" s="3068"/>
      <c r="AA180" s="3069"/>
      <c r="AB180" s="3070"/>
      <c r="AC180" s="3071"/>
      <c r="AD180" s="3072"/>
      <c r="AE180" s="3073"/>
      <c r="AF180" s="3074"/>
      <c r="AG180" s="3075"/>
      <c r="AH180" s="3076"/>
      <c r="AI180" s="3077"/>
      <c r="AJ180" s="3078"/>
      <c r="AK180" s="3079"/>
      <c r="AL180" s="3080"/>
      <c r="AM180" s="3081"/>
      <c r="AN180" s="3082"/>
      <c r="AO180" s="3083"/>
      <c r="AP180" s="3084"/>
      <c r="AQ180" s="3085"/>
      <c r="AR180" s="3086"/>
      <c r="AS180" s="3087"/>
      <c r="AT180" s="3088"/>
      <c r="AU180" s="3089"/>
      <c r="AV180" s="3090"/>
      <c r="AW180" s="3091"/>
      <c r="AX180" s="3092"/>
      <c r="AY180" s="3093"/>
      <c r="AZ180" s="3094"/>
      <c r="BA180" s="3095"/>
      <c r="BB180" s="3096"/>
      <c r="BC180" s="3097"/>
      <c r="BD180" s="3098"/>
      <c r="BE180" s="1935"/>
      <c r="BF180" s="1983"/>
      <c r="BG180" s="1983" t="str">
        <f t="shared" si="3"/>
        <v>Добавить группу потребителей</v>
      </c>
      <c r="BH180" s="1983"/>
      <c r="BI180" s="1983"/>
    </row>
    <row r="181" spans="1:61" s="5010" customFormat="1" ht="21" customHeight="1">
      <c r="A181" s="1973"/>
      <c r="B181" s="1973"/>
      <c r="C181" s="1973"/>
      <c r="D181" s="1973"/>
      <c r="E181" s="5377"/>
      <c r="F181" s="5377"/>
      <c r="G181" s="5377" t="s">
        <v>114</v>
      </c>
      <c r="H181" s="5376"/>
      <c r="I181" s="1973"/>
      <c r="J181" s="1973"/>
      <c r="K181" s="1973"/>
      <c r="L181" s="1974"/>
      <c r="M181" s="1975"/>
      <c r="N181" s="1975"/>
      <c r="O181" s="1929"/>
      <c r="P181" s="2072"/>
      <c r="Q181" s="2073"/>
      <c r="R181" s="2074"/>
      <c r="S181" s="3099"/>
      <c r="T181" s="3100" t="s">
        <v>564</v>
      </c>
      <c r="U181" s="3101"/>
      <c r="V181" s="3102"/>
      <c r="W181" s="3103"/>
      <c r="X181" s="3104"/>
      <c r="Y181" s="3105"/>
      <c r="Z181" s="3106"/>
      <c r="AA181" s="3107"/>
      <c r="AB181" s="3108"/>
      <c r="AC181" s="3109"/>
      <c r="AD181" s="3110"/>
      <c r="AE181" s="3111"/>
      <c r="AF181" s="3112"/>
      <c r="AG181" s="3113"/>
      <c r="AH181" s="3114"/>
      <c r="AI181" s="3115"/>
      <c r="AJ181" s="3116"/>
      <c r="AK181" s="3117"/>
      <c r="AL181" s="3118"/>
      <c r="AM181" s="3119"/>
      <c r="AN181" s="3120"/>
      <c r="AO181" s="3121"/>
      <c r="AP181" s="3122"/>
      <c r="AQ181" s="3123"/>
      <c r="AR181" s="3124"/>
      <c r="AS181" s="3125"/>
      <c r="AT181" s="3126"/>
      <c r="AU181" s="3127"/>
      <c r="AV181" s="3128"/>
      <c r="AW181" s="3129"/>
      <c r="AX181" s="3130"/>
      <c r="AY181" s="3131"/>
      <c r="AZ181" s="3132"/>
      <c r="BA181" s="3133"/>
      <c r="BB181" s="3134"/>
      <c r="BC181" s="3135"/>
      <c r="BD181" s="3136"/>
      <c r="BE181" s="1935"/>
      <c r="BF181" s="1983"/>
      <c r="BG181" s="1983" t="str">
        <f t="shared" si="3"/>
        <v>Добавить наименование признака дифференциации</v>
      </c>
      <c r="BH181" s="1983"/>
      <c r="BI181" s="1983"/>
    </row>
    <row r="182" spans="1:61" s="5011" customFormat="1" ht="23.25" customHeight="1">
      <c r="A182" s="1973"/>
      <c r="B182" s="1973"/>
      <c r="C182" s="1973" t="s">
        <v>306</v>
      </c>
      <c r="D182" s="1973"/>
      <c r="E182" s="5377"/>
      <c r="F182" s="5377"/>
      <c r="G182" s="5376" t="s">
        <v>90</v>
      </c>
      <c r="H182" s="1973"/>
      <c r="I182" s="1973"/>
      <c r="J182" s="1973"/>
      <c r="K182" s="1973"/>
      <c r="L182" s="1974"/>
      <c r="M182" s="1975"/>
      <c r="N182" s="1975"/>
      <c r="O182" s="1975"/>
      <c r="P182" s="1984"/>
      <c r="Q182" s="1977"/>
      <c r="R182" s="1978"/>
      <c r="S182" s="1979" t="str">
        <f>INDEX(PT_DIFFERENTIATION_NUM_CS,MATCH(C182,PT_DIFFERENTIATION_CS_ID,0))</f>
        <v>1.4.7</v>
      </c>
      <c r="T182" s="1985" t="s">
        <v>606</v>
      </c>
      <c r="U182" s="1981"/>
      <c r="V182" s="5362"/>
      <c r="W182" s="5363"/>
      <c r="X182" s="5363"/>
      <c r="Y182" s="5363"/>
      <c r="Z182" s="5363"/>
      <c r="AA182" s="5363"/>
      <c r="AB182" s="5363"/>
      <c r="AC182" s="5363"/>
      <c r="AD182" s="5363"/>
      <c r="AE182" s="5363"/>
      <c r="AF182" s="5364"/>
      <c r="AG182" s="5362" t="str">
        <f>INDEX(PT_DIFFERENTIATION_CS,MATCH(C182,PT_DIFFERENTIATION_CS_ID,0))</f>
        <v>г.Сергиев Посад, Загорские Дали</v>
      </c>
      <c r="AH182" s="5363"/>
      <c r="AI182" s="5363"/>
      <c r="AJ182" s="5363"/>
      <c r="AK182" s="5363"/>
      <c r="AL182" s="5363"/>
      <c r="AM182" s="5363"/>
      <c r="AN182" s="5363"/>
      <c r="AO182" s="5363"/>
      <c r="AP182" s="5363"/>
      <c r="AQ182" s="5363"/>
      <c r="AR182" s="5362"/>
      <c r="AS182" s="5363"/>
      <c r="AT182" s="5363"/>
      <c r="AU182" s="5363"/>
      <c r="AV182" s="5363"/>
      <c r="AW182" s="5363"/>
      <c r="AX182" s="5363"/>
      <c r="AY182" s="5363"/>
      <c r="AZ182" s="5363"/>
      <c r="BA182" s="5363"/>
      <c r="BB182" s="5364"/>
      <c r="BC182" s="5364"/>
      <c r="BD182" s="1982" t="s">
        <v>607</v>
      </c>
      <c r="BE182" s="1935"/>
      <c r="BF182" s="1983"/>
      <c r="BG182" s="1983" t="str">
        <f t="shared" si="3"/>
        <v>Наименование централизованной системы горячего водоснабжения</v>
      </c>
      <c r="BH182" s="1983"/>
      <c r="BI182" s="1983"/>
    </row>
    <row r="183" spans="1:61" s="5012" customFormat="1" ht="23.25" customHeight="1">
      <c r="A183" s="1973"/>
      <c r="B183" s="1973"/>
      <c r="C183" s="1973"/>
      <c r="D183" s="1973"/>
      <c r="E183" s="5377"/>
      <c r="F183" s="5377"/>
      <c r="G183" s="5377" t="s">
        <v>89</v>
      </c>
      <c r="H183" s="5377"/>
      <c r="I183" s="5374" t="str">
        <f>S182&amp;".1"</f>
        <v>1.4.7.1</v>
      </c>
      <c r="J183" s="1973"/>
      <c r="K183" s="1973"/>
      <c r="L183" s="1974"/>
      <c r="M183" s="1986"/>
      <c r="N183" s="1986"/>
      <c r="O183" s="1986"/>
      <c r="P183" s="5375">
        <v>1</v>
      </c>
      <c r="Q183" s="1987"/>
      <c r="R183" s="1988"/>
      <c r="S183" s="1979" t="str">
        <f>$I183</f>
        <v>1.4.7.1</v>
      </c>
      <c r="T183" s="1989" t="s">
        <v>559</v>
      </c>
      <c r="U183" s="1981"/>
      <c r="V183" s="5435"/>
      <c r="W183" s="5436"/>
      <c r="X183" s="5436"/>
      <c r="Y183" s="5436"/>
      <c r="Z183" s="5436"/>
      <c r="AA183" s="5436"/>
      <c r="AB183" s="5436"/>
      <c r="AC183" s="5436"/>
      <c r="AD183" s="5436"/>
      <c r="AE183" s="5436"/>
      <c r="AF183" s="5437"/>
      <c r="AG183" s="5438"/>
      <c r="AH183" s="5439"/>
      <c r="AI183" s="5439"/>
      <c r="AJ183" s="5439"/>
      <c r="AK183" s="5439"/>
      <c r="AL183" s="5439"/>
      <c r="AM183" s="5439"/>
      <c r="AN183" s="5439"/>
      <c r="AO183" s="5439"/>
      <c r="AP183" s="5439"/>
      <c r="AQ183" s="5439"/>
      <c r="AR183" s="5435"/>
      <c r="AS183" s="5436"/>
      <c r="AT183" s="5436"/>
      <c r="AU183" s="5436"/>
      <c r="AV183" s="5436"/>
      <c r="AW183" s="5436"/>
      <c r="AX183" s="5436"/>
      <c r="AY183" s="5436"/>
      <c r="AZ183" s="5436"/>
      <c r="BA183" s="5436"/>
      <c r="BB183" s="5437"/>
      <c r="BC183" s="5440"/>
      <c r="BD183" s="1982" t="s">
        <v>560</v>
      </c>
      <c r="BE183" s="1935"/>
      <c r="BF183" s="1983"/>
      <c r="BG183" s="1983" t="str">
        <f t="shared" si="3"/>
        <v>Наименование признака дифференциации</v>
      </c>
      <c r="BH183" s="1983"/>
      <c r="BI183" s="1983"/>
    </row>
    <row r="184" spans="1:61" s="5013" customFormat="1" ht="23.25" customHeight="1">
      <c r="A184" s="1973"/>
      <c r="B184" s="1973"/>
      <c r="C184" s="1973"/>
      <c r="D184" s="1973"/>
      <c r="E184" s="5377"/>
      <c r="F184" s="5377"/>
      <c r="G184" s="5377" t="s">
        <v>89</v>
      </c>
      <c r="H184" s="5377"/>
      <c r="I184" s="5397"/>
      <c r="J184" s="5374" t="str">
        <f>I183&amp;".1"</f>
        <v>1.4.7.1.1</v>
      </c>
      <c r="K184" s="1973"/>
      <c r="L184" s="1974" t="s">
        <v>484</v>
      </c>
      <c r="M184" s="1986"/>
      <c r="N184" s="1986"/>
      <c r="O184" s="1986"/>
      <c r="P184" s="5375"/>
      <c r="Q184" s="5375">
        <v>1</v>
      </c>
      <c r="R184" s="1990"/>
      <c r="S184" s="1979" t="str">
        <f>$J184</f>
        <v>1.4.7.1.1</v>
      </c>
      <c r="T184" s="1991" t="s">
        <v>485</v>
      </c>
      <c r="U184" s="1981"/>
      <c r="V184" s="5365"/>
      <c r="W184" s="5366"/>
      <c r="X184" s="5366"/>
      <c r="Y184" s="5366"/>
      <c r="Z184" s="5366"/>
      <c r="AA184" s="5366"/>
      <c r="AB184" s="5366"/>
      <c r="AC184" s="5366"/>
      <c r="AD184" s="5366"/>
      <c r="AE184" s="5366"/>
      <c r="AF184" s="5367"/>
      <c r="AG184" s="5365" t="s">
        <v>619</v>
      </c>
      <c r="AH184" s="5366"/>
      <c r="AI184" s="5366"/>
      <c r="AJ184" s="5366"/>
      <c r="AK184" s="5366"/>
      <c r="AL184" s="5366"/>
      <c r="AM184" s="5366"/>
      <c r="AN184" s="5366"/>
      <c r="AO184" s="5366"/>
      <c r="AP184" s="5366"/>
      <c r="AQ184" s="5366"/>
      <c r="AR184" s="5365"/>
      <c r="AS184" s="5366"/>
      <c r="AT184" s="5366"/>
      <c r="AU184" s="5366"/>
      <c r="AV184" s="5366"/>
      <c r="AW184" s="5366"/>
      <c r="AX184" s="5366"/>
      <c r="AY184" s="5366"/>
      <c r="AZ184" s="5366"/>
      <c r="BA184" s="5366"/>
      <c r="BB184" s="5367"/>
      <c r="BC184" s="5367"/>
      <c r="BD184" s="1992" t="s">
        <v>561</v>
      </c>
      <c r="BE184" s="1935"/>
      <c r="BF184" s="1983"/>
      <c r="BG184" s="1983" t="str">
        <f t="shared" si="3"/>
        <v>Группа потребителей</v>
      </c>
      <c r="BH184" s="1983"/>
      <c r="BI184" s="1983"/>
    </row>
    <row r="185" spans="1:61" s="5014" customFormat="1" ht="23.25" customHeight="1">
      <c r="A185" s="1973"/>
      <c r="B185" s="1973"/>
      <c r="C185" s="1973"/>
      <c r="D185" s="1973"/>
      <c r="E185" s="5377"/>
      <c r="F185" s="5377"/>
      <c r="G185" s="5377" t="s">
        <v>89</v>
      </c>
      <c r="H185" s="5377"/>
      <c r="I185" s="5397"/>
      <c r="J185" s="5397"/>
      <c r="K185" s="5374" t="str">
        <f>J184&amp;".1"</f>
        <v>1.4.7.1.1.1</v>
      </c>
      <c r="L185" s="1974"/>
      <c r="M185" s="1986"/>
      <c r="N185" s="1986"/>
      <c r="O185" s="1986"/>
      <c r="P185" s="5375"/>
      <c r="Q185" s="5375"/>
      <c r="R185" s="1990">
        <v>1</v>
      </c>
      <c r="S185" s="1979" t="str">
        <f>$K185</f>
        <v>1.4.7.1.1.1</v>
      </c>
      <c r="T185" s="1993" t="s">
        <v>626</v>
      </c>
      <c r="U185" s="1981"/>
      <c r="V185" s="1893"/>
      <c r="W185" s="1893"/>
      <c r="X185" s="1893"/>
      <c r="Y185" s="1893"/>
      <c r="Z185" s="1893"/>
      <c r="AA185" s="1893"/>
      <c r="AB185" s="1893"/>
      <c r="AC185" s="5379"/>
      <c r="AD185" s="5225" t="s">
        <v>64</v>
      </c>
      <c r="AE185" s="5379"/>
      <c r="AF185" s="5225" t="s">
        <v>64</v>
      </c>
      <c r="AG185" s="1893"/>
      <c r="AH185" s="1893">
        <v>15.97</v>
      </c>
      <c r="AI185" s="1893"/>
      <c r="AJ185" s="1893"/>
      <c r="AK185" s="1893">
        <v>2220.09</v>
      </c>
      <c r="AL185" s="1893"/>
      <c r="AM185" s="1893"/>
      <c r="AN185" s="5379">
        <v>45292.396319444444</v>
      </c>
      <c r="AO185" s="5225" t="s">
        <v>64</v>
      </c>
      <c r="AP185" s="5398">
        <v>45473.396493055552</v>
      </c>
      <c r="AQ185" s="5225" t="s">
        <v>64</v>
      </c>
      <c r="AR185" s="1893"/>
      <c r="AS185" s="1893">
        <v>17.48</v>
      </c>
      <c r="AT185" s="1893"/>
      <c r="AU185" s="1893"/>
      <c r="AV185" s="1893">
        <v>2928.84</v>
      </c>
      <c r="AW185" s="1893"/>
      <c r="AX185" s="1893"/>
      <c r="AY185" s="5379">
        <v>45474.397222222222</v>
      </c>
      <c r="AZ185" s="5225" t="s">
        <v>64</v>
      </c>
      <c r="BA185" s="5379">
        <v>45657.397303240738</v>
      </c>
      <c r="BB185" s="5225" t="s">
        <v>64</v>
      </c>
      <c r="BC185" s="1994"/>
      <c r="BD185"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85" s="1935" t="e">
        <f ca="1">STRCHECKDATE(V186:BC186)</f>
        <v>#NAME?</v>
      </c>
      <c r="BF185" s="1983"/>
      <c r="BG185" s="1983" t="str">
        <f t="shared" si="3"/>
        <v>ФГУП "Санаторий Загорские Дали"</v>
      </c>
      <c r="BH185" s="1983"/>
      <c r="BI185" s="1983"/>
    </row>
    <row r="186" spans="1:61" s="5015" customFormat="1" ht="14.25" customHeight="1">
      <c r="A186" s="1973"/>
      <c r="B186" s="1973"/>
      <c r="C186" s="1973"/>
      <c r="D186" s="1973"/>
      <c r="E186" s="5377"/>
      <c r="F186" s="5377"/>
      <c r="G186" s="5377" t="s">
        <v>89</v>
      </c>
      <c r="H186" s="5377"/>
      <c r="I186" s="5397"/>
      <c r="J186" s="5397"/>
      <c r="K186" s="5374"/>
      <c r="L186" s="1974"/>
      <c r="M186" s="1986"/>
      <c r="N186" s="1986"/>
      <c r="O186" s="1986"/>
      <c r="P186" s="5375"/>
      <c r="Q186" s="5375"/>
      <c r="R186" s="1990"/>
      <c r="S186" s="1995"/>
      <c r="T186" s="1981"/>
      <c r="U186" s="1981"/>
      <c r="V186" s="1894"/>
      <c r="W186" s="1894"/>
      <c r="X186" s="1894"/>
      <c r="Y186" s="1894"/>
      <c r="Z186" s="1894"/>
      <c r="AA186" s="1894"/>
      <c r="AB186" s="1894"/>
      <c r="AC186" s="5380"/>
      <c r="AD186" s="5225"/>
      <c r="AE186" s="5380"/>
      <c r="AF186" s="5225"/>
      <c r="AG186" s="1894"/>
      <c r="AH186" s="1894"/>
      <c r="AI186" s="1894"/>
      <c r="AJ186" s="1894"/>
      <c r="AK186" s="1894"/>
      <c r="AL186" s="1894"/>
      <c r="AM186" s="1894"/>
      <c r="AN186" s="5380"/>
      <c r="AO186" s="5225"/>
      <c r="AP186" s="5399"/>
      <c r="AQ186" s="5225"/>
      <c r="AR186" s="1894"/>
      <c r="AS186" s="1894"/>
      <c r="AT186" s="1894"/>
      <c r="AU186" s="1894"/>
      <c r="AV186" s="1894"/>
      <c r="AW186" s="1894"/>
      <c r="AX186" s="1894"/>
      <c r="AY186" s="5380"/>
      <c r="AZ186" s="5225"/>
      <c r="BA186" s="5380"/>
      <c r="BB186" s="5225"/>
      <c r="BC186" s="1996"/>
      <c r="BD186" s="5434"/>
      <c r="BE186" s="1935"/>
      <c r="BF186" s="1983"/>
      <c r="BG186" s="1983" t="str">
        <f t="shared" si="3"/>
        <v/>
      </c>
      <c r="BH186" s="1983"/>
      <c r="BI186" s="1983"/>
    </row>
    <row r="187" spans="1:61" s="5016" customFormat="1" ht="21" customHeight="1">
      <c r="A187" s="1973"/>
      <c r="B187" s="1973"/>
      <c r="C187" s="1973"/>
      <c r="D187" s="1973"/>
      <c r="E187" s="5377"/>
      <c r="F187" s="5377"/>
      <c r="G187" s="5377" t="s">
        <v>89</v>
      </c>
      <c r="H187" s="5377"/>
      <c r="I187" s="5397"/>
      <c r="J187" s="5374"/>
      <c r="K187" s="1973"/>
      <c r="L187" s="1974"/>
      <c r="M187" s="1986"/>
      <c r="N187" s="1986"/>
      <c r="O187" s="1986"/>
      <c r="P187" s="5375"/>
      <c r="Q187" s="5375"/>
      <c r="R187" s="1988"/>
      <c r="S187" s="3137"/>
      <c r="T187" s="3138" t="s">
        <v>562</v>
      </c>
      <c r="U187" s="3139"/>
      <c r="V187" s="3140"/>
      <c r="W187" s="3141"/>
      <c r="X187" s="3142"/>
      <c r="Y187" s="3143"/>
      <c r="Z187" s="3144"/>
      <c r="AA187" s="3145"/>
      <c r="AB187" s="3146"/>
      <c r="AC187" s="3147"/>
      <c r="AD187" s="3148"/>
      <c r="AE187" s="3149"/>
      <c r="AF187" s="3150"/>
      <c r="AG187" s="3151"/>
      <c r="AH187" s="3152"/>
      <c r="AI187" s="3153"/>
      <c r="AJ187" s="3154"/>
      <c r="AK187" s="3155"/>
      <c r="AL187" s="3156"/>
      <c r="AM187" s="3157"/>
      <c r="AN187" s="3158"/>
      <c r="AO187" s="3159"/>
      <c r="AP187" s="3160"/>
      <c r="AQ187" s="3161"/>
      <c r="AR187" s="3162"/>
      <c r="AS187" s="3163"/>
      <c r="AT187" s="3164"/>
      <c r="AU187" s="3165"/>
      <c r="AV187" s="3166"/>
      <c r="AW187" s="3167"/>
      <c r="AX187" s="3168"/>
      <c r="AY187" s="3169"/>
      <c r="AZ187" s="3170"/>
      <c r="BA187" s="3171"/>
      <c r="BB187" s="3172"/>
      <c r="BC187" s="3173"/>
      <c r="BD187" s="1982" t="s">
        <v>563</v>
      </c>
      <c r="BE187" s="1935"/>
      <c r="BF187" s="1983"/>
      <c r="BG187" s="1983" t="str">
        <f t="shared" si="3"/>
        <v>Добавить значение признака дифференциации</v>
      </c>
      <c r="BH187" s="1983"/>
      <c r="BI187" s="1983"/>
    </row>
    <row r="188" spans="1:61" s="5017" customFormat="1" ht="23.25" customHeight="1">
      <c r="A188" s="3933"/>
      <c r="B188" s="3933"/>
      <c r="C188" s="3933"/>
      <c r="D188" s="3933"/>
      <c r="E188" s="5377"/>
      <c r="F188" s="5377"/>
      <c r="G188" s="5377"/>
      <c r="H188" s="5377"/>
      <c r="I188" s="5397"/>
      <c r="J188" s="5374" t="str">
        <f>I183&amp;".2"</f>
        <v>1.4.7.1.2</v>
      </c>
      <c r="K188" s="3933"/>
      <c r="L188" s="3934" t="s">
        <v>484</v>
      </c>
      <c r="M188" s="3935"/>
      <c r="N188" s="3935"/>
      <c r="O188" s="3935"/>
      <c r="P188" s="5375"/>
      <c r="Q188" s="5452" t="s">
        <v>101</v>
      </c>
      <c r="R188" s="3937"/>
      <c r="S188" s="3938" t="str">
        <f>$J188</f>
        <v>1.4.7.1.2</v>
      </c>
      <c r="T188" s="3939" t="s">
        <v>485</v>
      </c>
      <c r="U188" s="3940"/>
      <c r="V188" s="5365"/>
      <c r="W188" s="5366"/>
      <c r="X188" s="5366"/>
      <c r="Y188" s="5366"/>
      <c r="Z188" s="5366"/>
      <c r="AA188" s="5366"/>
      <c r="AB188" s="5366"/>
      <c r="AC188" s="5366"/>
      <c r="AD188" s="5366"/>
      <c r="AE188" s="5366"/>
      <c r="AF188" s="5367"/>
      <c r="AG188" s="5365" t="s">
        <v>621</v>
      </c>
      <c r="AH188" s="5366"/>
      <c r="AI188" s="5366"/>
      <c r="AJ188" s="5366"/>
      <c r="AK188" s="5366"/>
      <c r="AL188" s="5366"/>
      <c r="AM188" s="5366"/>
      <c r="AN188" s="5366"/>
      <c r="AO188" s="5366"/>
      <c r="AP188" s="5366"/>
      <c r="AQ188" s="5366"/>
      <c r="AR188" s="5365"/>
      <c r="AS188" s="5366"/>
      <c r="AT188" s="5366"/>
      <c r="AU188" s="5366"/>
      <c r="AV188" s="5366"/>
      <c r="AW188" s="5366"/>
      <c r="AX188" s="5366"/>
      <c r="AY188" s="5366"/>
      <c r="AZ188" s="5366"/>
      <c r="BA188" s="5366"/>
      <c r="BB188" s="5453"/>
      <c r="BC188" s="5367"/>
      <c r="BD188" s="3941" t="s">
        <v>561</v>
      </c>
      <c r="BE188" s="3942"/>
      <c r="BF188" s="3943"/>
      <c r="BG188" s="3943" t="str">
        <f t="shared" si="3"/>
        <v>Группа потребителей</v>
      </c>
      <c r="BH188" s="3943"/>
      <c r="BI188" s="3943"/>
    </row>
    <row r="189" spans="1:61" s="5018" customFormat="1" ht="23.25" customHeight="1">
      <c r="A189" s="3933"/>
      <c r="B189" s="3933"/>
      <c r="C189" s="3933"/>
      <c r="D189" s="3933"/>
      <c r="E189" s="5377"/>
      <c r="F189" s="5377"/>
      <c r="G189" s="5377"/>
      <c r="H189" s="5377"/>
      <c r="I189" s="5397"/>
      <c r="J189" s="5397" t="str">
        <f>I183&amp;".1"</f>
        <v>1.4.7.1.1</v>
      </c>
      <c r="K189" s="5374" t="str">
        <f>J188&amp;".1"</f>
        <v>1.4.7.1.2.1</v>
      </c>
      <c r="L189" s="3934"/>
      <c r="M189" s="3935"/>
      <c r="N189" s="3935"/>
      <c r="O189" s="3935"/>
      <c r="P189" s="5375"/>
      <c r="Q189" s="5375"/>
      <c r="R189" s="3937">
        <v>1</v>
      </c>
      <c r="S189" s="3938" t="str">
        <f>$K189</f>
        <v>1.4.7.1.2.1</v>
      </c>
      <c r="T189" s="3944" t="s">
        <v>626</v>
      </c>
      <c r="U189" s="3940"/>
      <c r="V189" s="3931"/>
      <c r="W189" s="3931"/>
      <c r="X189" s="3931"/>
      <c r="Y189" s="3931"/>
      <c r="Z189" s="3931"/>
      <c r="AA189" s="3931"/>
      <c r="AB189" s="3931"/>
      <c r="AC189" s="5379"/>
      <c r="AD189" s="5225" t="s">
        <v>64</v>
      </c>
      <c r="AE189" s="5379"/>
      <c r="AF189" s="5225" t="s">
        <v>64</v>
      </c>
      <c r="AG189" s="3931"/>
      <c r="AH189" s="3931">
        <v>19.16</v>
      </c>
      <c r="AI189" s="3931"/>
      <c r="AJ189" s="3931"/>
      <c r="AK189" s="3931">
        <v>2664.11</v>
      </c>
      <c r="AL189" s="3931"/>
      <c r="AM189" s="3931"/>
      <c r="AN189" s="5379">
        <v>45292.396319444444</v>
      </c>
      <c r="AO189" s="5225" t="s">
        <v>64</v>
      </c>
      <c r="AP189" s="5398">
        <v>45473.396493055552</v>
      </c>
      <c r="AQ189" s="5225" t="s">
        <v>64</v>
      </c>
      <c r="AR189" s="3931"/>
      <c r="AS189" s="3931">
        <v>20.98</v>
      </c>
      <c r="AT189" s="3931"/>
      <c r="AU189" s="3931"/>
      <c r="AV189" s="3931">
        <v>3063.73</v>
      </c>
      <c r="AW189" s="3931"/>
      <c r="AX189" s="3931"/>
      <c r="AY189" s="5379">
        <v>45474.397222222222</v>
      </c>
      <c r="AZ189" s="5225" t="s">
        <v>64</v>
      </c>
      <c r="BA189" s="5379">
        <v>45657.397303240738</v>
      </c>
      <c r="BB189" s="5451" t="s">
        <v>64</v>
      </c>
      <c r="BC189" s="3945"/>
      <c r="BD189"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89" s="3942" t="e">
        <f ca="1">STRCHECKDATE(V190:BC190)</f>
        <v>#NAME?</v>
      </c>
      <c r="BF189" s="3943"/>
      <c r="BG189" s="3943" t="str">
        <f t="shared" si="3"/>
        <v>ФГУП "Санаторий Загорские Дали"</v>
      </c>
      <c r="BH189" s="3943"/>
      <c r="BI189" s="3943"/>
    </row>
    <row r="190" spans="1:61" s="5019" customFormat="1" ht="14.25" customHeight="1">
      <c r="A190" s="3933"/>
      <c r="B190" s="3933"/>
      <c r="C190" s="3933"/>
      <c r="D190" s="3933"/>
      <c r="E190" s="5377"/>
      <c r="F190" s="5377"/>
      <c r="G190" s="5377"/>
      <c r="H190" s="5377"/>
      <c r="I190" s="5397"/>
      <c r="J190" s="5397" t="str">
        <f>I183&amp;".1"</f>
        <v>1.4.7.1.1</v>
      </c>
      <c r="K190" s="5374"/>
      <c r="L190" s="3934"/>
      <c r="M190" s="3935"/>
      <c r="N190" s="3935"/>
      <c r="O190" s="3935"/>
      <c r="P190" s="5375"/>
      <c r="Q190" s="5375"/>
      <c r="R190" s="3937"/>
      <c r="S190" s="3946"/>
      <c r="T190" s="3940"/>
      <c r="U190" s="3940"/>
      <c r="V190" s="3932"/>
      <c r="W190" s="3932"/>
      <c r="X190" s="3932"/>
      <c r="Y190" s="3932"/>
      <c r="Z190" s="3932"/>
      <c r="AA190" s="3932"/>
      <c r="AB190" s="3932"/>
      <c r="AC190" s="5380"/>
      <c r="AD190" s="5225"/>
      <c r="AE190" s="5380"/>
      <c r="AF190" s="5225"/>
      <c r="AG190" s="3932"/>
      <c r="AH190" s="3932"/>
      <c r="AI190" s="3932"/>
      <c r="AJ190" s="3932"/>
      <c r="AK190" s="3932"/>
      <c r="AL190" s="3932"/>
      <c r="AM190" s="3932"/>
      <c r="AN190" s="5380"/>
      <c r="AO190" s="5225"/>
      <c r="AP190" s="5399"/>
      <c r="AQ190" s="5225"/>
      <c r="AR190" s="3932"/>
      <c r="AS190" s="3932"/>
      <c r="AT190" s="3932"/>
      <c r="AU190" s="3932"/>
      <c r="AV190" s="3932"/>
      <c r="AW190" s="3932"/>
      <c r="AX190" s="3932"/>
      <c r="AY190" s="5380"/>
      <c r="AZ190" s="5225"/>
      <c r="BA190" s="5380"/>
      <c r="BB190" s="5451"/>
      <c r="BC190" s="3947"/>
      <c r="BD190" s="5434"/>
      <c r="BE190" s="3942"/>
      <c r="BF190" s="3943"/>
      <c r="BG190" s="3943" t="str">
        <f t="shared" si="3"/>
        <v/>
      </c>
      <c r="BH190" s="3943"/>
      <c r="BI190" s="3943"/>
    </row>
    <row r="191" spans="1:61" s="5020" customFormat="1" ht="21" customHeight="1">
      <c r="A191" s="3933"/>
      <c r="B191" s="3933"/>
      <c r="C191" s="3933"/>
      <c r="D191" s="3933"/>
      <c r="E191" s="5377"/>
      <c r="F191" s="5377"/>
      <c r="G191" s="5377"/>
      <c r="H191" s="5377"/>
      <c r="I191" s="5397"/>
      <c r="J191" s="5374" t="str">
        <f>I183&amp;".1"</f>
        <v>1.4.7.1.1</v>
      </c>
      <c r="K191" s="3933"/>
      <c r="L191" s="3934"/>
      <c r="M191" s="3935"/>
      <c r="N191" s="3935"/>
      <c r="O191" s="3935"/>
      <c r="P191" s="5375"/>
      <c r="Q191" s="5375"/>
      <c r="R191" s="3948"/>
      <c r="S191" s="4357"/>
      <c r="T191" s="4358" t="s">
        <v>562</v>
      </c>
      <c r="U191" s="4359"/>
      <c r="V191" s="4360"/>
      <c r="W191" s="4361"/>
      <c r="X191" s="4362"/>
      <c r="Y191" s="4363"/>
      <c r="Z191" s="4364"/>
      <c r="AA191" s="4365"/>
      <c r="AB191" s="4366"/>
      <c r="AC191" s="4367"/>
      <c r="AD191" s="4368"/>
      <c r="AE191" s="4369"/>
      <c r="AF191" s="4370"/>
      <c r="AG191" s="4371"/>
      <c r="AH191" s="4372"/>
      <c r="AI191" s="4373"/>
      <c r="AJ191" s="4374"/>
      <c r="AK191" s="4375"/>
      <c r="AL191" s="4376"/>
      <c r="AM191" s="4377"/>
      <c r="AN191" s="4378"/>
      <c r="AO191" s="4379"/>
      <c r="AP191" s="4380"/>
      <c r="AQ191" s="4381"/>
      <c r="AR191" s="4382"/>
      <c r="AS191" s="4383"/>
      <c r="AT191" s="4384"/>
      <c r="AU191" s="4385"/>
      <c r="AV191" s="4386"/>
      <c r="AW191" s="4387"/>
      <c r="AX191" s="4388"/>
      <c r="AY191" s="4389"/>
      <c r="AZ191" s="4390"/>
      <c r="BA191" s="4391"/>
      <c r="BB191" s="4392"/>
      <c r="BC191" s="4393"/>
      <c r="BD191" s="3986" t="s">
        <v>563</v>
      </c>
      <c r="BE191" s="3942"/>
      <c r="BF191" s="3943"/>
      <c r="BG191" s="3943" t="str">
        <f t="shared" si="3"/>
        <v>Добавить значение признака дифференциации</v>
      </c>
      <c r="BH191" s="3943"/>
      <c r="BI191" s="3943"/>
    </row>
    <row r="192" spans="1:61" s="5021" customFormat="1" ht="21" customHeight="1">
      <c r="A192" s="1973"/>
      <c r="B192" s="1973"/>
      <c r="C192" s="1973"/>
      <c r="D192" s="1973"/>
      <c r="E192" s="5377"/>
      <c r="F192" s="5377"/>
      <c r="G192" s="5377" t="s">
        <v>89</v>
      </c>
      <c r="H192" s="5377"/>
      <c r="I192" s="5374"/>
      <c r="J192" s="1973"/>
      <c r="K192" s="1973"/>
      <c r="L192" s="1974"/>
      <c r="M192" s="1986"/>
      <c r="N192" s="1986"/>
      <c r="O192" s="1986"/>
      <c r="P192" s="5375"/>
      <c r="Q192" s="1987"/>
      <c r="R192" s="1988"/>
      <c r="S192" s="3174"/>
      <c r="T192" s="3175" t="s">
        <v>490</v>
      </c>
      <c r="U192" s="3176"/>
      <c r="V192" s="3177"/>
      <c r="W192" s="3178"/>
      <c r="X192" s="3179"/>
      <c r="Y192" s="3180"/>
      <c r="Z192" s="3181"/>
      <c r="AA192" s="3182"/>
      <c r="AB192" s="3183"/>
      <c r="AC192" s="3184"/>
      <c r="AD192" s="3185"/>
      <c r="AE192" s="3186"/>
      <c r="AF192" s="3187"/>
      <c r="AG192" s="3188"/>
      <c r="AH192" s="3189"/>
      <c r="AI192" s="3190"/>
      <c r="AJ192" s="3191"/>
      <c r="AK192" s="3192"/>
      <c r="AL192" s="3193"/>
      <c r="AM192" s="3194"/>
      <c r="AN192" s="3195"/>
      <c r="AO192" s="3196"/>
      <c r="AP192" s="3197"/>
      <c r="AQ192" s="3198"/>
      <c r="AR192" s="3199"/>
      <c r="AS192" s="3200"/>
      <c r="AT192" s="3201"/>
      <c r="AU192" s="3202"/>
      <c r="AV192" s="3203"/>
      <c r="AW192" s="3204"/>
      <c r="AX192" s="3205"/>
      <c r="AY192" s="3206"/>
      <c r="AZ192" s="3207"/>
      <c r="BA192" s="3208"/>
      <c r="BB192" s="3209"/>
      <c r="BC192" s="3210"/>
      <c r="BD192" s="3211"/>
      <c r="BE192" s="1935"/>
      <c r="BF192" s="1983"/>
      <c r="BG192" s="1983" t="str">
        <f t="shared" si="3"/>
        <v>Добавить группу потребителей</v>
      </c>
      <c r="BH192" s="1983"/>
      <c r="BI192" s="1983"/>
    </row>
    <row r="193" spans="1:61" s="5022" customFormat="1" ht="21" customHeight="1">
      <c r="A193" s="1973"/>
      <c r="B193" s="1973"/>
      <c r="C193" s="1973"/>
      <c r="D193" s="1973"/>
      <c r="E193" s="5377"/>
      <c r="F193" s="5377"/>
      <c r="G193" s="5377" t="s">
        <v>89</v>
      </c>
      <c r="H193" s="5376"/>
      <c r="I193" s="1973"/>
      <c r="J193" s="1973"/>
      <c r="K193" s="1973"/>
      <c r="L193" s="1974"/>
      <c r="M193" s="1975"/>
      <c r="N193" s="1975"/>
      <c r="O193" s="1929"/>
      <c r="P193" s="2072"/>
      <c r="Q193" s="2073"/>
      <c r="R193" s="2074"/>
      <c r="S193" s="3212"/>
      <c r="T193" s="3213" t="s">
        <v>564</v>
      </c>
      <c r="U193" s="3214"/>
      <c r="V193" s="3215"/>
      <c r="W193" s="3216"/>
      <c r="X193" s="3217"/>
      <c r="Y193" s="3218"/>
      <c r="Z193" s="3219"/>
      <c r="AA193" s="3220"/>
      <c r="AB193" s="3221"/>
      <c r="AC193" s="3222"/>
      <c r="AD193" s="3223"/>
      <c r="AE193" s="3224"/>
      <c r="AF193" s="3225"/>
      <c r="AG193" s="3226"/>
      <c r="AH193" s="3227"/>
      <c r="AI193" s="3228"/>
      <c r="AJ193" s="3229"/>
      <c r="AK193" s="3230"/>
      <c r="AL193" s="3231"/>
      <c r="AM193" s="3232"/>
      <c r="AN193" s="3233"/>
      <c r="AO193" s="3234"/>
      <c r="AP193" s="3235"/>
      <c r="AQ193" s="3236"/>
      <c r="AR193" s="3237"/>
      <c r="AS193" s="3238"/>
      <c r="AT193" s="3239"/>
      <c r="AU193" s="3240"/>
      <c r="AV193" s="3241"/>
      <c r="AW193" s="3242"/>
      <c r="AX193" s="3243"/>
      <c r="AY193" s="3244"/>
      <c r="AZ193" s="3245"/>
      <c r="BA193" s="3246"/>
      <c r="BB193" s="3247"/>
      <c r="BC193" s="3248"/>
      <c r="BD193" s="3249"/>
      <c r="BE193" s="1935"/>
      <c r="BF193" s="1983"/>
      <c r="BG193" s="1983" t="str">
        <f t="shared" si="3"/>
        <v>Добавить наименование признака дифференциации</v>
      </c>
      <c r="BH193" s="1983"/>
      <c r="BI193" s="1983"/>
    </row>
    <row r="194" spans="1:61" s="5023" customFormat="1" ht="23.25" customHeight="1">
      <c r="A194" s="3933"/>
      <c r="B194" s="3933"/>
      <c r="C194" s="3933" t="s">
        <v>309</v>
      </c>
      <c r="D194" s="3933"/>
      <c r="E194" s="5377"/>
      <c r="F194" s="5377"/>
      <c r="G194" s="5376" t="s">
        <v>130</v>
      </c>
      <c r="H194" s="3933"/>
      <c r="I194" s="3933"/>
      <c r="J194" s="3933"/>
      <c r="K194" s="3933"/>
      <c r="L194" s="3934"/>
      <c r="M194" s="4394"/>
      <c r="N194" s="4394"/>
      <c r="O194" s="4394"/>
      <c r="P194" s="4395"/>
      <c r="Q194" s="4396"/>
      <c r="R194" s="4397"/>
      <c r="S194" s="3938" t="str">
        <f>INDEX(PT_DIFFERENTIATION_NUM_CS,MATCH(C194,PT_DIFFERENTIATION_CS_ID,0))</f>
        <v>1.4.8</v>
      </c>
      <c r="T194" s="4398" t="s">
        <v>606</v>
      </c>
      <c r="U194" s="3940"/>
      <c r="V194" s="5362"/>
      <c r="W194" s="5363"/>
      <c r="X194" s="5363"/>
      <c r="Y194" s="5363"/>
      <c r="Z194" s="5363"/>
      <c r="AA194" s="5363"/>
      <c r="AB194" s="5363"/>
      <c r="AC194" s="5363"/>
      <c r="AD194" s="5363"/>
      <c r="AE194" s="5363"/>
      <c r="AF194" s="5364"/>
      <c r="AG194" s="5362" t="str">
        <f>INDEX(PT_DIFFERENTIATION_CS,MATCH(C194,PT_DIFFERENTIATION_CS_ID,0))</f>
        <v>г.Сергиев Посад, кот.п.Скобяной пос. ул.Центральная, д.11</v>
      </c>
      <c r="AH194" s="5363"/>
      <c r="AI194" s="5363"/>
      <c r="AJ194" s="5363"/>
      <c r="AK194" s="5363"/>
      <c r="AL194" s="5363"/>
      <c r="AM194" s="5363"/>
      <c r="AN194" s="5363"/>
      <c r="AO194" s="5363"/>
      <c r="AP194" s="5363"/>
      <c r="AQ194" s="5363"/>
      <c r="AR194" s="5362"/>
      <c r="AS194" s="5363"/>
      <c r="AT194" s="5363"/>
      <c r="AU194" s="5363"/>
      <c r="AV194" s="5363"/>
      <c r="AW194" s="5363"/>
      <c r="AX194" s="5363"/>
      <c r="AY194" s="5363"/>
      <c r="AZ194" s="5363"/>
      <c r="BA194" s="5363"/>
      <c r="BB194" s="5454"/>
      <c r="BC194" s="5364"/>
      <c r="BD194" s="3986" t="s">
        <v>607</v>
      </c>
      <c r="BE194" s="3942"/>
      <c r="BF194" s="3943"/>
      <c r="BG194" s="3943" t="str">
        <f t="shared" si="3"/>
        <v>Наименование централизованной системы горячего водоснабжения</v>
      </c>
      <c r="BH194" s="3943"/>
      <c r="BI194" s="3943"/>
    </row>
    <row r="195" spans="1:61" s="5024" customFormat="1" ht="23.25" customHeight="1">
      <c r="A195" s="3933"/>
      <c r="B195" s="3933"/>
      <c r="C195" s="3933"/>
      <c r="D195" s="3933"/>
      <c r="E195" s="5377"/>
      <c r="F195" s="5377"/>
      <c r="G195" s="5377" t="s">
        <v>90</v>
      </c>
      <c r="H195" s="5377"/>
      <c r="I195" s="5374" t="str">
        <f>S194&amp;".1"</f>
        <v>1.4.8.1</v>
      </c>
      <c r="J195" s="3933"/>
      <c r="K195" s="3933"/>
      <c r="L195" s="3934"/>
      <c r="M195" s="3935"/>
      <c r="N195" s="3935"/>
      <c r="O195" s="3935"/>
      <c r="P195" s="5375">
        <v>1</v>
      </c>
      <c r="Q195" s="3936"/>
      <c r="R195" s="3948"/>
      <c r="S195" s="3938" t="str">
        <f>$I195</f>
        <v>1.4.8.1</v>
      </c>
      <c r="T195" s="4399" t="s">
        <v>559</v>
      </c>
      <c r="U195" s="3940"/>
      <c r="V195" s="5435"/>
      <c r="W195" s="5436"/>
      <c r="X195" s="5436"/>
      <c r="Y195" s="5436"/>
      <c r="Z195" s="5436"/>
      <c r="AA195" s="5436"/>
      <c r="AB195" s="5436"/>
      <c r="AC195" s="5436"/>
      <c r="AD195" s="5436"/>
      <c r="AE195" s="5436"/>
      <c r="AF195" s="5437"/>
      <c r="AG195" s="5438"/>
      <c r="AH195" s="5439"/>
      <c r="AI195" s="5439"/>
      <c r="AJ195" s="5439"/>
      <c r="AK195" s="5439"/>
      <c r="AL195" s="5439"/>
      <c r="AM195" s="5439"/>
      <c r="AN195" s="5439"/>
      <c r="AO195" s="5439"/>
      <c r="AP195" s="5439"/>
      <c r="AQ195" s="5439"/>
      <c r="AR195" s="5435"/>
      <c r="AS195" s="5436"/>
      <c r="AT195" s="5436"/>
      <c r="AU195" s="5436"/>
      <c r="AV195" s="5436"/>
      <c r="AW195" s="5436"/>
      <c r="AX195" s="5436"/>
      <c r="AY195" s="5436"/>
      <c r="AZ195" s="5436"/>
      <c r="BA195" s="5436"/>
      <c r="BB195" s="5455"/>
      <c r="BC195" s="5440"/>
      <c r="BD195" s="3986" t="s">
        <v>560</v>
      </c>
      <c r="BE195" s="3942"/>
      <c r="BF195" s="3943"/>
      <c r="BG195" s="3943" t="str">
        <f t="shared" si="3"/>
        <v>Наименование признака дифференциации</v>
      </c>
      <c r="BH195" s="3943"/>
      <c r="BI195" s="3943"/>
    </row>
    <row r="196" spans="1:61" s="5025" customFormat="1" ht="23.25" customHeight="1">
      <c r="A196" s="3933"/>
      <c r="B196" s="3933"/>
      <c r="C196" s="3933"/>
      <c r="D196" s="3933"/>
      <c r="E196" s="5377"/>
      <c r="F196" s="5377"/>
      <c r="G196" s="5377" t="s">
        <v>90</v>
      </c>
      <c r="H196" s="5377"/>
      <c r="I196" s="5397"/>
      <c r="J196" s="5374" t="str">
        <f>I195&amp;".1"</f>
        <v>1.4.8.1.1</v>
      </c>
      <c r="K196" s="3933"/>
      <c r="L196" s="3934" t="s">
        <v>484</v>
      </c>
      <c r="M196" s="3935"/>
      <c r="N196" s="3935"/>
      <c r="O196" s="3935"/>
      <c r="P196" s="5375"/>
      <c r="Q196" s="5375">
        <v>1</v>
      </c>
      <c r="R196" s="3937"/>
      <c r="S196" s="3938" t="str">
        <f>$J196</f>
        <v>1.4.8.1.1</v>
      </c>
      <c r="T196" s="3939" t="s">
        <v>485</v>
      </c>
      <c r="U196" s="3940"/>
      <c r="V196" s="5365"/>
      <c r="W196" s="5366"/>
      <c r="X196" s="5366"/>
      <c r="Y196" s="5366"/>
      <c r="Z196" s="5366"/>
      <c r="AA196" s="5366"/>
      <c r="AB196" s="5366"/>
      <c r="AC196" s="5366"/>
      <c r="AD196" s="5366"/>
      <c r="AE196" s="5366"/>
      <c r="AF196" s="5367"/>
      <c r="AG196" s="5365" t="s">
        <v>619</v>
      </c>
      <c r="AH196" s="5366"/>
      <c r="AI196" s="5366"/>
      <c r="AJ196" s="5366"/>
      <c r="AK196" s="5366"/>
      <c r="AL196" s="5366"/>
      <c r="AM196" s="5366"/>
      <c r="AN196" s="5366"/>
      <c r="AO196" s="5366"/>
      <c r="AP196" s="5366"/>
      <c r="AQ196" s="5366"/>
      <c r="AR196" s="5365"/>
      <c r="AS196" s="5366"/>
      <c r="AT196" s="5366"/>
      <c r="AU196" s="5366"/>
      <c r="AV196" s="5366"/>
      <c r="AW196" s="5366"/>
      <c r="AX196" s="5366"/>
      <c r="AY196" s="5366"/>
      <c r="AZ196" s="5366"/>
      <c r="BA196" s="5366"/>
      <c r="BB196" s="5453"/>
      <c r="BC196" s="5367"/>
      <c r="BD196" s="3941" t="s">
        <v>561</v>
      </c>
      <c r="BE196" s="3942"/>
      <c r="BF196" s="3943"/>
      <c r="BG196" s="3943" t="str">
        <f t="shared" si="3"/>
        <v>Группа потребителей</v>
      </c>
      <c r="BH196" s="3943"/>
      <c r="BI196" s="3943"/>
    </row>
    <row r="197" spans="1:61" s="5026" customFormat="1" ht="23.25" customHeight="1">
      <c r="A197" s="3933"/>
      <c r="B197" s="3933"/>
      <c r="C197" s="3933"/>
      <c r="D197" s="3933"/>
      <c r="E197" s="5377"/>
      <c r="F197" s="5377"/>
      <c r="G197" s="5377" t="s">
        <v>90</v>
      </c>
      <c r="H197" s="5377"/>
      <c r="I197" s="5397"/>
      <c r="J197" s="5397"/>
      <c r="K197" s="5374" t="str">
        <f>J196&amp;".1"</f>
        <v>1.4.8.1.1.1</v>
      </c>
      <c r="L197" s="3934"/>
      <c r="M197" s="3935"/>
      <c r="N197" s="3935"/>
      <c r="O197" s="3935"/>
      <c r="P197" s="5375"/>
      <c r="Q197" s="5375"/>
      <c r="R197" s="3937">
        <v>1</v>
      </c>
      <c r="S197" s="3938" t="str">
        <f>$K197</f>
        <v>1.4.8.1.1.1</v>
      </c>
      <c r="T197" s="3944" t="s">
        <v>627</v>
      </c>
      <c r="U197" s="3940"/>
      <c r="V197" s="3931"/>
      <c r="W197" s="3931"/>
      <c r="X197" s="3931"/>
      <c r="Y197" s="3931"/>
      <c r="Z197" s="3931"/>
      <c r="AA197" s="3931"/>
      <c r="AB197" s="3931"/>
      <c r="AC197" s="5379"/>
      <c r="AD197" s="5225" t="s">
        <v>64</v>
      </c>
      <c r="AE197" s="5379"/>
      <c r="AF197" s="5225" t="s">
        <v>64</v>
      </c>
      <c r="AG197" s="3931"/>
      <c r="AH197" s="3931">
        <v>19.88</v>
      </c>
      <c r="AI197" s="3931"/>
      <c r="AJ197" s="3931"/>
      <c r="AK197" s="3931">
        <v>2220.09</v>
      </c>
      <c r="AL197" s="3931"/>
      <c r="AM197" s="3931"/>
      <c r="AN197" s="5379">
        <v>45292.396319444444</v>
      </c>
      <c r="AO197" s="5225" t="s">
        <v>64</v>
      </c>
      <c r="AP197" s="5398">
        <v>45473.396493055552</v>
      </c>
      <c r="AQ197" s="5225" t="s">
        <v>64</v>
      </c>
      <c r="AR197" s="3931"/>
      <c r="AS197" s="3931">
        <v>22.1</v>
      </c>
      <c r="AT197" s="3931"/>
      <c r="AU197" s="3931"/>
      <c r="AV197" s="3931">
        <v>2928.84</v>
      </c>
      <c r="AW197" s="3931"/>
      <c r="AX197" s="3931"/>
      <c r="AY197" s="5379">
        <v>45474.397222222222</v>
      </c>
      <c r="AZ197" s="5225" t="s">
        <v>64</v>
      </c>
      <c r="BA197" s="5379">
        <v>45657.397303240738</v>
      </c>
      <c r="BB197" s="5451" t="s">
        <v>64</v>
      </c>
      <c r="BC197" s="3945"/>
      <c r="BD19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197" s="3942" t="e">
        <f ca="1">STRCHECKDATE(V198:BC198)</f>
        <v>#NAME?</v>
      </c>
      <c r="BF197" s="3943"/>
      <c r="BG197" s="3943" t="str">
        <f t="shared" si="3"/>
        <v>ФГУП "ЭМЗ "Звезда"</v>
      </c>
      <c r="BH197" s="3943"/>
      <c r="BI197" s="3943"/>
    </row>
    <row r="198" spans="1:61" s="5027" customFormat="1" ht="14.25" customHeight="1">
      <c r="A198" s="3933"/>
      <c r="B198" s="3933"/>
      <c r="C198" s="3933"/>
      <c r="D198" s="3933"/>
      <c r="E198" s="5377"/>
      <c r="F198" s="5377"/>
      <c r="G198" s="5377" t="s">
        <v>90</v>
      </c>
      <c r="H198" s="5377"/>
      <c r="I198" s="5397"/>
      <c r="J198" s="5397"/>
      <c r="K198" s="5374"/>
      <c r="L198" s="3934"/>
      <c r="M198" s="3935"/>
      <c r="N198" s="3935"/>
      <c r="O198" s="3935"/>
      <c r="P198" s="5375"/>
      <c r="Q198" s="5375"/>
      <c r="R198" s="3937"/>
      <c r="S198" s="3946"/>
      <c r="T198" s="3940"/>
      <c r="U198" s="3940"/>
      <c r="V198" s="3932"/>
      <c r="W198" s="3932"/>
      <c r="X198" s="3932"/>
      <c r="Y198" s="3932"/>
      <c r="Z198" s="3932"/>
      <c r="AA198" s="3932"/>
      <c r="AB198" s="3932"/>
      <c r="AC198" s="5380"/>
      <c r="AD198" s="5225"/>
      <c r="AE198" s="5380"/>
      <c r="AF198" s="5225"/>
      <c r="AG198" s="3932"/>
      <c r="AH198" s="3932"/>
      <c r="AI198" s="3932"/>
      <c r="AJ198" s="3932"/>
      <c r="AK198" s="3932"/>
      <c r="AL198" s="3932"/>
      <c r="AM198" s="3932"/>
      <c r="AN198" s="5380"/>
      <c r="AO198" s="5225"/>
      <c r="AP198" s="5399"/>
      <c r="AQ198" s="5225"/>
      <c r="AR198" s="3932"/>
      <c r="AS198" s="3932"/>
      <c r="AT198" s="3932"/>
      <c r="AU198" s="3932"/>
      <c r="AV198" s="3932"/>
      <c r="AW198" s="3932"/>
      <c r="AX198" s="3932"/>
      <c r="AY198" s="5380"/>
      <c r="AZ198" s="5225"/>
      <c r="BA198" s="5380"/>
      <c r="BB198" s="5451"/>
      <c r="BC198" s="3947"/>
      <c r="BD198" s="5434"/>
      <c r="BE198" s="3942"/>
      <c r="BF198" s="3943"/>
      <c r="BG198" s="3943" t="str">
        <f t="shared" si="3"/>
        <v/>
      </c>
      <c r="BH198" s="3943"/>
      <c r="BI198" s="3943"/>
    </row>
    <row r="199" spans="1:61" s="5028" customFormat="1" ht="21" customHeight="1">
      <c r="A199" s="3933"/>
      <c r="B199" s="3933"/>
      <c r="C199" s="3933"/>
      <c r="D199" s="3933"/>
      <c r="E199" s="5377"/>
      <c r="F199" s="5377"/>
      <c r="G199" s="5377" t="s">
        <v>90</v>
      </c>
      <c r="H199" s="5377"/>
      <c r="I199" s="5397"/>
      <c r="J199" s="5374"/>
      <c r="K199" s="3933"/>
      <c r="L199" s="3934"/>
      <c r="M199" s="3935"/>
      <c r="N199" s="3935"/>
      <c r="O199" s="3935"/>
      <c r="P199" s="5375"/>
      <c r="Q199" s="5375"/>
      <c r="R199" s="3948"/>
      <c r="S199" s="4400"/>
      <c r="T199" s="4401" t="s">
        <v>562</v>
      </c>
      <c r="U199" s="4402"/>
      <c r="V199" s="4403"/>
      <c r="W199" s="4404"/>
      <c r="X199" s="4405"/>
      <c r="Y199" s="4406"/>
      <c r="Z199" s="4407"/>
      <c r="AA199" s="4408"/>
      <c r="AB199" s="4409"/>
      <c r="AC199" s="4410"/>
      <c r="AD199" s="4411"/>
      <c r="AE199" s="4412"/>
      <c r="AF199" s="4413"/>
      <c r="AG199" s="4414"/>
      <c r="AH199" s="4415"/>
      <c r="AI199" s="4416"/>
      <c r="AJ199" s="4417"/>
      <c r="AK199" s="4418"/>
      <c r="AL199" s="4419"/>
      <c r="AM199" s="4420"/>
      <c r="AN199" s="4421"/>
      <c r="AO199" s="4422"/>
      <c r="AP199" s="4423"/>
      <c r="AQ199" s="4424"/>
      <c r="AR199" s="4425"/>
      <c r="AS199" s="4426"/>
      <c r="AT199" s="4427"/>
      <c r="AU199" s="4428"/>
      <c r="AV199" s="4429"/>
      <c r="AW199" s="4430"/>
      <c r="AX199" s="4431"/>
      <c r="AY199" s="4432"/>
      <c r="AZ199" s="4433"/>
      <c r="BA199" s="4434"/>
      <c r="BB199" s="4435"/>
      <c r="BC199" s="4436"/>
      <c r="BD199" s="3986" t="s">
        <v>563</v>
      </c>
      <c r="BE199" s="3942"/>
      <c r="BF199" s="3943"/>
      <c r="BG199" s="3943" t="str">
        <f t="shared" si="3"/>
        <v>Добавить значение признака дифференциации</v>
      </c>
      <c r="BH199" s="3943"/>
      <c r="BI199" s="3943"/>
    </row>
    <row r="200" spans="1:61" s="5029" customFormat="1" ht="23.25" customHeight="1">
      <c r="A200" s="3933"/>
      <c r="B200" s="3933"/>
      <c r="C200" s="3933"/>
      <c r="D200" s="3933"/>
      <c r="E200" s="5377"/>
      <c r="F200" s="5377"/>
      <c r="G200" s="5377"/>
      <c r="H200" s="5377"/>
      <c r="I200" s="5397"/>
      <c r="J200" s="5374" t="str">
        <f>I195&amp;".2"</f>
        <v>1.4.8.1.2</v>
      </c>
      <c r="K200" s="3933"/>
      <c r="L200" s="3934" t="s">
        <v>484</v>
      </c>
      <c r="M200" s="3935"/>
      <c r="N200" s="3935"/>
      <c r="O200" s="3935"/>
      <c r="P200" s="5375"/>
      <c r="Q200" s="5452" t="s">
        <v>101</v>
      </c>
      <c r="R200" s="3937"/>
      <c r="S200" s="3938" t="str">
        <f>$J200</f>
        <v>1.4.8.1.2</v>
      </c>
      <c r="T200" s="3939" t="s">
        <v>485</v>
      </c>
      <c r="U200" s="3940"/>
      <c r="V200" s="5365"/>
      <c r="W200" s="5366"/>
      <c r="X200" s="5366"/>
      <c r="Y200" s="5366"/>
      <c r="Z200" s="5366"/>
      <c r="AA200" s="5366"/>
      <c r="AB200" s="5366"/>
      <c r="AC200" s="5366"/>
      <c r="AD200" s="5366"/>
      <c r="AE200" s="5366"/>
      <c r="AF200" s="5367"/>
      <c r="AG200" s="5365" t="s">
        <v>621</v>
      </c>
      <c r="AH200" s="5366"/>
      <c r="AI200" s="5366"/>
      <c r="AJ200" s="5366"/>
      <c r="AK200" s="5366"/>
      <c r="AL200" s="5366"/>
      <c r="AM200" s="5366"/>
      <c r="AN200" s="5366"/>
      <c r="AO200" s="5366"/>
      <c r="AP200" s="5366"/>
      <c r="AQ200" s="5366"/>
      <c r="AR200" s="5365"/>
      <c r="AS200" s="5366"/>
      <c r="AT200" s="5366"/>
      <c r="AU200" s="5366"/>
      <c r="AV200" s="5366"/>
      <c r="AW200" s="5366"/>
      <c r="AX200" s="5366"/>
      <c r="AY200" s="5366"/>
      <c r="AZ200" s="5366"/>
      <c r="BA200" s="5366"/>
      <c r="BB200" s="5453"/>
      <c r="BC200" s="5367"/>
      <c r="BD200" s="3941" t="s">
        <v>561</v>
      </c>
      <c r="BE200" s="3942"/>
      <c r="BF200" s="3943"/>
      <c r="BG200" s="3943" t="str">
        <f t="shared" si="3"/>
        <v>Группа потребителей</v>
      </c>
      <c r="BH200" s="3943"/>
      <c r="BI200" s="3943"/>
    </row>
    <row r="201" spans="1:61" s="5030" customFormat="1" ht="23.25" customHeight="1">
      <c r="A201" s="3933"/>
      <c r="B201" s="3933"/>
      <c r="C201" s="3933"/>
      <c r="D201" s="3933"/>
      <c r="E201" s="5377"/>
      <c r="F201" s="5377"/>
      <c r="G201" s="5377"/>
      <c r="H201" s="5377"/>
      <c r="I201" s="5397"/>
      <c r="J201" s="5397" t="str">
        <f>I195&amp;".1"</f>
        <v>1.4.8.1.1</v>
      </c>
      <c r="K201" s="5374" t="str">
        <f>J200&amp;".1"</f>
        <v>1.4.8.1.2.1</v>
      </c>
      <c r="L201" s="3934"/>
      <c r="M201" s="3935"/>
      <c r="N201" s="3935"/>
      <c r="O201" s="3935"/>
      <c r="P201" s="5375"/>
      <c r="Q201" s="5375"/>
      <c r="R201" s="3937">
        <v>1</v>
      </c>
      <c r="S201" s="3938" t="str">
        <f>$K201</f>
        <v>1.4.8.1.2.1</v>
      </c>
      <c r="T201" s="3944" t="s">
        <v>627</v>
      </c>
      <c r="U201" s="3940"/>
      <c r="V201" s="3931"/>
      <c r="W201" s="3931"/>
      <c r="X201" s="3931"/>
      <c r="Y201" s="3931"/>
      <c r="Z201" s="3931"/>
      <c r="AA201" s="3931"/>
      <c r="AB201" s="3931"/>
      <c r="AC201" s="5379"/>
      <c r="AD201" s="5225" t="s">
        <v>64</v>
      </c>
      <c r="AE201" s="5379"/>
      <c r="AF201" s="5225" t="s">
        <v>64</v>
      </c>
      <c r="AG201" s="3931"/>
      <c r="AH201" s="3931">
        <v>23.86</v>
      </c>
      <c r="AI201" s="3931"/>
      <c r="AJ201" s="3931"/>
      <c r="AK201" s="3931">
        <v>2664.11</v>
      </c>
      <c r="AL201" s="3931"/>
      <c r="AM201" s="3931"/>
      <c r="AN201" s="5379">
        <v>45292.396319444444</v>
      </c>
      <c r="AO201" s="5225" t="s">
        <v>64</v>
      </c>
      <c r="AP201" s="5398">
        <v>45473.396493055552</v>
      </c>
      <c r="AQ201" s="5225" t="s">
        <v>64</v>
      </c>
      <c r="AR201" s="3931"/>
      <c r="AS201" s="3931">
        <v>26.52</v>
      </c>
      <c r="AT201" s="3931"/>
      <c r="AU201" s="3931"/>
      <c r="AV201" s="3931">
        <v>3063.73</v>
      </c>
      <c r="AW201" s="3931"/>
      <c r="AX201" s="3931"/>
      <c r="AY201" s="5379">
        <v>45474.397222222222</v>
      </c>
      <c r="AZ201" s="5225" t="s">
        <v>64</v>
      </c>
      <c r="BA201" s="5379">
        <v>45657.397303240738</v>
      </c>
      <c r="BB201" s="5451" t="s">
        <v>64</v>
      </c>
      <c r="BC201" s="3945"/>
      <c r="BD201"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01" s="3942" t="e">
        <f ca="1">STRCHECKDATE(V202:BC202)</f>
        <v>#NAME?</v>
      </c>
      <c r="BF201" s="3943"/>
      <c r="BG201" s="3943" t="str">
        <f t="shared" si="3"/>
        <v>ФГУП "ЭМЗ "Звезда"</v>
      </c>
      <c r="BH201" s="3943"/>
      <c r="BI201" s="3943"/>
    </row>
    <row r="202" spans="1:61" s="5031" customFormat="1" ht="14.25" customHeight="1">
      <c r="A202" s="3933"/>
      <c r="B202" s="3933"/>
      <c r="C202" s="3933"/>
      <c r="D202" s="3933"/>
      <c r="E202" s="5377"/>
      <c r="F202" s="5377"/>
      <c r="G202" s="5377"/>
      <c r="H202" s="5377"/>
      <c r="I202" s="5397"/>
      <c r="J202" s="5397" t="str">
        <f>I195&amp;".1"</f>
        <v>1.4.8.1.1</v>
      </c>
      <c r="K202" s="5374"/>
      <c r="L202" s="3934"/>
      <c r="M202" s="3935"/>
      <c r="N202" s="3935"/>
      <c r="O202" s="3935"/>
      <c r="P202" s="5375"/>
      <c r="Q202" s="5375"/>
      <c r="R202" s="3937"/>
      <c r="S202" s="3946"/>
      <c r="T202" s="3940"/>
      <c r="U202" s="3940"/>
      <c r="V202" s="3932"/>
      <c r="W202" s="3932"/>
      <c r="X202" s="3932"/>
      <c r="Y202" s="3932"/>
      <c r="Z202" s="3932"/>
      <c r="AA202" s="3932"/>
      <c r="AB202" s="3932"/>
      <c r="AC202" s="5380"/>
      <c r="AD202" s="5225"/>
      <c r="AE202" s="5380"/>
      <c r="AF202" s="5225"/>
      <c r="AG202" s="3932"/>
      <c r="AH202" s="3932"/>
      <c r="AI202" s="3932"/>
      <c r="AJ202" s="3932"/>
      <c r="AK202" s="3932"/>
      <c r="AL202" s="3932"/>
      <c r="AM202" s="3932"/>
      <c r="AN202" s="5380"/>
      <c r="AO202" s="5225"/>
      <c r="AP202" s="5399"/>
      <c r="AQ202" s="5225"/>
      <c r="AR202" s="3932"/>
      <c r="AS202" s="3932"/>
      <c r="AT202" s="3932"/>
      <c r="AU202" s="3932"/>
      <c r="AV202" s="3932"/>
      <c r="AW202" s="3932"/>
      <c r="AX202" s="3932"/>
      <c r="AY202" s="5380"/>
      <c r="AZ202" s="5225"/>
      <c r="BA202" s="5380"/>
      <c r="BB202" s="5451"/>
      <c r="BC202" s="3947"/>
      <c r="BD202" s="5434"/>
      <c r="BE202" s="3942"/>
      <c r="BF202" s="3943"/>
      <c r="BG202" s="3943" t="str">
        <f t="shared" si="3"/>
        <v/>
      </c>
      <c r="BH202" s="3943"/>
      <c r="BI202" s="3943"/>
    </row>
    <row r="203" spans="1:61" s="5032" customFormat="1" ht="21" customHeight="1">
      <c r="A203" s="3933"/>
      <c r="B203" s="3933"/>
      <c r="C203" s="3933"/>
      <c r="D203" s="3933"/>
      <c r="E203" s="5377"/>
      <c r="F203" s="5377"/>
      <c r="G203" s="5377"/>
      <c r="H203" s="5377"/>
      <c r="I203" s="5397"/>
      <c r="J203" s="5374" t="str">
        <f>I195&amp;".1"</f>
        <v>1.4.8.1.1</v>
      </c>
      <c r="K203" s="3933"/>
      <c r="L203" s="3934"/>
      <c r="M203" s="3935"/>
      <c r="N203" s="3935"/>
      <c r="O203" s="3935"/>
      <c r="P203" s="5375"/>
      <c r="Q203" s="5375"/>
      <c r="R203" s="3948"/>
      <c r="S203" s="4437"/>
      <c r="T203" s="4438" t="s">
        <v>562</v>
      </c>
      <c r="U203" s="4439"/>
      <c r="V203" s="4440"/>
      <c r="W203" s="4441"/>
      <c r="X203" s="4442"/>
      <c r="Y203" s="4443"/>
      <c r="Z203" s="4444"/>
      <c r="AA203" s="4445"/>
      <c r="AB203" s="4446"/>
      <c r="AC203" s="4447"/>
      <c r="AD203" s="4448"/>
      <c r="AE203" s="4449"/>
      <c r="AF203" s="4450"/>
      <c r="AG203" s="4451"/>
      <c r="AH203" s="4452"/>
      <c r="AI203" s="4453"/>
      <c r="AJ203" s="4454"/>
      <c r="AK203" s="4455"/>
      <c r="AL203" s="4456"/>
      <c r="AM203" s="4457"/>
      <c r="AN203" s="4458"/>
      <c r="AO203" s="4459"/>
      <c r="AP203" s="4460"/>
      <c r="AQ203" s="4461"/>
      <c r="AR203" s="4462"/>
      <c r="AS203" s="4463"/>
      <c r="AT203" s="4464"/>
      <c r="AU203" s="4465"/>
      <c r="AV203" s="4466"/>
      <c r="AW203" s="4467"/>
      <c r="AX203" s="4468"/>
      <c r="AY203" s="4469"/>
      <c r="AZ203" s="4470"/>
      <c r="BA203" s="4471"/>
      <c r="BB203" s="4472"/>
      <c r="BC203" s="4473"/>
      <c r="BD203" s="3986" t="s">
        <v>563</v>
      </c>
      <c r="BE203" s="3942"/>
      <c r="BF203" s="3943"/>
      <c r="BG203" s="3943" t="str">
        <f t="shared" si="3"/>
        <v>Добавить значение признака дифференциации</v>
      </c>
      <c r="BH203" s="3943"/>
      <c r="BI203" s="3943"/>
    </row>
    <row r="204" spans="1:61" s="5033" customFormat="1" ht="21" customHeight="1">
      <c r="A204" s="3933"/>
      <c r="B204" s="3933"/>
      <c r="C204" s="3933"/>
      <c r="D204" s="3933"/>
      <c r="E204" s="5377"/>
      <c r="F204" s="5377"/>
      <c r="G204" s="5377" t="s">
        <v>90</v>
      </c>
      <c r="H204" s="5377"/>
      <c r="I204" s="5374"/>
      <c r="J204" s="3933"/>
      <c r="K204" s="3933"/>
      <c r="L204" s="3934"/>
      <c r="M204" s="3935"/>
      <c r="N204" s="3935"/>
      <c r="O204" s="3935"/>
      <c r="P204" s="5375"/>
      <c r="Q204" s="3936"/>
      <c r="R204" s="3948"/>
      <c r="S204" s="4474"/>
      <c r="T204" s="4475" t="s">
        <v>490</v>
      </c>
      <c r="U204" s="4476"/>
      <c r="V204" s="4477"/>
      <c r="W204" s="4478"/>
      <c r="X204" s="4479"/>
      <c r="Y204" s="4480"/>
      <c r="Z204" s="4481"/>
      <c r="AA204" s="4482"/>
      <c r="AB204" s="4483"/>
      <c r="AC204" s="4484"/>
      <c r="AD204" s="4485"/>
      <c r="AE204" s="4486"/>
      <c r="AF204" s="4487"/>
      <c r="AG204" s="4488"/>
      <c r="AH204" s="4489"/>
      <c r="AI204" s="4490"/>
      <c r="AJ204" s="4491"/>
      <c r="AK204" s="4492"/>
      <c r="AL204" s="4493"/>
      <c r="AM204" s="4494"/>
      <c r="AN204" s="4495"/>
      <c r="AO204" s="4496"/>
      <c r="AP204" s="4497"/>
      <c r="AQ204" s="4498"/>
      <c r="AR204" s="4499"/>
      <c r="AS204" s="4500"/>
      <c r="AT204" s="4501"/>
      <c r="AU204" s="4502"/>
      <c r="AV204" s="4503"/>
      <c r="AW204" s="4504"/>
      <c r="AX204" s="4505"/>
      <c r="AY204" s="4506"/>
      <c r="AZ204" s="4507"/>
      <c r="BA204" s="4508"/>
      <c r="BB204" s="4509"/>
      <c r="BC204" s="4510"/>
      <c r="BD204" s="4511"/>
      <c r="BE204" s="3942"/>
      <c r="BF204" s="3943"/>
      <c r="BG204" s="3943" t="str">
        <f t="shared" si="3"/>
        <v>Добавить группу потребителей</v>
      </c>
      <c r="BH204" s="3943"/>
      <c r="BI204" s="3943"/>
    </row>
    <row r="205" spans="1:61" s="5034" customFormat="1" ht="21" customHeight="1">
      <c r="A205" s="3933"/>
      <c r="B205" s="3933"/>
      <c r="C205" s="3933"/>
      <c r="D205" s="3933"/>
      <c r="E205" s="5377"/>
      <c r="F205" s="5377"/>
      <c r="G205" s="5377" t="s">
        <v>90</v>
      </c>
      <c r="H205" s="5376"/>
      <c r="I205" s="3933"/>
      <c r="J205" s="3933"/>
      <c r="K205" s="3933"/>
      <c r="L205" s="3934"/>
      <c r="M205" s="4394"/>
      <c r="N205" s="4394"/>
      <c r="O205" s="4512"/>
      <c r="P205" s="4513"/>
      <c r="Q205" s="4514"/>
      <c r="R205" s="4515"/>
      <c r="S205" s="4516"/>
      <c r="T205" s="4517" t="s">
        <v>564</v>
      </c>
      <c r="U205" s="4518"/>
      <c r="V205" s="4519"/>
      <c r="W205" s="4520"/>
      <c r="X205" s="4521"/>
      <c r="Y205" s="4522"/>
      <c r="Z205" s="4523"/>
      <c r="AA205" s="4524"/>
      <c r="AB205" s="4525"/>
      <c r="AC205" s="4526"/>
      <c r="AD205" s="4527"/>
      <c r="AE205" s="4528"/>
      <c r="AF205" s="4529"/>
      <c r="AG205" s="4530"/>
      <c r="AH205" s="4531"/>
      <c r="AI205" s="4532"/>
      <c r="AJ205" s="4533"/>
      <c r="AK205" s="4534"/>
      <c r="AL205" s="4535"/>
      <c r="AM205" s="4536"/>
      <c r="AN205" s="4537"/>
      <c r="AO205" s="4538"/>
      <c r="AP205" s="4539"/>
      <c r="AQ205" s="4540"/>
      <c r="AR205" s="4541"/>
      <c r="AS205" s="4542"/>
      <c r="AT205" s="4543"/>
      <c r="AU205" s="4544"/>
      <c r="AV205" s="4545"/>
      <c r="AW205" s="4546"/>
      <c r="AX205" s="4547"/>
      <c r="AY205" s="4548"/>
      <c r="AZ205" s="4549"/>
      <c r="BA205" s="4550"/>
      <c r="BB205" s="4551"/>
      <c r="BC205" s="4552"/>
      <c r="BD205" s="4553"/>
      <c r="BE205" s="3942"/>
      <c r="BF205" s="3943"/>
      <c r="BG205" s="3943" t="str">
        <f t="shared" si="3"/>
        <v>Добавить наименование признака дифференциации</v>
      </c>
      <c r="BH205" s="3943"/>
      <c r="BI205" s="3943"/>
    </row>
    <row r="206" spans="1:61" s="5035" customFormat="1" ht="14.25" customHeight="1">
      <c r="A206" s="2226"/>
      <c r="B206" s="2226"/>
      <c r="C206" s="2226"/>
      <c r="D206" s="2226"/>
      <c r="E206" s="5377"/>
      <c r="F206" s="5376" t="s">
        <v>87</v>
      </c>
      <c r="G206" s="2226"/>
      <c r="H206" s="2226"/>
      <c r="I206" s="2226"/>
      <c r="J206" s="2226"/>
      <c r="K206" s="2226"/>
      <c r="L206" s="2227"/>
      <c r="M206" s="2228"/>
      <c r="N206" s="2228"/>
      <c r="O206" s="1935"/>
      <c r="P206" s="2229"/>
      <c r="Q206" s="2230"/>
      <c r="R206" s="2229"/>
      <c r="S206" s="2231"/>
      <c r="T206" s="2232" t="s">
        <v>271</v>
      </c>
      <c r="U206" s="1928"/>
      <c r="V206" s="1928"/>
      <c r="W206" s="1928"/>
      <c r="X206" s="1928"/>
      <c r="Y206" s="1928"/>
      <c r="Z206" s="1928"/>
      <c r="AA206" s="1928"/>
      <c r="AB206" s="1928"/>
      <c r="AC206" s="1928"/>
      <c r="AD206" s="1928"/>
      <c r="AE206" s="1928"/>
      <c r="AF206" s="1928"/>
      <c r="AG206" s="1928"/>
      <c r="AH206" s="1928"/>
      <c r="AI206" s="1928"/>
      <c r="AJ206" s="1928"/>
      <c r="AK206" s="1928"/>
      <c r="AL206" s="1928"/>
      <c r="AM206" s="1928"/>
      <c r="AN206" s="1928"/>
      <c r="AO206" s="1928"/>
      <c r="AP206" s="1928"/>
      <c r="AQ206" s="1928"/>
      <c r="AR206" s="1928"/>
      <c r="AS206" s="1928"/>
      <c r="AT206" s="1928"/>
      <c r="AU206" s="1928"/>
      <c r="AV206" s="1928"/>
      <c r="AW206" s="1928"/>
      <c r="AX206" s="1928"/>
      <c r="AY206" s="1928"/>
      <c r="AZ206" s="1928"/>
      <c r="BA206" s="1928"/>
      <c r="BB206" s="1928"/>
      <c r="BC206" s="1928"/>
      <c r="BD206" s="1928"/>
      <c r="BE206" s="1935"/>
      <c r="BF206" s="1983"/>
      <c r="BG206" s="1983" t="str">
        <f t="shared" si="3"/>
        <v>Добавить централизованную систему для дифференциации</v>
      </c>
      <c r="BH206" s="1983"/>
      <c r="BI206" s="1983"/>
    </row>
    <row r="207" spans="1:61" s="5036" customFormat="1" ht="23.25" customHeight="1">
      <c r="A207" s="1973"/>
      <c r="B207" s="1973" t="s">
        <v>311</v>
      </c>
      <c r="C207" s="1973"/>
      <c r="D207" s="1973"/>
      <c r="E207" s="5377"/>
      <c r="F207" s="5376" t="s">
        <v>114</v>
      </c>
      <c r="G207" s="1973"/>
      <c r="H207" s="1973"/>
      <c r="I207" s="1973"/>
      <c r="J207" s="1973"/>
      <c r="K207" s="1973"/>
      <c r="L207" s="1974"/>
      <c r="M207" s="1975"/>
      <c r="N207" s="1975"/>
      <c r="O207" s="1975"/>
      <c r="P207" s="1976"/>
      <c r="Q207" s="1977"/>
      <c r="R207" s="1978"/>
      <c r="S207" s="1979" t="str">
        <f>INDEX(PT_DIFFERENTIATION_NUM_TER,MATCH(B207,PT_DIFFERENTIATION_TER_ID,0))</f>
        <v>1.5</v>
      </c>
      <c r="T207" s="1980" t="s">
        <v>475</v>
      </c>
      <c r="U207" s="1981"/>
      <c r="V207" s="5362"/>
      <c r="W207" s="5363"/>
      <c r="X207" s="5363"/>
      <c r="Y207" s="5363"/>
      <c r="Z207" s="5363"/>
      <c r="AA207" s="5363"/>
      <c r="AB207" s="5363"/>
      <c r="AC207" s="5363"/>
      <c r="AD207" s="5363"/>
      <c r="AE207" s="5363"/>
      <c r="AF207" s="5364"/>
      <c r="AG207" s="5362" t="str">
        <f>INDEX(PT_DIFFERENTIATION_TER,MATCH(B207,PT_DIFFERENTIATION_TER_ID,0))</f>
        <v>городской округ Серпухов</v>
      </c>
      <c r="AH207" s="5363"/>
      <c r="AI207" s="5363"/>
      <c r="AJ207" s="5363"/>
      <c r="AK207" s="5363"/>
      <c r="AL207" s="5363"/>
      <c r="AM207" s="5363"/>
      <c r="AN207" s="5363"/>
      <c r="AO207" s="5363"/>
      <c r="AP207" s="5363"/>
      <c r="AQ207" s="5363"/>
      <c r="AR207" s="5362"/>
      <c r="AS207" s="5363"/>
      <c r="AT207" s="5363"/>
      <c r="AU207" s="5363"/>
      <c r="AV207" s="5363"/>
      <c r="AW207" s="5363"/>
      <c r="AX207" s="5363"/>
      <c r="AY207" s="5363"/>
      <c r="AZ207" s="5363"/>
      <c r="BA207" s="5363"/>
      <c r="BB207" s="5364"/>
      <c r="BC207" s="5364"/>
      <c r="BD207" s="1982" t="s">
        <v>476</v>
      </c>
      <c r="BE207" s="1935"/>
      <c r="BF207" s="1983"/>
      <c r="BG207" s="1983" t="str">
        <f t="shared" si="3"/>
        <v>Территория действия тарифа</v>
      </c>
      <c r="BH207" s="1983"/>
      <c r="BI207" s="1983"/>
    </row>
    <row r="208" spans="1:61" s="5037" customFormat="1" ht="23.25" customHeight="1">
      <c r="A208" s="1973"/>
      <c r="B208" s="1973"/>
      <c r="C208" s="1973" t="s">
        <v>312</v>
      </c>
      <c r="D208" s="1973"/>
      <c r="E208" s="5377"/>
      <c r="F208" s="5377" t="s">
        <v>88</v>
      </c>
      <c r="G208" s="5376">
        <v>1</v>
      </c>
      <c r="H208" s="1973"/>
      <c r="I208" s="1973"/>
      <c r="J208" s="1973"/>
      <c r="K208" s="1973"/>
      <c r="L208" s="1974"/>
      <c r="M208" s="1975"/>
      <c r="N208" s="1975"/>
      <c r="O208" s="1975"/>
      <c r="P208" s="1984"/>
      <c r="Q208" s="1977"/>
      <c r="R208" s="1978"/>
      <c r="S208" s="1979" t="str">
        <f>INDEX(PT_DIFFERENTIATION_NUM_CS,MATCH(C208,PT_DIFFERENTIATION_CS_ID,0))</f>
        <v>1.5.1</v>
      </c>
      <c r="T208" s="1985" t="s">
        <v>606</v>
      </c>
      <c r="U208" s="1981"/>
      <c r="V208" s="5362"/>
      <c r="W208" s="5363"/>
      <c r="X208" s="5363"/>
      <c r="Y208" s="5363"/>
      <c r="Z208" s="5363"/>
      <c r="AA208" s="5363"/>
      <c r="AB208" s="5363"/>
      <c r="AC208" s="5363"/>
      <c r="AD208" s="5363"/>
      <c r="AE208" s="5363"/>
      <c r="AF208" s="5364"/>
      <c r="AG208" s="5362" t="str">
        <f>INDEX(PT_DIFFERENTIATION_CS,MATCH(C208,PT_DIFFERENTIATION_CS_ID,0))</f>
        <v>без дифференциации</v>
      </c>
      <c r="AH208" s="5363"/>
      <c r="AI208" s="5363"/>
      <c r="AJ208" s="5363"/>
      <c r="AK208" s="5363"/>
      <c r="AL208" s="5363"/>
      <c r="AM208" s="5363"/>
      <c r="AN208" s="5363"/>
      <c r="AO208" s="5363"/>
      <c r="AP208" s="5363"/>
      <c r="AQ208" s="5363"/>
      <c r="AR208" s="5362"/>
      <c r="AS208" s="5363"/>
      <c r="AT208" s="5363"/>
      <c r="AU208" s="5363"/>
      <c r="AV208" s="5363"/>
      <c r="AW208" s="5363"/>
      <c r="AX208" s="5363"/>
      <c r="AY208" s="5363"/>
      <c r="AZ208" s="5363"/>
      <c r="BA208" s="5363"/>
      <c r="BB208" s="5364"/>
      <c r="BC208" s="5364"/>
      <c r="BD208" s="1982" t="s">
        <v>607</v>
      </c>
      <c r="BE208" s="1935"/>
      <c r="BF208" s="1983"/>
      <c r="BG208" s="1983" t="str">
        <f t="shared" si="3"/>
        <v>Наименование централизованной системы горячего водоснабжения</v>
      </c>
      <c r="BH208" s="1983"/>
      <c r="BI208" s="1983"/>
    </row>
    <row r="209" spans="1:61" s="5038" customFormat="1" ht="23.25" customHeight="1">
      <c r="A209" s="1973"/>
      <c r="B209" s="1973"/>
      <c r="C209" s="1973"/>
      <c r="D209" s="1973"/>
      <c r="E209" s="5377"/>
      <c r="F209" s="5377" t="s">
        <v>88</v>
      </c>
      <c r="G209" s="5377"/>
      <c r="H209" s="5377"/>
      <c r="I209" s="5374" t="str">
        <f>S208&amp;".1"</f>
        <v>1.5.1.1</v>
      </c>
      <c r="J209" s="1973"/>
      <c r="K209" s="1973"/>
      <c r="L209" s="1974"/>
      <c r="M209" s="1986"/>
      <c r="N209" s="1986"/>
      <c r="O209" s="1986"/>
      <c r="P209" s="5375">
        <v>1</v>
      </c>
      <c r="Q209" s="1987"/>
      <c r="R209" s="1988"/>
      <c r="S209" s="1979" t="str">
        <f>$I209</f>
        <v>1.5.1.1</v>
      </c>
      <c r="T209" s="1989" t="s">
        <v>559</v>
      </c>
      <c r="U209" s="1981"/>
      <c r="V209" s="5435"/>
      <c r="W209" s="5436"/>
      <c r="X209" s="5436"/>
      <c r="Y209" s="5436"/>
      <c r="Z209" s="5436"/>
      <c r="AA209" s="5436"/>
      <c r="AB209" s="5436"/>
      <c r="AC209" s="5436"/>
      <c r="AD209" s="5436"/>
      <c r="AE209" s="5436"/>
      <c r="AF209" s="5437"/>
      <c r="AG209" s="5438"/>
      <c r="AH209" s="5439"/>
      <c r="AI209" s="5439"/>
      <c r="AJ209" s="5439"/>
      <c r="AK209" s="5439"/>
      <c r="AL209" s="5439"/>
      <c r="AM209" s="5439"/>
      <c r="AN209" s="5439"/>
      <c r="AO209" s="5439"/>
      <c r="AP209" s="5439"/>
      <c r="AQ209" s="5439"/>
      <c r="AR209" s="5435"/>
      <c r="AS209" s="5436"/>
      <c r="AT209" s="5436"/>
      <c r="AU209" s="5436"/>
      <c r="AV209" s="5436"/>
      <c r="AW209" s="5436"/>
      <c r="AX209" s="5436"/>
      <c r="AY209" s="5436"/>
      <c r="AZ209" s="5436"/>
      <c r="BA209" s="5436"/>
      <c r="BB209" s="5437"/>
      <c r="BC209" s="5440"/>
      <c r="BD209" s="1982" t="s">
        <v>560</v>
      </c>
      <c r="BE209" s="1935"/>
      <c r="BF209" s="1983"/>
      <c r="BG209" s="1983" t="str">
        <f t="shared" si="3"/>
        <v>Наименование признака дифференциации</v>
      </c>
      <c r="BH209" s="1983"/>
      <c r="BI209" s="1983"/>
    </row>
    <row r="210" spans="1:61" s="5039" customFormat="1" ht="23.25" customHeight="1">
      <c r="A210" s="1973"/>
      <c r="B210" s="1973"/>
      <c r="C210" s="1973"/>
      <c r="D210" s="1973"/>
      <c r="E210" s="5377"/>
      <c r="F210" s="5377" t="s">
        <v>88</v>
      </c>
      <c r="G210" s="5377"/>
      <c r="H210" s="5377"/>
      <c r="I210" s="5397"/>
      <c r="J210" s="5374" t="str">
        <f>I209&amp;".1"</f>
        <v>1.5.1.1.1</v>
      </c>
      <c r="K210" s="1973"/>
      <c r="L210" s="1974" t="s">
        <v>484</v>
      </c>
      <c r="M210" s="1986"/>
      <c r="N210" s="1986"/>
      <c r="O210" s="1986"/>
      <c r="P210" s="5375"/>
      <c r="Q210" s="5375">
        <v>1</v>
      </c>
      <c r="R210" s="1990"/>
      <c r="S210" s="1979" t="str">
        <f>$J210</f>
        <v>1.5.1.1.1</v>
      </c>
      <c r="T210" s="1991" t="s">
        <v>485</v>
      </c>
      <c r="U210" s="1981"/>
      <c r="V210" s="5365"/>
      <c r="W210" s="5366"/>
      <c r="X210" s="5366"/>
      <c r="Y210" s="5366"/>
      <c r="Z210" s="5366"/>
      <c r="AA210" s="5366"/>
      <c r="AB210" s="5366"/>
      <c r="AC210" s="5366"/>
      <c r="AD210" s="5366"/>
      <c r="AE210" s="5366"/>
      <c r="AF210" s="5367"/>
      <c r="AG210" s="5365" t="s">
        <v>619</v>
      </c>
      <c r="AH210" s="5366"/>
      <c r="AI210" s="5366"/>
      <c r="AJ210" s="5366"/>
      <c r="AK210" s="5366"/>
      <c r="AL210" s="5366"/>
      <c r="AM210" s="5366"/>
      <c r="AN210" s="5366"/>
      <c r="AO210" s="5366"/>
      <c r="AP210" s="5366"/>
      <c r="AQ210" s="5366"/>
      <c r="AR210" s="5365"/>
      <c r="AS210" s="5366"/>
      <c r="AT210" s="5366"/>
      <c r="AU210" s="5366"/>
      <c r="AV210" s="5366"/>
      <c r="AW210" s="5366"/>
      <c r="AX210" s="5366"/>
      <c r="AY210" s="5366"/>
      <c r="AZ210" s="5366"/>
      <c r="BA210" s="5366"/>
      <c r="BB210" s="5367"/>
      <c r="BC210" s="5367"/>
      <c r="BD210" s="1992" t="s">
        <v>561</v>
      </c>
      <c r="BE210" s="1935"/>
      <c r="BF210" s="1983"/>
      <c r="BG210" s="1983" t="str">
        <f t="shared" si="3"/>
        <v>Группа потребителей</v>
      </c>
      <c r="BH210" s="1983"/>
      <c r="BI210" s="1983"/>
    </row>
    <row r="211" spans="1:61" s="5040" customFormat="1" ht="23.25" customHeight="1">
      <c r="A211" s="1973"/>
      <c r="B211" s="1973"/>
      <c r="C211" s="1973"/>
      <c r="D211" s="1973"/>
      <c r="E211" s="5377"/>
      <c r="F211" s="5377" t="s">
        <v>88</v>
      </c>
      <c r="G211" s="5377"/>
      <c r="H211" s="5377"/>
      <c r="I211" s="5397"/>
      <c r="J211" s="5397"/>
      <c r="K211" s="5374" t="str">
        <f>J210&amp;".1"</f>
        <v>1.5.1.1.1.1</v>
      </c>
      <c r="L211" s="1974"/>
      <c r="M211" s="1986"/>
      <c r="N211" s="1986"/>
      <c r="O211" s="1986"/>
      <c r="P211" s="5375"/>
      <c r="Q211" s="5375"/>
      <c r="R211" s="1990">
        <v>1</v>
      </c>
      <c r="S211" s="1979" t="str">
        <f>$K211</f>
        <v>1.5.1.1.1.1</v>
      </c>
      <c r="T211" s="1993" t="s">
        <v>628</v>
      </c>
      <c r="U211" s="1981"/>
      <c r="V211" s="1893"/>
      <c r="W211" s="1893"/>
      <c r="X211" s="1893"/>
      <c r="Y211" s="1893"/>
      <c r="Z211" s="1893"/>
      <c r="AA211" s="1893"/>
      <c r="AB211" s="1893"/>
      <c r="AC211" s="5379"/>
      <c r="AD211" s="5225" t="s">
        <v>64</v>
      </c>
      <c r="AE211" s="5379"/>
      <c r="AF211" s="5225" t="s">
        <v>64</v>
      </c>
      <c r="AG211" s="1893"/>
      <c r="AH211" s="1893">
        <v>22.45</v>
      </c>
      <c r="AI211" s="1893"/>
      <c r="AJ211" s="1893"/>
      <c r="AK211" s="1893">
        <v>2740.73</v>
      </c>
      <c r="AL211" s="1893"/>
      <c r="AM211" s="1893"/>
      <c r="AN211" s="5379">
        <v>45292.396319444444</v>
      </c>
      <c r="AO211" s="5225" t="s">
        <v>64</v>
      </c>
      <c r="AP211" s="5398">
        <v>45473.396493055552</v>
      </c>
      <c r="AQ211" s="5225" t="s">
        <v>64</v>
      </c>
      <c r="AR211" s="1893"/>
      <c r="AS211" s="1893">
        <v>24.19</v>
      </c>
      <c r="AT211" s="1893"/>
      <c r="AU211" s="1893"/>
      <c r="AV211" s="1893">
        <v>3151.9</v>
      </c>
      <c r="AW211" s="1893"/>
      <c r="AX211" s="1893"/>
      <c r="AY211" s="5379">
        <v>45474.397222222222</v>
      </c>
      <c r="AZ211" s="5225" t="s">
        <v>64</v>
      </c>
      <c r="BA211" s="5379">
        <v>45657.397303240738</v>
      </c>
      <c r="BB211" s="5225" t="s">
        <v>64</v>
      </c>
      <c r="BC211" s="1994"/>
      <c r="BD211"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11" s="1935" t="e">
        <f ca="1">STRCHECKDATE(V212:BC212)</f>
        <v>#NAME?</v>
      </c>
      <c r="BF211" s="1983"/>
      <c r="BG211" s="1983" t="str">
        <f t="shared" si="3"/>
        <v>МУП "Водоканал-Сервис"</v>
      </c>
      <c r="BH211" s="1983"/>
      <c r="BI211" s="1983"/>
    </row>
    <row r="212" spans="1:61" s="5041" customFormat="1" ht="14.25" customHeight="1">
      <c r="A212" s="1973"/>
      <c r="B212" s="1973"/>
      <c r="C212" s="1973"/>
      <c r="D212" s="1973"/>
      <c r="E212" s="5377"/>
      <c r="F212" s="5377" t="s">
        <v>88</v>
      </c>
      <c r="G212" s="5377"/>
      <c r="H212" s="5377"/>
      <c r="I212" s="5397"/>
      <c r="J212" s="5397"/>
      <c r="K212" s="5374"/>
      <c r="L212" s="1974"/>
      <c r="M212" s="1986"/>
      <c r="N212" s="1986"/>
      <c r="O212" s="1986"/>
      <c r="P212" s="5375"/>
      <c r="Q212" s="5375"/>
      <c r="R212" s="1990"/>
      <c r="S212" s="1995"/>
      <c r="T212" s="1981"/>
      <c r="U212" s="1981"/>
      <c r="V212" s="1894"/>
      <c r="W212" s="1894"/>
      <c r="X212" s="1894"/>
      <c r="Y212" s="1894"/>
      <c r="Z212" s="1894"/>
      <c r="AA212" s="1894"/>
      <c r="AB212" s="1894"/>
      <c r="AC212" s="5380"/>
      <c r="AD212" s="5225"/>
      <c r="AE212" s="5380"/>
      <c r="AF212" s="5225"/>
      <c r="AG212" s="1894"/>
      <c r="AH212" s="1894"/>
      <c r="AI212" s="1894"/>
      <c r="AJ212" s="1894"/>
      <c r="AK212" s="1894"/>
      <c r="AL212" s="1894"/>
      <c r="AM212" s="1894"/>
      <c r="AN212" s="5380"/>
      <c r="AO212" s="5225"/>
      <c r="AP212" s="5399"/>
      <c r="AQ212" s="5225"/>
      <c r="AR212" s="1894"/>
      <c r="AS212" s="1894"/>
      <c r="AT212" s="1894"/>
      <c r="AU212" s="1894"/>
      <c r="AV212" s="1894"/>
      <c r="AW212" s="1894"/>
      <c r="AX212" s="1894"/>
      <c r="AY212" s="5380"/>
      <c r="AZ212" s="5225"/>
      <c r="BA212" s="5380"/>
      <c r="BB212" s="5225"/>
      <c r="BC212" s="1996"/>
      <c r="BD212" s="5434"/>
      <c r="BE212" s="1935"/>
      <c r="BF212" s="1983"/>
      <c r="BG212" s="1983" t="str">
        <f t="shared" si="3"/>
        <v/>
      </c>
      <c r="BH212" s="1983"/>
      <c r="BI212" s="1983"/>
    </row>
    <row r="213" spans="1:61" s="5042" customFormat="1" ht="21" customHeight="1">
      <c r="A213" s="1973"/>
      <c r="B213" s="1973"/>
      <c r="C213" s="1973"/>
      <c r="D213" s="1973"/>
      <c r="E213" s="5377"/>
      <c r="F213" s="5377" t="s">
        <v>88</v>
      </c>
      <c r="G213" s="5377"/>
      <c r="H213" s="5377"/>
      <c r="I213" s="5397"/>
      <c r="J213" s="5374"/>
      <c r="K213" s="1973"/>
      <c r="L213" s="1974"/>
      <c r="M213" s="1986"/>
      <c r="N213" s="1986"/>
      <c r="O213" s="1986"/>
      <c r="P213" s="5375"/>
      <c r="Q213" s="5375"/>
      <c r="R213" s="1988"/>
      <c r="S213" s="3250"/>
      <c r="T213" s="3251" t="s">
        <v>562</v>
      </c>
      <c r="U213" s="3252"/>
      <c r="V213" s="3253"/>
      <c r="W213" s="3254"/>
      <c r="X213" s="3255"/>
      <c r="Y213" s="3256"/>
      <c r="Z213" s="3257"/>
      <c r="AA213" s="3258"/>
      <c r="AB213" s="3259"/>
      <c r="AC213" s="3260"/>
      <c r="AD213" s="3261"/>
      <c r="AE213" s="3262"/>
      <c r="AF213" s="3263"/>
      <c r="AG213" s="3264"/>
      <c r="AH213" s="3265"/>
      <c r="AI213" s="3266"/>
      <c r="AJ213" s="3267"/>
      <c r="AK213" s="3268"/>
      <c r="AL213" s="3269"/>
      <c r="AM213" s="3270"/>
      <c r="AN213" s="3271"/>
      <c r="AO213" s="3272"/>
      <c r="AP213" s="3273"/>
      <c r="AQ213" s="3274"/>
      <c r="AR213" s="3275"/>
      <c r="AS213" s="3276"/>
      <c r="AT213" s="3277"/>
      <c r="AU213" s="3278"/>
      <c r="AV213" s="3279"/>
      <c r="AW213" s="3280"/>
      <c r="AX213" s="3281"/>
      <c r="AY213" s="3282"/>
      <c r="AZ213" s="3283"/>
      <c r="BA213" s="3284"/>
      <c r="BB213" s="3285"/>
      <c r="BC213" s="3286"/>
      <c r="BD213" s="1982" t="s">
        <v>563</v>
      </c>
      <c r="BE213" s="1935"/>
      <c r="BF213" s="1983"/>
      <c r="BG213" s="1983" t="str">
        <f t="shared" si="3"/>
        <v>Добавить значение признака дифференциации</v>
      </c>
      <c r="BH213" s="1983"/>
      <c r="BI213" s="1983"/>
    </row>
    <row r="214" spans="1:61" s="5043" customFormat="1" ht="23.25" customHeight="1">
      <c r="A214" s="3933"/>
      <c r="B214" s="3933"/>
      <c r="C214" s="3933"/>
      <c r="D214" s="3933"/>
      <c r="E214" s="5377"/>
      <c r="F214" s="5377"/>
      <c r="G214" s="5377"/>
      <c r="H214" s="5377"/>
      <c r="I214" s="5397"/>
      <c r="J214" s="5374" t="str">
        <f>I209&amp;".2"</f>
        <v>1.5.1.1.2</v>
      </c>
      <c r="K214" s="3933"/>
      <c r="L214" s="3934" t="s">
        <v>484</v>
      </c>
      <c r="M214" s="3935"/>
      <c r="N214" s="3935"/>
      <c r="O214" s="3935"/>
      <c r="P214" s="5375"/>
      <c r="Q214" s="5452" t="s">
        <v>101</v>
      </c>
      <c r="R214" s="3937"/>
      <c r="S214" s="3938" t="str">
        <f>$J214</f>
        <v>1.5.1.1.2</v>
      </c>
      <c r="T214" s="3939" t="s">
        <v>485</v>
      </c>
      <c r="U214" s="3940"/>
      <c r="V214" s="5365"/>
      <c r="W214" s="5366"/>
      <c r="X214" s="5366"/>
      <c r="Y214" s="5366"/>
      <c r="Z214" s="5366"/>
      <c r="AA214" s="5366"/>
      <c r="AB214" s="5366"/>
      <c r="AC214" s="5366"/>
      <c r="AD214" s="5366"/>
      <c r="AE214" s="5366"/>
      <c r="AF214" s="5367"/>
      <c r="AG214" s="5365" t="s">
        <v>621</v>
      </c>
      <c r="AH214" s="5366"/>
      <c r="AI214" s="5366"/>
      <c r="AJ214" s="5366"/>
      <c r="AK214" s="5366"/>
      <c r="AL214" s="5366"/>
      <c r="AM214" s="5366"/>
      <c r="AN214" s="5366"/>
      <c r="AO214" s="5366"/>
      <c r="AP214" s="5366"/>
      <c r="AQ214" s="5366"/>
      <c r="AR214" s="5365"/>
      <c r="AS214" s="5366"/>
      <c r="AT214" s="5366"/>
      <c r="AU214" s="5366"/>
      <c r="AV214" s="5366"/>
      <c r="AW214" s="5366"/>
      <c r="AX214" s="5366"/>
      <c r="AY214" s="5366"/>
      <c r="AZ214" s="5366"/>
      <c r="BA214" s="5366"/>
      <c r="BB214" s="5453"/>
      <c r="BC214" s="5367"/>
      <c r="BD214" s="3941" t="s">
        <v>561</v>
      </c>
      <c r="BE214" s="3942"/>
      <c r="BF214" s="3943"/>
      <c r="BG214" s="3943" t="str">
        <f t="shared" si="3"/>
        <v>Группа потребителей</v>
      </c>
      <c r="BH214" s="3943"/>
      <c r="BI214" s="3943"/>
    </row>
    <row r="215" spans="1:61" s="5044" customFormat="1" ht="23.25" customHeight="1">
      <c r="A215" s="3933"/>
      <c r="B215" s="3933"/>
      <c r="C215" s="3933"/>
      <c r="D215" s="3933"/>
      <c r="E215" s="5377"/>
      <c r="F215" s="5377"/>
      <c r="G215" s="5377"/>
      <c r="H215" s="5377"/>
      <c r="I215" s="5397"/>
      <c r="J215" s="5397" t="str">
        <f>I209&amp;".1"</f>
        <v>1.5.1.1.1</v>
      </c>
      <c r="K215" s="5374" t="str">
        <f>J214&amp;".1"</f>
        <v>1.5.1.1.2.1</v>
      </c>
      <c r="L215" s="3934"/>
      <c r="M215" s="3935"/>
      <c r="N215" s="3935"/>
      <c r="O215" s="3935"/>
      <c r="P215" s="5375"/>
      <c r="Q215" s="5375"/>
      <c r="R215" s="3937">
        <v>1</v>
      </c>
      <c r="S215" s="3938" t="str">
        <f>$K215</f>
        <v>1.5.1.1.2.1</v>
      </c>
      <c r="T215" s="3944" t="s">
        <v>628</v>
      </c>
      <c r="U215" s="3940"/>
      <c r="V215" s="3931"/>
      <c r="W215" s="3931"/>
      <c r="X215" s="3931"/>
      <c r="Y215" s="3931"/>
      <c r="Z215" s="3931"/>
      <c r="AA215" s="3931"/>
      <c r="AB215" s="3931"/>
      <c r="AC215" s="5379"/>
      <c r="AD215" s="5225" t="s">
        <v>64</v>
      </c>
      <c r="AE215" s="5379"/>
      <c r="AF215" s="5225" t="s">
        <v>64</v>
      </c>
      <c r="AG215" s="3931"/>
      <c r="AH215" s="3931">
        <v>26.94</v>
      </c>
      <c r="AI215" s="3931"/>
      <c r="AJ215" s="3931"/>
      <c r="AK215" s="3931">
        <v>3288.88</v>
      </c>
      <c r="AL215" s="3931"/>
      <c r="AM215" s="3931"/>
      <c r="AN215" s="5379">
        <v>45292.396319444444</v>
      </c>
      <c r="AO215" s="5225" t="s">
        <v>64</v>
      </c>
      <c r="AP215" s="5398">
        <v>45473.396493055552</v>
      </c>
      <c r="AQ215" s="5225" t="s">
        <v>64</v>
      </c>
      <c r="AR215" s="3931"/>
      <c r="AS215" s="3931">
        <v>29.03</v>
      </c>
      <c r="AT215" s="3931"/>
      <c r="AU215" s="3931"/>
      <c r="AV215" s="3931">
        <v>3782.28</v>
      </c>
      <c r="AW215" s="3931"/>
      <c r="AX215" s="3931"/>
      <c r="AY215" s="5379">
        <v>45474.397222222222</v>
      </c>
      <c r="AZ215" s="5225" t="s">
        <v>64</v>
      </c>
      <c r="BA215" s="5379">
        <v>45657.397303240738</v>
      </c>
      <c r="BB215" s="5451" t="s">
        <v>64</v>
      </c>
      <c r="BC215" s="3945"/>
      <c r="BD215"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15" s="3942" t="e">
        <f ca="1">STRCHECKDATE(V216:BC216)</f>
        <v>#NAME?</v>
      </c>
      <c r="BF215" s="3943"/>
      <c r="BG215" s="3943" t="str">
        <f t="shared" si="3"/>
        <v>МУП "Водоканал-Сервис"</v>
      </c>
      <c r="BH215" s="3943"/>
      <c r="BI215" s="3943"/>
    </row>
    <row r="216" spans="1:61" s="5045" customFormat="1" ht="14.25" customHeight="1">
      <c r="A216" s="3933"/>
      <c r="B216" s="3933"/>
      <c r="C216" s="3933"/>
      <c r="D216" s="3933"/>
      <c r="E216" s="5377"/>
      <c r="F216" s="5377"/>
      <c r="G216" s="5377"/>
      <c r="H216" s="5377"/>
      <c r="I216" s="5397"/>
      <c r="J216" s="5397" t="str">
        <f>I209&amp;".1"</f>
        <v>1.5.1.1.1</v>
      </c>
      <c r="K216" s="5374"/>
      <c r="L216" s="3934"/>
      <c r="M216" s="3935"/>
      <c r="N216" s="3935"/>
      <c r="O216" s="3935"/>
      <c r="P216" s="5375"/>
      <c r="Q216" s="5375"/>
      <c r="R216" s="3937"/>
      <c r="S216" s="3946"/>
      <c r="T216" s="3940"/>
      <c r="U216" s="3940"/>
      <c r="V216" s="3932"/>
      <c r="W216" s="3932"/>
      <c r="X216" s="3932"/>
      <c r="Y216" s="3932"/>
      <c r="Z216" s="3932"/>
      <c r="AA216" s="3932"/>
      <c r="AB216" s="3932"/>
      <c r="AC216" s="5380"/>
      <c r="AD216" s="5225"/>
      <c r="AE216" s="5380"/>
      <c r="AF216" s="5225"/>
      <c r="AG216" s="3932"/>
      <c r="AH216" s="3932"/>
      <c r="AI216" s="3932"/>
      <c r="AJ216" s="3932"/>
      <c r="AK216" s="3932"/>
      <c r="AL216" s="3932"/>
      <c r="AM216" s="3932"/>
      <c r="AN216" s="5380"/>
      <c r="AO216" s="5225"/>
      <c r="AP216" s="5399"/>
      <c r="AQ216" s="5225"/>
      <c r="AR216" s="3932"/>
      <c r="AS216" s="3932"/>
      <c r="AT216" s="3932"/>
      <c r="AU216" s="3932"/>
      <c r="AV216" s="3932"/>
      <c r="AW216" s="3932"/>
      <c r="AX216" s="3932"/>
      <c r="AY216" s="5380"/>
      <c r="AZ216" s="5225"/>
      <c r="BA216" s="5380"/>
      <c r="BB216" s="5451"/>
      <c r="BC216" s="3947"/>
      <c r="BD216" s="5434"/>
      <c r="BE216" s="3942"/>
      <c r="BF216" s="3943"/>
      <c r="BG216" s="3943" t="str">
        <f t="shared" si="3"/>
        <v/>
      </c>
      <c r="BH216" s="3943"/>
      <c r="BI216" s="3943"/>
    </row>
    <row r="217" spans="1:61" s="5046" customFormat="1" ht="21" customHeight="1">
      <c r="A217" s="3933"/>
      <c r="B217" s="3933"/>
      <c r="C217" s="3933"/>
      <c r="D217" s="3933"/>
      <c r="E217" s="5377"/>
      <c r="F217" s="5377"/>
      <c r="G217" s="5377"/>
      <c r="H217" s="5377"/>
      <c r="I217" s="5397"/>
      <c r="J217" s="5374" t="str">
        <f>I209&amp;".1"</f>
        <v>1.5.1.1.1</v>
      </c>
      <c r="K217" s="3933"/>
      <c r="L217" s="3934"/>
      <c r="M217" s="3935"/>
      <c r="N217" s="3935"/>
      <c r="O217" s="3935"/>
      <c r="P217" s="5375"/>
      <c r="Q217" s="5375"/>
      <c r="R217" s="3948"/>
      <c r="S217" s="4554"/>
      <c r="T217" s="4555" t="s">
        <v>562</v>
      </c>
      <c r="U217" s="4556"/>
      <c r="V217" s="4557"/>
      <c r="W217" s="4558"/>
      <c r="X217" s="4559"/>
      <c r="Y217" s="4560"/>
      <c r="Z217" s="4561"/>
      <c r="AA217" s="4562"/>
      <c r="AB217" s="4563"/>
      <c r="AC217" s="4564"/>
      <c r="AD217" s="4565"/>
      <c r="AE217" s="4566"/>
      <c r="AF217" s="4567"/>
      <c r="AG217" s="4568"/>
      <c r="AH217" s="4569"/>
      <c r="AI217" s="4570"/>
      <c r="AJ217" s="4571"/>
      <c r="AK217" s="4572"/>
      <c r="AL217" s="4573"/>
      <c r="AM217" s="4574"/>
      <c r="AN217" s="4575"/>
      <c r="AO217" s="4576"/>
      <c r="AP217" s="4577"/>
      <c r="AQ217" s="4578"/>
      <c r="AR217" s="4579"/>
      <c r="AS217" s="4580"/>
      <c r="AT217" s="4581"/>
      <c r="AU217" s="4582"/>
      <c r="AV217" s="4583"/>
      <c r="AW217" s="4584"/>
      <c r="AX217" s="4585"/>
      <c r="AY217" s="4586"/>
      <c r="AZ217" s="4587"/>
      <c r="BA217" s="4588"/>
      <c r="BB217" s="4589"/>
      <c r="BC217" s="4590"/>
      <c r="BD217" s="3986" t="s">
        <v>563</v>
      </c>
      <c r="BE217" s="3942"/>
      <c r="BF217" s="3943"/>
      <c r="BG217" s="3943" t="str">
        <f t="shared" si="3"/>
        <v>Добавить значение признака дифференциации</v>
      </c>
      <c r="BH217" s="3943"/>
      <c r="BI217" s="3943"/>
    </row>
    <row r="218" spans="1:61" s="5047" customFormat="1" ht="21" customHeight="1">
      <c r="A218" s="1973"/>
      <c r="B218" s="1973"/>
      <c r="C218" s="1973"/>
      <c r="D218" s="1973"/>
      <c r="E218" s="5377"/>
      <c r="F218" s="5377" t="s">
        <v>88</v>
      </c>
      <c r="G218" s="5377"/>
      <c r="H218" s="5377"/>
      <c r="I218" s="5374"/>
      <c r="J218" s="1973"/>
      <c r="K218" s="1973"/>
      <c r="L218" s="1974"/>
      <c r="M218" s="1986"/>
      <c r="N218" s="1986"/>
      <c r="O218" s="1986"/>
      <c r="P218" s="5375"/>
      <c r="Q218" s="1987"/>
      <c r="R218" s="1988"/>
      <c r="S218" s="3287"/>
      <c r="T218" s="3288" t="s">
        <v>490</v>
      </c>
      <c r="U218" s="3289"/>
      <c r="V218" s="3290"/>
      <c r="W218" s="3291"/>
      <c r="X218" s="3292"/>
      <c r="Y218" s="3293"/>
      <c r="Z218" s="3294"/>
      <c r="AA218" s="3295"/>
      <c r="AB218" s="3296"/>
      <c r="AC218" s="3297"/>
      <c r="AD218" s="3298"/>
      <c r="AE218" s="3299"/>
      <c r="AF218" s="3300"/>
      <c r="AG218" s="3301"/>
      <c r="AH218" s="3302"/>
      <c r="AI218" s="3303"/>
      <c r="AJ218" s="3304"/>
      <c r="AK218" s="3305"/>
      <c r="AL218" s="3306"/>
      <c r="AM218" s="3307"/>
      <c r="AN218" s="3308"/>
      <c r="AO218" s="3309"/>
      <c r="AP218" s="3310"/>
      <c r="AQ218" s="3311"/>
      <c r="AR218" s="3312"/>
      <c r="AS218" s="3313"/>
      <c r="AT218" s="3314"/>
      <c r="AU218" s="3315"/>
      <c r="AV218" s="3316"/>
      <c r="AW218" s="3317"/>
      <c r="AX218" s="3318"/>
      <c r="AY218" s="3319"/>
      <c r="AZ218" s="3320"/>
      <c r="BA218" s="3321"/>
      <c r="BB218" s="3322"/>
      <c r="BC218" s="3323"/>
      <c r="BD218" s="3324"/>
      <c r="BE218" s="1935"/>
      <c r="BF218" s="1983"/>
      <c r="BG218" s="1983" t="str">
        <f t="shared" si="3"/>
        <v>Добавить группу потребителей</v>
      </c>
      <c r="BH218" s="1983"/>
      <c r="BI218" s="1983"/>
    </row>
    <row r="219" spans="1:61" s="5048" customFormat="1" ht="21" customHeight="1">
      <c r="A219" s="1973"/>
      <c r="B219" s="1973"/>
      <c r="C219" s="1973"/>
      <c r="D219" s="1973"/>
      <c r="E219" s="5377"/>
      <c r="F219" s="5377" t="s">
        <v>88</v>
      </c>
      <c r="G219" s="5377"/>
      <c r="H219" s="5376"/>
      <c r="I219" s="1973"/>
      <c r="J219" s="1973"/>
      <c r="K219" s="1973"/>
      <c r="L219" s="1974"/>
      <c r="M219" s="1975"/>
      <c r="N219" s="1975"/>
      <c r="O219" s="1929"/>
      <c r="P219" s="2072"/>
      <c r="Q219" s="2073"/>
      <c r="R219" s="2074"/>
      <c r="S219" s="3325"/>
      <c r="T219" s="3326" t="s">
        <v>564</v>
      </c>
      <c r="U219" s="3327"/>
      <c r="V219" s="3328"/>
      <c r="W219" s="3329"/>
      <c r="X219" s="3330"/>
      <c r="Y219" s="3331"/>
      <c r="Z219" s="3332"/>
      <c r="AA219" s="3333"/>
      <c r="AB219" s="3334"/>
      <c r="AC219" s="3335"/>
      <c r="AD219" s="3336"/>
      <c r="AE219" s="3337"/>
      <c r="AF219" s="3338"/>
      <c r="AG219" s="3339"/>
      <c r="AH219" s="3340"/>
      <c r="AI219" s="3341"/>
      <c r="AJ219" s="3342"/>
      <c r="AK219" s="3343"/>
      <c r="AL219" s="3344"/>
      <c r="AM219" s="3345"/>
      <c r="AN219" s="3346"/>
      <c r="AO219" s="3347"/>
      <c r="AP219" s="3348"/>
      <c r="AQ219" s="3349"/>
      <c r="AR219" s="3350"/>
      <c r="AS219" s="3351"/>
      <c r="AT219" s="3352"/>
      <c r="AU219" s="3353"/>
      <c r="AV219" s="3354"/>
      <c r="AW219" s="3355"/>
      <c r="AX219" s="3356"/>
      <c r="AY219" s="3357"/>
      <c r="AZ219" s="3358"/>
      <c r="BA219" s="3359"/>
      <c r="BB219" s="3360"/>
      <c r="BC219" s="3361"/>
      <c r="BD219" s="3362"/>
      <c r="BE219" s="1935"/>
      <c r="BF219" s="1983"/>
      <c r="BG219" s="1983" t="str">
        <f t="shared" si="3"/>
        <v>Добавить наименование признака дифференциации</v>
      </c>
      <c r="BH219" s="1983"/>
      <c r="BI219" s="1983"/>
    </row>
    <row r="220" spans="1:61" s="5049" customFormat="1" ht="14.25" customHeight="1">
      <c r="A220" s="2226"/>
      <c r="B220" s="2226"/>
      <c r="C220" s="2226"/>
      <c r="D220" s="2226"/>
      <c r="E220" s="5377"/>
      <c r="F220" s="5376" t="s">
        <v>88</v>
      </c>
      <c r="G220" s="2226"/>
      <c r="H220" s="2226"/>
      <c r="I220" s="2226"/>
      <c r="J220" s="2226"/>
      <c r="K220" s="2226"/>
      <c r="L220" s="2227"/>
      <c r="M220" s="2228"/>
      <c r="N220" s="2228"/>
      <c r="O220" s="1935"/>
      <c r="P220" s="2229"/>
      <c r="Q220" s="2230"/>
      <c r="R220" s="2229"/>
      <c r="S220" s="2231"/>
      <c r="T220" s="2232" t="s">
        <v>271</v>
      </c>
      <c r="U220" s="1928"/>
      <c r="V220" s="1928"/>
      <c r="W220" s="1928"/>
      <c r="X220" s="1928"/>
      <c r="Y220" s="1928"/>
      <c r="Z220" s="1928"/>
      <c r="AA220" s="1928"/>
      <c r="AB220" s="1928"/>
      <c r="AC220" s="1928"/>
      <c r="AD220" s="1928"/>
      <c r="AE220" s="1928"/>
      <c r="AF220" s="1928"/>
      <c r="AG220" s="1928"/>
      <c r="AH220" s="1928"/>
      <c r="AI220" s="1928"/>
      <c r="AJ220" s="1928"/>
      <c r="AK220" s="1928"/>
      <c r="AL220" s="1928"/>
      <c r="AM220" s="1928"/>
      <c r="AN220" s="1928"/>
      <c r="AO220" s="1928"/>
      <c r="AP220" s="1928"/>
      <c r="AQ220" s="1928"/>
      <c r="AR220" s="1928"/>
      <c r="AS220" s="1928"/>
      <c r="AT220" s="1928"/>
      <c r="AU220" s="1928"/>
      <c r="AV220" s="1928"/>
      <c r="AW220" s="1928"/>
      <c r="AX220" s="1928"/>
      <c r="AY220" s="1928"/>
      <c r="AZ220" s="1928"/>
      <c r="BA220" s="1928"/>
      <c r="BB220" s="1928"/>
      <c r="BC220" s="1928"/>
      <c r="BD220" s="1928"/>
      <c r="BE220" s="1935"/>
      <c r="BF220" s="1983"/>
      <c r="BG220" s="1983" t="str">
        <f t="shared" si="3"/>
        <v>Добавить централизованную систему для дифференциации</v>
      </c>
      <c r="BH220" s="1983"/>
      <c r="BI220" s="1983"/>
    </row>
    <row r="221" spans="1:61" s="5050" customFormat="1" ht="23.25" customHeight="1">
      <c r="A221" s="1973"/>
      <c r="B221" s="1973" t="s">
        <v>315</v>
      </c>
      <c r="C221" s="1973"/>
      <c r="D221" s="1973"/>
      <c r="E221" s="5377"/>
      <c r="F221" s="5376" t="s">
        <v>89</v>
      </c>
      <c r="G221" s="1973"/>
      <c r="H221" s="1973"/>
      <c r="I221" s="1973"/>
      <c r="J221" s="1973"/>
      <c r="K221" s="1973"/>
      <c r="L221" s="1974"/>
      <c r="M221" s="1975"/>
      <c r="N221" s="1975"/>
      <c r="O221" s="1975"/>
      <c r="P221" s="1976"/>
      <c r="Q221" s="1977"/>
      <c r="R221" s="1978"/>
      <c r="S221" s="1979" t="str">
        <f>INDEX(PT_DIFFERENTIATION_NUM_TER,MATCH(B221,PT_DIFFERENTIATION_TER_ID,0))</f>
        <v>1.6</v>
      </c>
      <c r="T221" s="1980" t="s">
        <v>475</v>
      </c>
      <c r="U221" s="1981"/>
      <c r="V221" s="5362"/>
      <c r="W221" s="5363"/>
      <c r="X221" s="5363"/>
      <c r="Y221" s="5363"/>
      <c r="Z221" s="5363"/>
      <c r="AA221" s="5363"/>
      <c r="AB221" s="5363"/>
      <c r="AC221" s="5363"/>
      <c r="AD221" s="5363"/>
      <c r="AE221" s="5363"/>
      <c r="AF221" s="5364"/>
      <c r="AG221" s="5362" t="str">
        <f>INDEX(PT_DIFFERENTIATION_TER,MATCH(B221,PT_DIFFERENTIATION_TER_ID,0))</f>
        <v>Солнечногорск</v>
      </c>
      <c r="AH221" s="5363"/>
      <c r="AI221" s="5363"/>
      <c r="AJ221" s="5363"/>
      <c r="AK221" s="5363"/>
      <c r="AL221" s="5363"/>
      <c r="AM221" s="5363"/>
      <c r="AN221" s="5363"/>
      <c r="AO221" s="5363"/>
      <c r="AP221" s="5363"/>
      <c r="AQ221" s="5363"/>
      <c r="AR221" s="5362"/>
      <c r="AS221" s="5363"/>
      <c r="AT221" s="5363"/>
      <c r="AU221" s="5363"/>
      <c r="AV221" s="5363"/>
      <c r="AW221" s="5363"/>
      <c r="AX221" s="5363"/>
      <c r="AY221" s="5363"/>
      <c r="AZ221" s="5363"/>
      <c r="BA221" s="5363"/>
      <c r="BB221" s="5364"/>
      <c r="BC221" s="5364"/>
      <c r="BD221" s="1982" t="s">
        <v>476</v>
      </c>
      <c r="BE221" s="1935"/>
      <c r="BF221" s="1983"/>
      <c r="BG221" s="1983" t="str">
        <f t="shared" si="3"/>
        <v>Территория действия тарифа</v>
      </c>
      <c r="BH221" s="1983"/>
      <c r="BI221" s="1983"/>
    </row>
    <row r="222" spans="1:61" s="5051" customFormat="1" ht="23.25" customHeight="1">
      <c r="A222" s="1973"/>
      <c r="B222" s="1973"/>
      <c r="C222" s="1973" t="s">
        <v>316</v>
      </c>
      <c r="D222" s="1973"/>
      <c r="E222" s="5377"/>
      <c r="F222" s="5377" t="s">
        <v>114</v>
      </c>
      <c r="G222" s="5376">
        <v>1</v>
      </c>
      <c r="H222" s="1973"/>
      <c r="I222" s="1973"/>
      <c r="J222" s="1973"/>
      <c r="K222" s="1973"/>
      <c r="L222" s="1974"/>
      <c r="M222" s="1975"/>
      <c r="N222" s="1975"/>
      <c r="O222" s="1975"/>
      <c r="P222" s="1984"/>
      <c r="Q222" s="1977"/>
      <c r="R222" s="1978"/>
      <c r="S222" s="1979" t="str">
        <f>INDEX(PT_DIFFERENTIATION_NUM_CS,MATCH(C222,PT_DIFFERENTIATION_CS_ID,0))</f>
        <v>1.6.1</v>
      </c>
      <c r="T222" s="1985" t="s">
        <v>606</v>
      </c>
      <c r="U222" s="1981"/>
      <c r="V222" s="5362"/>
      <c r="W222" s="5363"/>
      <c r="X222" s="5363"/>
      <c r="Y222" s="5363"/>
      <c r="Z222" s="5363"/>
      <c r="AA222" s="5363"/>
      <c r="AB222" s="5363"/>
      <c r="AC222" s="5363"/>
      <c r="AD222" s="5363"/>
      <c r="AE222" s="5363"/>
      <c r="AF222" s="5364"/>
      <c r="AG222" s="5362" t="str">
        <f>INDEX(PT_DIFFERENTIATION_CS,MATCH(C222,PT_DIFFERENTIATION_CS_ID,0))</f>
        <v>г.Солнечногорск</v>
      </c>
      <c r="AH222" s="5363"/>
      <c r="AI222" s="5363"/>
      <c r="AJ222" s="5363"/>
      <c r="AK222" s="5363"/>
      <c r="AL222" s="5363"/>
      <c r="AM222" s="5363"/>
      <c r="AN222" s="5363"/>
      <c r="AO222" s="5363"/>
      <c r="AP222" s="5363"/>
      <c r="AQ222" s="5363"/>
      <c r="AR222" s="5362"/>
      <c r="AS222" s="5363"/>
      <c r="AT222" s="5363"/>
      <c r="AU222" s="5363"/>
      <c r="AV222" s="5363"/>
      <c r="AW222" s="5363"/>
      <c r="AX222" s="5363"/>
      <c r="AY222" s="5363"/>
      <c r="AZ222" s="5363"/>
      <c r="BA222" s="5363"/>
      <c r="BB222" s="5364"/>
      <c r="BC222" s="5364"/>
      <c r="BD222" s="1982" t="s">
        <v>607</v>
      </c>
      <c r="BE222" s="1935"/>
      <c r="BF222" s="1983"/>
      <c r="BG222" s="1983" t="str">
        <f t="shared" si="3"/>
        <v>Наименование централизованной системы горячего водоснабжения</v>
      </c>
      <c r="BH222" s="1983"/>
      <c r="BI222" s="1983"/>
    </row>
    <row r="223" spans="1:61" s="5052" customFormat="1" ht="23.25" customHeight="1">
      <c r="A223" s="1973"/>
      <c r="B223" s="1973"/>
      <c r="C223" s="1973"/>
      <c r="D223" s="1973"/>
      <c r="E223" s="5377"/>
      <c r="F223" s="5377" t="s">
        <v>114</v>
      </c>
      <c r="G223" s="5377"/>
      <c r="H223" s="5377"/>
      <c r="I223" s="5374" t="str">
        <f>S222&amp;".1"</f>
        <v>1.6.1.1</v>
      </c>
      <c r="J223" s="1973"/>
      <c r="K223" s="1973"/>
      <c r="L223" s="1974"/>
      <c r="M223" s="1986"/>
      <c r="N223" s="1986"/>
      <c r="O223" s="1986"/>
      <c r="P223" s="5375">
        <v>1</v>
      </c>
      <c r="Q223" s="1987"/>
      <c r="R223" s="1988"/>
      <c r="S223" s="1979" t="str">
        <f>$I223</f>
        <v>1.6.1.1</v>
      </c>
      <c r="T223" s="1989" t="s">
        <v>559</v>
      </c>
      <c r="U223" s="1981"/>
      <c r="V223" s="5435"/>
      <c r="W223" s="5436"/>
      <c r="X223" s="5436"/>
      <c r="Y223" s="5436"/>
      <c r="Z223" s="5436"/>
      <c r="AA223" s="5436"/>
      <c r="AB223" s="5436"/>
      <c r="AC223" s="5436"/>
      <c r="AD223" s="5436"/>
      <c r="AE223" s="5436"/>
      <c r="AF223" s="5437"/>
      <c r="AG223" s="5438"/>
      <c r="AH223" s="5439"/>
      <c r="AI223" s="5439"/>
      <c r="AJ223" s="5439"/>
      <c r="AK223" s="5439"/>
      <c r="AL223" s="5439"/>
      <c r="AM223" s="5439"/>
      <c r="AN223" s="5439"/>
      <c r="AO223" s="5439"/>
      <c r="AP223" s="5439"/>
      <c r="AQ223" s="5439"/>
      <c r="AR223" s="5435"/>
      <c r="AS223" s="5436"/>
      <c r="AT223" s="5436"/>
      <c r="AU223" s="5436"/>
      <c r="AV223" s="5436"/>
      <c r="AW223" s="5436"/>
      <c r="AX223" s="5436"/>
      <c r="AY223" s="5436"/>
      <c r="AZ223" s="5436"/>
      <c r="BA223" s="5436"/>
      <c r="BB223" s="5437"/>
      <c r="BC223" s="5440"/>
      <c r="BD223" s="1982" t="s">
        <v>560</v>
      </c>
      <c r="BE223" s="1935"/>
      <c r="BF223" s="1983"/>
      <c r="BG223" s="1983" t="str">
        <f t="shared" si="3"/>
        <v>Наименование признака дифференциации</v>
      </c>
      <c r="BH223" s="1983"/>
      <c r="BI223" s="1983"/>
    </row>
    <row r="224" spans="1:61" s="5053" customFormat="1" ht="23.25" customHeight="1">
      <c r="A224" s="1973"/>
      <c r="B224" s="1973"/>
      <c r="C224" s="1973"/>
      <c r="D224" s="1973"/>
      <c r="E224" s="5377"/>
      <c r="F224" s="5377" t="s">
        <v>114</v>
      </c>
      <c r="G224" s="5377"/>
      <c r="H224" s="5377"/>
      <c r="I224" s="5397"/>
      <c r="J224" s="5374" t="str">
        <f>I223&amp;".1"</f>
        <v>1.6.1.1.1</v>
      </c>
      <c r="K224" s="1973"/>
      <c r="L224" s="1974" t="s">
        <v>484</v>
      </c>
      <c r="M224" s="1986"/>
      <c r="N224" s="1986"/>
      <c r="O224" s="1986"/>
      <c r="P224" s="5375"/>
      <c r="Q224" s="5375">
        <v>1</v>
      </c>
      <c r="R224" s="1990"/>
      <c r="S224" s="1979" t="str">
        <f>$J224</f>
        <v>1.6.1.1.1</v>
      </c>
      <c r="T224" s="1991" t="s">
        <v>485</v>
      </c>
      <c r="U224" s="1981"/>
      <c r="V224" s="5365"/>
      <c r="W224" s="5366"/>
      <c r="X224" s="5366"/>
      <c r="Y224" s="5366"/>
      <c r="Z224" s="5366"/>
      <c r="AA224" s="5366"/>
      <c r="AB224" s="5366"/>
      <c r="AC224" s="5366"/>
      <c r="AD224" s="5366"/>
      <c r="AE224" s="5366"/>
      <c r="AF224" s="5367"/>
      <c r="AG224" s="5365" t="s">
        <v>619</v>
      </c>
      <c r="AH224" s="5366"/>
      <c r="AI224" s="5366"/>
      <c r="AJ224" s="5366"/>
      <c r="AK224" s="5366"/>
      <c r="AL224" s="5366"/>
      <c r="AM224" s="5366"/>
      <c r="AN224" s="5366"/>
      <c r="AO224" s="5366"/>
      <c r="AP224" s="5366"/>
      <c r="AQ224" s="5366"/>
      <c r="AR224" s="5365"/>
      <c r="AS224" s="5366"/>
      <c r="AT224" s="5366"/>
      <c r="AU224" s="5366"/>
      <c r="AV224" s="5366"/>
      <c r="AW224" s="5366"/>
      <c r="AX224" s="5366"/>
      <c r="AY224" s="5366"/>
      <c r="AZ224" s="5366"/>
      <c r="BA224" s="5366"/>
      <c r="BB224" s="5367"/>
      <c r="BC224" s="5367"/>
      <c r="BD224" s="1992" t="s">
        <v>561</v>
      </c>
      <c r="BE224" s="1935"/>
      <c r="BF224" s="1983"/>
      <c r="BG224" s="1983" t="str">
        <f t="shared" si="3"/>
        <v>Группа потребителей</v>
      </c>
      <c r="BH224" s="1983"/>
      <c r="BI224" s="1983"/>
    </row>
    <row r="225" spans="1:61" s="5054" customFormat="1" ht="23.25" customHeight="1">
      <c r="A225" s="1973"/>
      <c r="B225" s="1973"/>
      <c r="C225" s="1973"/>
      <c r="D225" s="1973"/>
      <c r="E225" s="5377"/>
      <c r="F225" s="5377" t="s">
        <v>114</v>
      </c>
      <c r="G225" s="5377"/>
      <c r="H225" s="5377"/>
      <c r="I225" s="5397"/>
      <c r="J225" s="5397"/>
      <c r="K225" s="5374" t="str">
        <f>J224&amp;".1"</f>
        <v>1.6.1.1.1.1</v>
      </c>
      <c r="L225" s="1974"/>
      <c r="M225" s="1986"/>
      <c r="N225" s="1986"/>
      <c r="O225" s="1986"/>
      <c r="P225" s="5375"/>
      <c r="Q225" s="5375"/>
      <c r="R225" s="1990">
        <v>1</v>
      </c>
      <c r="S225" s="1979" t="str">
        <f>$K225</f>
        <v>1.6.1.1.1.1</v>
      </c>
      <c r="T225" s="1993" t="s">
        <v>629</v>
      </c>
      <c r="U225" s="1981"/>
      <c r="V225" s="1893"/>
      <c r="W225" s="1893"/>
      <c r="X225" s="1893"/>
      <c r="Y225" s="1893"/>
      <c r="Z225" s="1893"/>
      <c r="AA225" s="1893"/>
      <c r="AB225" s="1893"/>
      <c r="AC225" s="5379"/>
      <c r="AD225" s="5225" t="s">
        <v>64</v>
      </c>
      <c r="AE225" s="5379"/>
      <c r="AF225" s="5225" t="s">
        <v>64</v>
      </c>
      <c r="AG225" s="1893"/>
      <c r="AH225" s="1893">
        <v>28.8</v>
      </c>
      <c r="AI225" s="1893"/>
      <c r="AJ225" s="1893"/>
      <c r="AK225" s="1893">
        <v>2689.66</v>
      </c>
      <c r="AL225" s="1893"/>
      <c r="AM225" s="1893"/>
      <c r="AN225" s="5379">
        <v>45292.396319444444</v>
      </c>
      <c r="AO225" s="5225" t="s">
        <v>64</v>
      </c>
      <c r="AP225" s="5398">
        <v>45473.396493055552</v>
      </c>
      <c r="AQ225" s="5225" t="s">
        <v>64</v>
      </c>
      <c r="AR225" s="1893"/>
      <c r="AS225" s="1893">
        <v>32.270000000000003</v>
      </c>
      <c r="AT225" s="1893"/>
      <c r="AU225" s="1893"/>
      <c r="AV225" s="1893">
        <v>3093.31</v>
      </c>
      <c r="AW225" s="1893"/>
      <c r="AX225" s="1893"/>
      <c r="AY225" s="5379">
        <v>45474.397222222222</v>
      </c>
      <c r="AZ225" s="5225" t="s">
        <v>64</v>
      </c>
      <c r="BA225" s="5379">
        <v>45657.397303240738</v>
      </c>
      <c r="BB225" s="5225" t="s">
        <v>64</v>
      </c>
      <c r="BC225" s="1994"/>
      <c r="BD225"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25" s="1935" t="e">
        <f ca="1">STRCHECKDATE(V226:BC226)</f>
        <v>#NAME?</v>
      </c>
      <c r="BF225" s="1983"/>
      <c r="BG225" s="1983" t="str">
        <f t="shared" si="3"/>
        <v>МКП "ИКЖКХ"</v>
      </c>
      <c r="BH225" s="1983"/>
      <c r="BI225" s="1983"/>
    </row>
    <row r="226" spans="1:61" s="5055" customFormat="1" ht="14.25" customHeight="1">
      <c r="A226" s="1973"/>
      <c r="B226" s="1973"/>
      <c r="C226" s="1973"/>
      <c r="D226" s="1973"/>
      <c r="E226" s="5377"/>
      <c r="F226" s="5377" t="s">
        <v>114</v>
      </c>
      <c r="G226" s="5377"/>
      <c r="H226" s="5377"/>
      <c r="I226" s="5397"/>
      <c r="J226" s="5397"/>
      <c r="K226" s="5374"/>
      <c r="L226" s="1974"/>
      <c r="M226" s="1986"/>
      <c r="N226" s="1986"/>
      <c r="O226" s="1986"/>
      <c r="P226" s="5375"/>
      <c r="Q226" s="5375"/>
      <c r="R226" s="1990"/>
      <c r="S226" s="1995"/>
      <c r="T226" s="1981"/>
      <c r="U226" s="1981"/>
      <c r="V226" s="1894"/>
      <c r="W226" s="1894"/>
      <c r="X226" s="1894"/>
      <c r="Y226" s="1894"/>
      <c r="Z226" s="1894"/>
      <c r="AA226" s="1894"/>
      <c r="AB226" s="1894"/>
      <c r="AC226" s="5380"/>
      <c r="AD226" s="5225"/>
      <c r="AE226" s="5380"/>
      <c r="AF226" s="5225"/>
      <c r="AG226" s="1894"/>
      <c r="AH226" s="1894"/>
      <c r="AI226" s="1894"/>
      <c r="AJ226" s="1894"/>
      <c r="AK226" s="1894"/>
      <c r="AL226" s="1894"/>
      <c r="AM226" s="1894"/>
      <c r="AN226" s="5380"/>
      <c r="AO226" s="5225"/>
      <c r="AP226" s="5399"/>
      <c r="AQ226" s="5225"/>
      <c r="AR226" s="1894"/>
      <c r="AS226" s="1894"/>
      <c r="AT226" s="1894"/>
      <c r="AU226" s="1894"/>
      <c r="AV226" s="1894"/>
      <c r="AW226" s="1894"/>
      <c r="AX226" s="1894"/>
      <c r="AY226" s="5380"/>
      <c r="AZ226" s="5225"/>
      <c r="BA226" s="5380"/>
      <c r="BB226" s="5225"/>
      <c r="BC226" s="1996"/>
      <c r="BD226" s="5434"/>
      <c r="BE226" s="1935"/>
      <c r="BF226" s="1983"/>
      <c r="BG226" s="1983" t="str">
        <f t="shared" si="3"/>
        <v/>
      </c>
      <c r="BH226" s="1983"/>
      <c r="BI226" s="1983"/>
    </row>
    <row r="227" spans="1:61" s="5056" customFormat="1" ht="21" customHeight="1">
      <c r="A227" s="1973"/>
      <c r="B227" s="1973"/>
      <c r="C227" s="1973"/>
      <c r="D227" s="1973"/>
      <c r="E227" s="5377"/>
      <c r="F227" s="5377" t="s">
        <v>114</v>
      </c>
      <c r="G227" s="5377"/>
      <c r="H227" s="5377"/>
      <c r="I227" s="5397"/>
      <c r="J227" s="5374"/>
      <c r="K227" s="1973"/>
      <c r="L227" s="1974"/>
      <c r="M227" s="1986"/>
      <c r="N227" s="1986"/>
      <c r="O227" s="1986"/>
      <c r="P227" s="5375"/>
      <c r="Q227" s="5375"/>
      <c r="R227" s="1988"/>
      <c r="S227" s="3363"/>
      <c r="T227" s="3364" t="s">
        <v>562</v>
      </c>
      <c r="U227" s="3365"/>
      <c r="V227" s="3366"/>
      <c r="W227" s="3367"/>
      <c r="X227" s="3368"/>
      <c r="Y227" s="3369"/>
      <c r="Z227" s="3370"/>
      <c r="AA227" s="3371"/>
      <c r="AB227" s="3372"/>
      <c r="AC227" s="3373"/>
      <c r="AD227" s="3374"/>
      <c r="AE227" s="3375"/>
      <c r="AF227" s="3376"/>
      <c r="AG227" s="3377"/>
      <c r="AH227" s="3378"/>
      <c r="AI227" s="3379"/>
      <c r="AJ227" s="3380"/>
      <c r="AK227" s="3381"/>
      <c r="AL227" s="3382"/>
      <c r="AM227" s="3383"/>
      <c r="AN227" s="3384"/>
      <c r="AO227" s="3385"/>
      <c r="AP227" s="3386"/>
      <c r="AQ227" s="3387"/>
      <c r="AR227" s="3388"/>
      <c r="AS227" s="3389"/>
      <c r="AT227" s="3390"/>
      <c r="AU227" s="3391"/>
      <c r="AV227" s="3392"/>
      <c r="AW227" s="3393"/>
      <c r="AX227" s="3394"/>
      <c r="AY227" s="3395"/>
      <c r="AZ227" s="3396"/>
      <c r="BA227" s="3397"/>
      <c r="BB227" s="3398"/>
      <c r="BC227" s="3399"/>
      <c r="BD227" s="1982" t="s">
        <v>563</v>
      </c>
      <c r="BE227" s="1935"/>
      <c r="BF227" s="1983"/>
      <c r="BG227" s="1983" t="str">
        <f t="shared" si="3"/>
        <v>Добавить значение признака дифференциации</v>
      </c>
      <c r="BH227" s="1983"/>
      <c r="BI227" s="1983"/>
    </row>
    <row r="228" spans="1:61" s="5057" customFormat="1" ht="23.25" customHeight="1">
      <c r="A228" s="3933"/>
      <c r="B228" s="3933"/>
      <c r="C228" s="3933"/>
      <c r="D228" s="3933"/>
      <c r="E228" s="5377"/>
      <c r="F228" s="5377"/>
      <c r="G228" s="5377"/>
      <c r="H228" s="5377"/>
      <c r="I228" s="5397"/>
      <c r="J228" s="5374" t="str">
        <f>I223&amp;".2"</f>
        <v>1.6.1.1.2</v>
      </c>
      <c r="K228" s="3933"/>
      <c r="L228" s="3934" t="s">
        <v>484</v>
      </c>
      <c r="M228" s="3935"/>
      <c r="N228" s="3935"/>
      <c r="O228" s="3935"/>
      <c r="P228" s="5375"/>
      <c r="Q228" s="5452" t="s">
        <v>101</v>
      </c>
      <c r="R228" s="3937"/>
      <c r="S228" s="3938" t="str">
        <f>$J228</f>
        <v>1.6.1.1.2</v>
      </c>
      <c r="T228" s="3939" t="s">
        <v>485</v>
      </c>
      <c r="U228" s="3940"/>
      <c r="V228" s="5365"/>
      <c r="W228" s="5366"/>
      <c r="X228" s="5366"/>
      <c r="Y228" s="5366"/>
      <c r="Z228" s="5366"/>
      <c r="AA228" s="5366"/>
      <c r="AB228" s="5366"/>
      <c r="AC228" s="5366"/>
      <c r="AD228" s="5366"/>
      <c r="AE228" s="5366"/>
      <c r="AF228" s="5367"/>
      <c r="AG228" s="5365" t="s">
        <v>621</v>
      </c>
      <c r="AH228" s="5366"/>
      <c r="AI228" s="5366"/>
      <c r="AJ228" s="5366"/>
      <c r="AK228" s="5366"/>
      <c r="AL228" s="5366"/>
      <c r="AM228" s="5366"/>
      <c r="AN228" s="5366"/>
      <c r="AO228" s="5366"/>
      <c r="AP228" s="5366"/>
      <c r="AQ228" s="5366"/>
      <c r="AR228" s="5365"/>
      <c r="AS228" s="5366"/>
      <c r="AT228" s="5366"/>
      <c r="AU228" s="5366"/>
      <c r="AV228" s="5366"/>
      <c r="AW228" s="5366"/>
      <c r="AX228" s="5366"/>
      <c r="AY228" s="5366"/>
      <c r="AZ228" s="5366"/>
      <c r="BA228" s="5366"/>
      <c r="BB228" s="5453"/>
      <c r="BC228" s="5367"/>
      <c r="BD228" s="3941" t="s">
        <v>561</v>
      </c>
      <c r="BE228" s="3942"/>
      <c r="BF228" s="3943"/>
      <c r="BG228" s="3943" t="str">
        <f t="shared" si="3"/>
        <v>Группа потребителей</v>
      </c>
      <c r="BH228" s="3943"/>
      <c r="BI228" s="3943"/>
    </row>
    <row r="229" spans="1:61" s="5058" customFormat="1" ht="23.25" customHeight="1">
      <c r="A229" s="3933"/>
      <c r="B229" s="3933"/>
      <c r="C229" s="3933"/>
      <c r="D229" s="3933"/>
      <c r="E229" s="5377"/>
      <c r="F229" s="5377"/>
      <c r="G229" s="5377"/>
      <c r="H229" s="5377"/>
      <c r="I229" s="5397"/>
      <c r="J229" s="5397" t="str">
        <f>I223&amp;".1"</f>
        <v>1.6.1.1.1</v>
      </c>
      <c r="K229" s="5374" t="str">
        <f>J228&amp;".1"</f>
        <v>1.6.1.1.2.1</v>
      </c>
      <c r="L229" s="3934"/>
      <c r="M229" s="3935"/>
      <c r="N229" s="3935"/>
      <c r="O229" s="3935"/>
      <c r="P229" s="5375"/>
      <c r="Q229" s="5375"/>
      <c r="R229" s="3937">
        <v>1</v>
      </c>
      <c r="S229" s="3938" t="str">
        <f>$K229</f>
        <v>1.6.1.1.2.1</v>
      </c>
      <c r="T229" s="3944" t="s">
        <v>629</v>
      </c>
      <c r="U229" s="3940"/>
      <c r="V229" s="3931"/>
      <c r="W229" s="3931"/>
      <c r="X229" s="3931"/>
      <c r="Y229" s="3931"/>
      <c r="Z229" s="3931"/>
      <c r="AA229" s="3931"/>
      <c r="AB229" s="3931"/>
      <c r="AC229" s="5379"/>
      <c r="AD229" s="5225" t="s">
        <v>64</v>
      </c>
      <c r="AE229" s="5379"/>
      <c r="AF229" s="5225" t="s">
        <v>64</v>
      </c>
      <c r="AG229" s="3931"/>
      <c r="AH229" s="3931">
        <v>34.56</v>
      </c>
      <c r="AI229" s="3931"/>
      <c r="AJ229" s="3931"/>
      <c r="AK229" s="3931">
        <v>3227.59</v>
      </c>
      <c r="AL229" s="3931"/>
      <c r="AM229" s="3931"/>
      <c r="AN229" s="5379">
        <v>45292.396319444444</v>
      </c>
      <c r="AO229" s="5225" t="s">
        <v>64</v>
      </c>
      <c r="AP229" s="5398">
        <v>45473.396493055552</v>
      </c>
      <c r="AQ229" s="5225" t="s">
        <v>64</v>
      </c>
      <c r="AR229" s="3931"/>
      <c r="AS229" s="3931">
        <v>38.72</v>
      </c>
      <c r="AT229" s="3931"/>
      <c r="AU229" s="3931"/>
      <c r="AV229" s="3931">
        <v>3711.97</v>
      </c>
      <c r="AW229" s="3931"/>
      <c r="AX229" s="3931"/>
      <c r="AY229" s="5379">
        <v>45474.397222222222</v>
      </c>
      <c r="AZ229" s="5225" t="s">
        <v>64</v>
      </c>
      <c r="BA229" s="5379">
        <v>45657.397303240738</v>
      </c>
      <c r="BB229" s="5451" t="s">
        <v>64</v>
      </c>
      <c r="BC229" s="3945"/>
      <c r="BD229"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29" s="3942" t="e">
        <f ca="1">STRCHECKDATE(V230:BC230)</f>
        <v>#NAME?</v>
      </c>
      <c r="BF229" s="3943"/>
      <c r="BG229" s="3943" t="str">
        <f t="shared" si="3"/>
        <v>МКП "ИКЖКХ"</v>
      </c>
      <c r="BH229" s="3943"/>
      <c r="BI229" s="3943"/>
    </row>
    <row r="230" spans="1:61" s="5059" customFormat="1" ht="14.25" customHeight="1">
      <c r="A230" s="3933"/>
      <c r="B230" s="3933"/>
      <c r="C230" s="3933"/>
      <c r="D230" s="3933"/>
      <c r="E230" s="5377"/>
      <c r="F230" s="5377"/>
      <c r="G230" s="5377"/>
      <c r="H230" s="5377"/>
      <c r="I230" s="5397"/>
      <c r="J230" s="5397" t="str">
        <f>I223&amp;".1"</f>
        <v>1.6.1.1.1</v>
      </c>
      <c r="K230" s="5374"/>
      <c r="L230" s="3934"/>
      <c r="M230" s="3935"/>
      <c r="N230" s="3935"/>
      <c r="O230" s="3935"/>
      <c r="P230" s="5375"/>
      <c r="Q230" s="5375"/>
      <c r="R230" s="3937"/>
      <c r="S230" s="3946"/>
      <c r="T230" s="3940"/>
      <c r="U230" s="3940"/>
      <c r="V230" s="3932"/>
      <c r="W230" s="3932"/>
      <c r="X230" s="3932"/>
      <c r="Y230" s="3932"/>
      <c r="Z230" s="3932"/>
      <c r="AA230" s="3932"/>
      <c r="AB230" s="3932"/>
      <c r="AC230" s="5380"/>
      <c r="AD230" s="5225"/>
      <c r="AE230" s="5380"/>
      <c r="AF230" s="5225"/>
      <c r="AG230" s="3932"/>
      <c r="AH230" s="3932"/>
      <c r="AI230" s="3932"/>
      <c r="AJ230" s="3932"/>
      <c r="AK230" s="3932"/>
      <c r="AL230" s="3932"/>
      <c r="AM230" s="3932"/>
      <c r="AN230" s="5380"/>
      <c r="AO230" s="5225"/>
      <c r="AP230" s="5399"/>
      <c r="AQ230" s="5225"/>
      <c r="AR230" s="3932"/>
      <c r="AS230" s="3932"/>
      <c r="AT230" s="3932"/>
      <c r="AU230" s="3932"/>
      <c r="AV230" s="3932"/>
      <c r="AW230" s="3932"/>
      <c r="AX230" s="3932"/>
      <c r="AY230" s="5380"/>
      <c r="AZ230" s="5225"/>
      <c r="BA230" s="5380"/>
      <c r="BB230" s="5451"/>
      <c r="BC230" s="3947"/>
      <c r="BD230" s="5434"/>
      <c r="BE230" s="3942"/>
      <c r="BF230" s="3943"/>
      <c r="BG230" s="3943" t="str">
        <f t="shared" si="3"/>
        <v/>
      </c>
      <c r="BH230" s="3943"/>
      <c r="BI230" s="3943"/>
    </row>
    <row r="231" spans="1:61" s="5060" customFormat="1" ht="21" customHeight="1">
      <c r="A231" s="3933"/>
      <c r="B231" s="3933"/>
      <c r="C231" s="3933"/>
      <c r="D231" s="3933"/>
      <c r="E231" s="5377"/>
      <c r="F231" s="5377"/>
      <c r="G231" s="5377"/>
      <c r="H231" s="5377"/>
      <c r="I231" s="5397"/>
      <c r="J231" s="5374" t="str">
        <f>I223&amp;".1"</f>
        <v>1.6.1.1.1</v>
      </c>
      <c r="K231" s="3933"/>
      <c r="L231" s="3934"/>
      <c r="M231" s="3935"/>
      <c r="N231" s="3935"/>
      <c r="O231" s="3935"/>
      <c r="P231" s="5375"/>
      <c r="Q231" s="5375"/>
      <c r="R231" s="3948"/>
      <c r="S231" s="4591"/>
      <c r="T231" s="4592" t="s">
        <v>562</v>
      </c>
      <c r="U231" s="4593"/>
      <c r="V231" s="4594"/>
      <c r="W231" s="4595"/>
      <c r="X231" s="4596"/>
      <c r="Y231" s="4597"/>
      <c r="Z231" s="4598"/>
      <c r="AA231" s="4599"/>
      <c r="AB231" s="4600"/>
      <c r="AC231" s="4601"/>
      <c r="AD231" s="4602"/>
      <c r="AE231" s="4603"/>
      <c r="AF231" s="4604"/>
      <c r="AG231" s="4605"/>
      <c r="AH231" s="4606"/>
      <c r="AI231" s="4607"/>
      <c r="AJ231" s="4608"/>
      <c r="AK231" s="4609"/>
      <c r="AL231" s="4610"/>
      <c r="AM231" s="4611"/>
      <c r="AN231" s="4612"/>
      <c r="AO231" s="4613"/>
      <c r="AP231" s="4614"/>
      <c r="AQ231" s="4615"/>
      <c r="AR231" s="4616"/>
      <c r="AS231" s="4617"/>
      <c r="AT231" s="4618"/>
      <c r="AU231" s="4619"/>
      <c r="AV231" s="4620"/>
      <c r="AW231" s="4621"/>
      <c r="AX231" s="4622"/>
      <c r="AY231" s="4623"/>
      <c r="AZ231" s="4624"/>
      <c r="BA231" s="4625"/>
      <c r="BB231" s="4626"/>
      <c r="BC231" s="4627"/>
      <c r="BD231" s="3986" t="s">
        <v>563</v>
      </c>
      <c r="BE231" s="3942"/>
      <c r="BF231" s="3943"/>
      <c r="BG231" s="3943" t="str">
        <f t="shared" si="3"/>
        <v>Добавить значение признака дифференциации</v>
      </c>
      <c r="BH231" s="3943"/>
      <c r="BI231" s="3943"/>
    </row>
    <row r="232" spans="1:61" s="5061" customFormat="1" ht="21" customHeight="1">
      <c r="A232" s="1973"/>
      <c r="B232" s="1973"/>
      <c r="C232" s="1973"/>
      <c r="D232" s="1973"/>
      <c r="E232" s="5377"/>
      <c r="F232" s="5377" t="s">
        <v>114</v>
      </c>
      <c r="G232" s="5377"/>
      <c r="H232" s="5377"/>
      <c r="I232" s="5374"/>
      <c r="J232" s="1973"/>
      <c r="K232" s="1973"/>
      <c r="L232" s="1974"/>
      <c r="M232" s="1986"/>
      <c r="N232" s="1986"/>
      <c r="O232" s="1986"/>
      <c r="P232" s="5375"/>
      <c r="Q232" s="1987"/>
      <c r="R232" s="1988"/>
      <c r="S232" s="3400"/>
      <c r="T232" s="3401" t="s">
        <v>490</v>
      </c>
      <c r="U232" s="3402"/>
      <c r="V232" s="3403"/>
      <c r="W232" s="3404"/>
      <c r="X232" s="3405"/>
      <c r="Y232" s="3406"/>
      <c r="Z232" s="3407"/>
      <c r="AA232" s="3408"/>
      <c r="AB232" s="3409"/>
      <c r="AC232" s="3410"/>
      <c r="AD232" s="3411"/>
      <c r="AE232" s="3412"/>
      <c r="AF232" s="3413"/>
      <c r="AG232" s="3414"/>
      <c r="AH232" s="3415"/>
      <c r="AI232" s="3416"/>
      <c r="AJ232" s="3417"/>
      <c r="AK232" s="3418"/>
      <c r="AL232" s="3419"/>
      <c r="AM232" s="3420"/>
      <c r="AN232" s="3421"/>
      <c r="AO232" s="3422"/>
      <c r="AP232" s="3423"/>
      <c r="AQ232" s="3424"/>
      <c r="AR232" s="3425"/>
      <c r="AS232" s="3426"/>
      <c r="AT232" s="3427"/>
      <c r="AU232" s="3428"/>
      <c r="AV232" s="3429"/>
      <c r="AW232" s="3430"/>
      <c r="AX232" s="3431"/>
      <c r="AY232" s="3432"/>
      <c r="AZ232" s="3433"/>
      <c r="BA232" s="3434"/>
      <c r="BB232" s="3435"/>
      <c r="BC232" s="3436"/>
      <c r="BD232" s="3437"/>
      <c r="BE232" s="1935"/>
      <c r="BF232" s="1983"/>
      <c r="BG232" s="1983" t="str">
        <f t="shared" si="3"/>
        <v>Добавить группу потребителей</v>
      </c>
      <c r="BH232" s="1983"/>
      <c r="BI232" s="1983"/>
    </row>
    <row r="233" spans="1:61" s="5062" customFormat="1" ht="21" customHeight="1">
      <c r="A233" s="1973"/>
      <c r="B233" s="1973"/>
      <c r="C233" s="1973"/>
      <c r="D233" s="1973"/>
      <c r="E233" s="5377"/>
      <c r="F233" s="5377" t="s">
        <v>114</v>
      </c>
      <c r="G233" s="5377"/>
      <c r="H233" s="5376"/>
      <c r="I233" s="1973"/>
      <c r="J233" s="1973"/>
      <c r="K233" s="1973"/>
      <c r="L233" s="1974"/>
      <c r="M233" s="1975"/>
      <c r="N233" s="1975"/>
      <c r="O233" s="1929"/>
      <c r="P233" s="2072"/>
      <c r="Q233" s="2073"/>
      <c r="R233" s="2074"/>
      <c r="S233" s="3438"/>
      <c r="T233" s="3439" t="s">
        <v>564</v>
      </c>
      <c r="U233" s="3440"/>
      <c r="V233" s="3441"/>
      <c r="W233" s="3442"/>
      <c r="X233" s="3443"/>
      <c r="Y233" s="3444"/>
      <c r="Z233" s="3445"/>
      <c r="AA233" s="3446"/>
      <c r="AB233" s="3447"/>
      <c r="AC233" s="3448"/>
      <c r="AD233" s="3449"/>
      <c r="AE233" s="3450"/>
      <c r="AF233" s="3451"/>
      <c r="AG233" s="3452"/>
      <c r="AH233" s="3453"/>
      <c r="AI233" s="3454"/>
      <c r="AJ233" s="3455"/>
      <c r="AK233" s="3456"/>
      <c r="AL233" s="3457"/>
      <c r="AM233" s="3458"/>
      <c r="AN233" s="3459"/>
      <c r="AO233" s="3460"/>
      <c r="AP233" s="3461"/>
      <c r="AQ233" s="3462"/>
      <c r="AR233" s="3463"/>
      <c r="AS233" s="3464"/>
      <c r="AT233" s="3465"/>
      <c r="AU233" s="3466"/>
      <c r="AV233" s="3467"/>
      <c r="AW233" s="3468"/>
      <c r="AX233" s="3469"/>
      <c r="AY233" s="3470"/>
      <c r="AZ233" s="3471"/>
      <c r="BA233" s="3472"/>
      <c r="BB233" s="3473"/>
      <c r="BC233" s="3474"/>
      <c r="BD233" s="3475"/>
      <c r="BE233" s="1935"/>
      <c r="BF233" s="1983"/>
      <c r="BG233" s="1983" t="str">
        <f t="shared" si="3"/>
        <v>Добавить наименование признака дифференциации</v>
      </c>
      <c r="BH233" s="1983"/>
      <c r="BI233" s="1983"/>
    </row>
    <row r="234" spans="1:61" s="5063" customFormat="1" ht="23.25" customHeight="1">
      <c r="A234" s="1973"/>
      <c r="B234" s="1973"/>
      <c r="C234" s="1973" t="s">
        <v>319</v>
      </c>
      <c r="D234" s="1973"/>
      <c r="E234" s="5377"/>
      <c r="F234" s="5377"/>
      <c r="G234" s="5376" t="s">
        <v>100</v>
      </c>
      <c r="H234" s="1973"/>
      <c r="I234" s="1973"/>
      <c r="J234" s="1973"/>
      <c r="K234" s="1973"/>
      <c r="L234" s="1974"/>
      <c r="M234" s="1975"/>
      <c r="N234" s="1975"/>
      <c r="O234" s="1975"/>
      <c r="P234" s="1984"/>
      <c r="Q234" s="1977"/>
      <c r="R234" s="1978"/>
      <c r="S234" s="1979" t="str">
        <f>INDEX(PT_DIFFERENTIATION_NUM_CS,MATCH(C234,PT_DIFFERENTIATION_CS_ID,0))</f>
        <v>1.6.2</v>
      </c>
      <c r="T234" s="1985" t="s">
        <v>606</v>
      </c>
      <c r="U234" s="1981"/>
      <c r="V234" s="5362"/>
      <c r="W234" s="5363"/>
      <c r="X234" s="5363"/>
      <c r="Y234" s="5363"/>
      <c r="Z234" s="5363"/>
      <c r="AA234" s="5363"/>
      <c r="AB234" s="5363"/>
      <c r="AC234" s="5363"/>
      <c r="AD234" s="5363"/>
      <c r="AE234" s="5363"/>
      <c r="AF234" s="5364"/>
      <c r="AG234" s="5362" t="str">
        <f>INDEX(PT_DIFFERENTIATION_CS,MATCH(C234,PT_DIFFERENTIATION_CS_ID,0))</f>
        <v>г.Солнечногорск, Ржавки</v>
      </c>
      <c r="AH234" s="5363"/>
      <c r="AI234" s="5363"/>
      <c r="AJ234" s="5363"/>
      <c r="AK234" s="5363"/>
      <c r="AL234" s="5363"/>
      <c r="AM234" s="5363"/>
      <c r="AN234" s="5363"/>
      <c r="AO234" s="5363"/>
      <c r="AP234" s="5363"/>
      <c r="AQ234" s="5363"/>
      <c r="AR234" s="5362"/>
      <c r="AS234" s="5363"/>
      <c r="AT234" s="5363"/>
      <c r="AU234" s="5363"/>
      <c r="AV234" s="5363"/>
      <c r="AW234" s="5363"/>
      <c r="AX234" s="5363"/>
      <c r="AY234" s="5363"/>
      <c r="AZ234" s="5363"/>
      <c r="BA234" s="5363"/>
      <c r="BB234" s="5364"/>
      <c r="BC234" s="5364"/>
      <c r="BD234" s="1982" t="s">
        <v>607</v>
      </c>
      <c r="BE234" s="1935"/>
      <c r="BF234" s="1983"/>
      <c r="BG234" s="1983" t="str">
        <f t="shared" ref="BG234:BG284" si="4">IF(T234="","",T234)</f>
        <v>Наименование централизованной системы горячего водоснабжения</v>
      </c>
      <c r="BH234" s="1983"/>
      <c r="BI234" s="1983"/>
    </row>
    <row r="235" spans="1:61" s="5064" customFormat="1" ht="23.25" customHeight="1">
      <c r="A235" s="1973"/>
      <c r="B235" s="1973"/>
      <c r="C235" s="1973"/>
      <c r="D235" s="1973"/>
      <c r="E235" s="5377"/>
      <c r="F235" s="5377"/>
      <c r="G235" s="5377">
        <v>1</v>
      </c>
      <c r="H235" s="5377"/>
      <c r="I235" s="5374" t="str">
        <f>S234&amp;".1"</f>
        <v>1.6.2.1</v>
      </c>
      <c r="J235" s="1973"/>
      <c r="K235" s="1973"/>
      <c r="L235" s="1974"/>
      <c r="M235" s="1986"/>
      <c r="N235" s="1986"/>
      <c r="O235" s="1986"/>
      <c r="P235" s="5375">
        <v>1</v>
      </c>
      <c r="Q235" s="1987"/>
      <c r="R235" s="1988"/>
      <c r="S235" s="1979" t="str">
        <f>$I235</f>
        <v>1.6.2.1</v>
      </c>
      <c r="T235" s="1989" t="s">
        <v>559</v>
      </c>
      <c r="U235" s="1981"/>
      <c r="V235" s="5435"/>
      <c r="W235" s="5436"/>
      <c r="X235" s="5436"/>
      <c r="Y235" s="5436"/>
      <c r="Z235" s="5436"/>
      <c r="AA235" s="5436"/>
      <c r="AB235" s="5436"/>
      <c r="AC235" s="5436"/>
      <c r="AD235" s="5436"/>
      <c r="AE235" s="5436"/>
      <c r="AF235" s="5437"/>
      <c r="AG235" s="5438"/>
      <c r="AH235" s="5439"/>
      <c r="AI235" s="5439"/>
      <c r="AJ235" s="5439"/>
      <c r="AK235" s="5439"/>
      <c r="AL235" s="5439"/>
      <c r="AM235" s="5439"/>
      <c r="AN235" s="5439"/>
      <c r="AO235" s="5439"/>
      <c r="AP235" s="5439"/>
      <c r="AQ235" s="5439"/>
      <c r="AR235" s="5435"/>
      <c r="AS235" s="5436"/>
      <c r="AT235" s="5436"/>
      <c r="AU235" s="5436"/>
      <c r="AV235" s="5436"/>
      <c r="AW235" s="5436"/>
      <c r="AX235" s="5436"/>
      <c r="AY235" s="5436"/>
      <c r="AZ235" s="5436"/>
      <c r="BA235" s="5436"/>
      <c r="BB235" s="5437"/>
      <c r="BC235" s="5440"/>
      <c r="BD235" s="1982" t="s">
        <v>560</v>
      </c>
      <c r="BE235" s="1935"/>
      <c r="BF235" s="1983"/>
      <c r="BG235" s="1983" t="str">
        <f t="shared" si="4"/>
        <v>Наименование признака дифференциации</v>
      </c>
      <c r="BH235" s="1983"/>
      <c r="BI235" s="1983"/>
    </row>
    <row r="236" spans="1:61" s="5065" customFormat="1" ht="23.25" customHeight="1">
      <c r="A236" s="1973"/>
      <c r="B236" s="1973"/>
      <c r="C236" s="1973"/>
      <c r="D236" s="1973"/>
      <c r="E236" s="5377"/>
      <c r="F236" s="5377"/>
      <c r="G236" s="5377">
        <v>1</v>
      </c>
      <c r="H236" s="5377"/>
      <c r="I236" s="5397"/>
      <c r="J236" s="5374" t="str">
        <f>I235&amp;".1"</f>
        <v>1.6.2.1.1</v>
      </c>
      <c r="K236" s="1973"/>
      <c r="L236" s="1974" t="s">
        <v>484</v>
      </c>
      <c r="M236" s="1986"/>
      <c r="N236" s="1986"/>
      <c r="O236" s="1986"/>
      <c r="P236" s="5375"/>
      <c r="Q236" s="5375">
        <v>1</v>
      </c>
      <c r="R236" s="1990"/>
      <c r="S236" s="1979" t="str">
        <f>$J236</f>
        <v>1.6.2.1.1</v>
      </c>
      <c r="T236" s="1991" t="s">
        <v>485</v>
      </c>
      <c r="U236" s="1981"/>
      <c r="V236" s="5365"/>
      <c r="W236" s="5366"/>
      <c r="X236" s="5366"/>
      <c r="Y236" s="5366"/>
      <c r="Z236" s="5366"/>
      <c r="AA236" s="5366"/>
      <c r="AB236" s="5366"/>
      <c r="AC236" s="5366"/>
      <c r="AD236" s="5366"/>
      <c r="AE236" s="5366"/>
      <c r="AF236" s="5367"/>
      <c r="AG236" s="5365" t="s">
        <v>619</v>
      </c>
      <c r="AH236" s="5366"/>
      <c r="AI236" s="5366"/>
      <c r="AJ236" s="5366"/>
      <c r="AK236" s="5366"/>
      <c r="AL236" s="5366"/>
      <c r="AM236" s="5366"/>
      <c r="AN236" s="5366"/>
      <c r="AO236" s="5366"/>
      <c r="AP236" s="5366"/>
      <c r="AQ236" s="5366"/>
      <c r="AR236" s="5365"/>
      <c r="AS236" s="5366"/>
      <c r="AT236" s="5366"/>
      <c r="AU236" s="5366"/>
      <c r="AV236" s="5366"/>
      <c r="AW236" s="5366"/>
      <c r="AX236" s="5366"/>
      <c r="AY236" s="5366"/>
      <c r="AZ236" s="5366"/>
      <c r="BA236" s="5366"/>
      <c r="BB236" s="5367"/>
      <c r="BC236" s="5367"/>
      <c r="BD236" s="1992" t="s">
        <v>561</v>
      </c>
      <c r="BE236" s="1935"/>
      <c r="BF236" s="1983"/>
      <c r="BG236" s="1983" t="str">
        <f t="shared" si="4"/>
        <v>Группа потребителей</v>
      </c>
      <c r="BH236" s="1983"/>
      <c r="BI236" s="1983"/>
    </row>
    <row r="237" spans="1:61" s="5066" customFormat="1" ht="23.25" customHeight="1">
      <c r="A237" s="1973"/>
      <c r="B237" s="1973"/>
      <c r="C237" s="1973"/>
      <c r="D237" s="1973"/>
      <c r="E237" s="5377"/>
      <c r="F237" s="5377"/>
      <c r="G237" s="5377">
        <v>1</v>
      </c>
      <c r="H237" s="5377"/>
      <c r="I237" s="5397"/>
      <c r="J237" s="5397"/>
      <c r="K237" s="5374" t="str">
        <f>J236&amp;".1"</f>
        <v>1.6.2.1.1.1</v>
      </c>
      <c r="L237" s="1974"/>
      <c r="M237" s="1986"/>
      <c r="N237" s="1986"/>
      <c r="O237" s="1986"/>
      <c r="P237" s="5375"/>
      <c r="Q237" s="5375"/>
      <c r="R237" s="1990">
        <v>1</v>
      </c>
      <c r="S237" s="1979" t="str">
        <f>$K237</f>
        <v>1.6.2.1.1.1</v>
      </c>
      <c r="T237" s="1993" t="s">
        <v>630</v>
      </c>
      <c r="U237" s="1981"/>
      <c r="V237" s="1893"/>
      <c r="W237" s="1893"/>
      <c r="X237" s="1893"/>
      <c r="Y237" s="1893"/>
      <c r="Z237" s="1893"/>
      <c r="AA237" s="1893"/>
      <c r="AB237" s="1893"/>
      <c r="AC237" s="5379"/>
      <c r="AD237" s="5225" t="s">
        <v>64</v>
      </c>
      <c r="AE237" s="5379"/>
      <c r="AF237" s="5225" t="s">
        <v>64</v>
      </c>
      <c r="AG237" s="1893"/>
      <c r="AH237" s="1893">
        <v>39.83</v>
      </c>
      <c r="AI237" s="1893"/>
      <c r="AJ237" s="1893"/>
      <c r="AK237" s="1893">
        <v>2689.66</v>
      </c>
      <c r="AL237" s="1893"/>
      <c r="AM237" s="1893"/>
      <c r="AN237" s="5379">
        <v>45292.396319444444</v>
      </c>
      <c r="AO237" s="5225" t="s">
        <v>64</v>
      </c>
      <c r="AP237" s="5398">
        <v>45473.396493055552</v>
      </c>
      <c r="AQ237" s="5225" t="s">
        <v>64</v>
      </c>
      <c r="AR237" s="1893"/>
      <c r="AS237" s="1893">
        <v>44.06</v>
      </c>
      <c r="AT237" s="1893"/>
      <c r="AU237" s="1893"/>
      <c r="AV237" s="1893">
        <v>3093.31</v>
      </c>
      <c r="AW237" s="1893"/>
      <c r="AX237" s="1893"/>
      <c r="AY237" s="5379">
        <v>45474.397222222222</v>
      </c>
      <c r="AZ237" s="5225" t="s">
        <v>64</v>
      </c>
      <c r="BA237" s="5379">
        <v>45657.397303240738</v>
      </c>
      <c r="BB237" s="5225" t="s">
        <v>64</v>
      </c>
      <c r="BC237" s="1994"/>
      <c r="BD23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37" s="1935" t="e">
        <f ca="1">STRCHECKDATE(V238:BC238)</f>
        <v>#NAME?</v>
      </c>
      <c r="BF237" s="1983"/>
      <c r="BG237" s="1983" t="str">
        <f t="shared" si="4"/>
        <v>ООО "Луневобытсервис"</v>
      </c>
      <c r="BH237" s="1983"/>
      <c r="BI237" s="1983"/>
    </row>
    <row r="238" spans="1:61" s="5067" customFormat="1" ht="14.25" customHeight="1">
      <c r="A238" s="1973"/>
      <c r="B238" s="1973"/>
      <c r="C238" s="1973"/>
      <c r="D238" s="1973"/>
      <c r="E238" s="5377"/>
      <c r="F238" s="5377"/>
      <c r="G238" s="5377">
        <v>1</v>
      </c>
      <c r="H238" s="5377"/>
      <c r="I238" s="5397"/>
      <c r="J238" s="5397"/>
      <c r="K238" s="5374"/>
      <c r="L238" s="1974"/>
      <c r="M238" s="1986"/>
      <c r="N238" s="1986"/>
      <c r="O238" s="1986"/>
      <c r="P238" s="5375"/>
      <c r="Q238" s="5375"/>
      <c r="R238" s="1990"/>
      <c r="S238" s="1995"/>
      <c r="T238" s="1981"/>
      <c r="U238" s="1981"/>
      <c r="V238" s="1894"/>
      <c r="W238" s="1894"/>
      <c r="X238" s="1894"/>
      <c r="Y238" s="1894"/>
      <c r="Z238" s="1894"/>
      <c r="AA238" s="1894"/>
      <c r="AB238" s="1894"/>
      <c r="AC238" s="5380"/>
      <c r="AD238" s="5225"/>
      <c r="AE238" s="5380"/>
      <c r="AF238" s="5225"/>
      <c r="AG238" s="1894"/>
      <c r="AH238" s="1894"/>
      <c r="AI238" s="1894"/>
      <c r="AJ238" s="1894"/>
      <c r="AK238" s="1894"/>
      <c r="AL238" s="1894"/>
      <c r="AM238" s="1894"/>
      <c r="AN238" s="5380"/>
      <c r="AO238" s="5225"/>
      <c r="AP238" s="5399"/>
      <c r="AQ238" s="5225"/>
      <c r="AR238" s="1894"/>
      <c r="AS238" s="1894"/>
      <c r="AT238" s="1894"/>
      <c r="AU238" s="1894"/>
      <c r="AV238" s="1894"/>
      <c r="AW238" s="1894"/>
      <c r="AX238" s="1894"/>
      <c r="AY238" s="5380"/>
      <c r="AZ238" s="5225"/>
      <c r="BA238" s="5380"/>
      <c r="BB238" s="5225"/>
      <c r="BC238" s="1996"/>
      <c r="BD238" s="5434"/>
      <c r="BE238" s="1935"/>
      <c r="BF238" s="1983"/>
      <c r="BG238" s="1983" t="str">
        <f t="shared" si="4"/>
        <v/>
      </c>
      <c r="BH238" s="1983"/>
      <c r="BI238" s="1983"/>
    </row>
    <row r="239" spans="1:61" s="5068" customFormat="1" ht="21" customHeight="1">
      <c r="A239" s="1973"/>
      <c r="B239" s="1973"/>
      <c r="C239" s="1973"/>
      <c r="D239" s="1973"/>
      <c r="E239" s="5377"/>
      <c r="F239" s="5377"/>
      <c r="G239" s="5377">
        <v>1</v>
      </c>
      <c r="H239" s="5377"/>
      <c r="I239" s="5397"/>
      <c r="J239" s="5374"/>
      <c r="K239" s="1973"/>
      <c r="L239" s="1974"/>
      <c r="M239" s="1986"/>
      <c r="N239" s="1986"/>
      <c r="O239" s="1986"/>
      <c r="P239" s="5375"/>
      <c r="Q239" s="5375"/>
      <c r="R239" s="1988"/>
      <c r="S239" s="3476"/>
      <c r="T239" s="3477" t="s">
        <v>562</v>
      </c>
      <c r="U239" s="3478"/>
      <c r="V239" s="3479"/>
      <c r="W239" s="3480"/>
      <c r="X239" s="3481"/>
      <c r="Y239" s="3482"/>
      <c r="Z239" s="3483"/>
      <c r="AA239" s="3484"/>
      <c r="AB239" s="3485"/>
      <c r="AC239" s="3486"/>
      <c r="AD239" s="3487"/>
      <c r="AE239" s="3488"/>
      <c r="AF239" s="3489"/>
      <c r="AG239" s="3490"/>
      <c r="AH239" s="3491"/>
      <c r="AI239" s="3492"/>
      <c r="AJ239" s="3493"/>
      <c r="AK239" s="3494"/>
      <c r="AL239" s="3495"/>
      <c r="AM239" s="3496"/>
      <c r="AN239" s="3497"/>
      <c r="AO239" s="3498"/>
      <c r="AP239" s="3499"/>
      <c r="AQ239" s="3500"/>
      <c r="AR239" s="3501"/>
      <c r="AS239" s="3502"/>
      <c r="AT239" s="3503"/>
      <c r="AU239" s="3504"/>
      <c r="AV239" s="3505"/>
      <c r="AW239" s="3506"/>
      <c r="AX239" s="3507"/>
      <c r="AY239" s="3508"/>
      <c r="AZ239" s="3509"/>
      <c r="BA239" s="3510"/>
      <c r="BB239" s="3511"/>
      <c r="BC239" s="3512"/>
      <c r="BD239" s="1982" t="s">
        <v>563</v>
      </c>
      <c r="BE239" s="1935"/>
      <c r="BF239" s="1983"/>
      <c r="BG239" s="1983" t="str">
        <f t="shared" si="4"/>
        <v>Добавить значение признака дифференциации</v>
      </c>
      <c r="BH239" s="1983"/>
      <c r="BI239" s="1983"/>
    </row>
    <row r="240" spans="1:61" s="5069" customFormat="1" ht="23.25" customHeight="1">
      <c r="A240" s="3933"/>
      <c r="B240" s="3933"/>
      <c r="C240" s="3933"/>
      <c r="D240" s="3933"/>
      <c r="E240" s="5377"/>
      <c r="F240" s="5377"/>
      <c r="G240" s="5377"/>
      <c r="H240" s="5377"/>
      <c r="I240" s="5397"/>
      <c r="J240" s="5374" t="str">
        <f>I235&amp;".2"</f>
        <v>1.6.2.1.2</v>
      </c>
      <c r="K240" s="3933"/>
      <c r="L240" s="3934" t="s">
        <v>484</v>
      </c>
      <c r="M240" s="3935"/>
      <c r="N240" s="3935"/>
      <c r="O240" s="3935"/>
      <c r="P240" s="5375"/>
      <c r="Q240" s="5452" t="s">
        <v>101</v>
      </c>
      <c r="R240" s="3937"/>
      <c r="S240" s="3938" t="str">
        <f>$J240</f>
        <v>1.6.2.1.2</v>
      </c>
      <c r="T240" s="3939" t="s">
        <v>485</v>
      </c>
      <c r="U240" s="3940"/>
      <c r="V240" s="5365"/>
      <c r="W240" s="5366"/>
      <c r="X240" s="5366"/>
      <c r="Y240" s="5366"/>
      <c r="Z240" s="5366"/>
      <c r="AA240" s="5366"/>
      <c r="AB240" s="5366"/>
      <c r="AC240" s="5366"/>
      <c r="AD240" s="5366"/>
      <c r="AE240" s="5366"/>
      <c r="AF240" s="5367"/>
      <c r="AG240" s="5365" t="s">
        <v>621</v>
      </c>
      <c r="AH240" s="5366"/>
      <c r="AI240" s="5366"/>
      <c r="AJ240" s="5366"/>
      <c r="AK240" s="5366"/>
      <c r="AL240" s="5366"/>
      <c r="AM240" s="5366"/>
      <c r="AN240" s="5366"/>
      <c r="AO240" s="5366"/>
      <c r="AP240" s="5366"/>
      <c r="AQ240" s="5366"/>
      <c r="AR240" s="5365"/>
      <c r="AS240" s="5366"/>
      <c r="AT240" s="5366"/>
      <c r="AU240" s="5366"/>
      <c r="AV240" s="5366"/>
      <c r="AW240" s="5366"/>
      <c r="AX240" s="5366"/>
      <c r="AY240" s="5366"/>
      <c r="AZ240" s="5366"/>
      <c r="BA240" s="5366"/>
      <c r="BB240" s="5453"/>
      <c r="BC240" s="5367"/>
      <c r="BD240" s="3941" t="s">
        <v>561</v>
      </c>
      <c r="BE240" s="3942"/>
      <c r="BF240" s="3943"/>
      <c r="BG240" s="3943" t="str">
        <f t="shared" si="4"/>
        <v>Группа потребителей</v>
      </c>
      <c r="BH240" s="3943"/>
      <c r="BI240" s="3943"/>
    </row>
    <row r="241" spans="1:61" s="5070" customFormat="1" ht="23.25" customHeight="1">
      <c r="A241" s="3933"/>
      <c r="B241" s="3933"/>
      <c r="C241" s="3933"/>
      <c r="D241" s="3933"/>
      <c r="E241" s="5377"/>
      <c r="F241" s="5377"/>
      <c r="G241" s="5377"/>
      <c r="H241" s="5377"/>
      <c r="I241" s="5397"/>
      <c r="J241" s="5397" t="str">
        <f>I235&amp;".1"</f>
        <v>1.6.2.1.1</v>
      </c>
      <c r="K241" s="5374" t="str">
        <f>J240&amp;".1"</f>
        <v>1.6.2.1.2.1</v>
      </c>
      <c r="L241" s="3934"/>
      <c r="M241" s="3935"/>
      <c r="N241" s="3935"/>
      <c r="O241" s="3935"/>
      <c r="P241" s="5375"/>
      <c r="Q241" s="5375"/>
      <c r="R241" s="3937">
        <v>1</v>
      </c>
      <c r="S241" s="3938" t="str">
        <f>$K241</f>
        <v>1.6.2.1.2.1</v>
      </c>
      <c r="T241" s="3944" t="s">
        <v>630</v>
      </c>
      <c r="U241" s="3940"/>
      <c r="V241" s="3931"/>
      <c r="W241" s="3931"/>
      <c r="X241" s="3931"/>
      <c r="Y241" s="3931"/>
      <c r="Z241" s="3931"/>
      <c r="AA241" s="3931"/>
      <c r="AB241" s="3931"/>
      <c r="AC241" s="5379"/>
      <c r="AD241" s="5225" t="s">
        <v>64</v>
      </c>
      <c r="AE241" s="5379"/>
      <c r="AF241" s="5225" t="s">
        <v>64</v>
      </c>
      <c r="AG241" s="3931"/>
      <c r="AH241" s="3931">
        <v>47.8</v>
      </c>
      <c r="AI241" s="3931"/>
      <c r="AJ241" s="3931"/>
      <c r="AK241" s="3931">
        <v>3227.59</v>
      </c>
      <c r="AL241" s="3931"/>
      <c r="AM241" s="3931"/>
      <c r="AN241" s="5379">
        <v>45292.396319444444</v>
      </c>
      <c r="AO241" s="5225" t="s">
        <v>64</v>
      </c>
      <c r="AP241" s="5398">
        <v>45473.396493055552</v>
      </c>
      <c r="AQ241" s="5225" t="s">
        <v>64</v>
      </c>
      <c r="AR241" s="3931"/>
      <c r="AS241" s="3931">
        <v>52.87</v>
      </c>
      <c r="AT241" s="3931"/>
      <c r="AU241" s="3931"/>
      <c r="AV241" s="3931">
        <v>3711.97</v>
      </c>
      <c r="AW241" s="3931"/>
      <c r="AX241" s="3931"/>
      <c r="AY241" s="5379">
        <v>45474.397222222222</v>
      </c>
      <c r="AZ241" s="5225" t="s">
        <v>64</v>
      </c>
      <c r="BA241" s="5379">
        <v>45657</v>
      </c>
      <c r="BB241" s="5451" t="s">
        <v>64</v>
      </c>
      <c r="BC241" s="3945"/>
      <c r="BD241"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41" s="3942" t="e">
        <f ca="1">STRCHECKDATE(V242:BC242)</f>
        <v>#NAME?</v>
      </c>
      <c r="BF241" s="3943"/>
      <c r="BG241" s="3943" t="str">
        <f t="shared" si="4"/>
        <v>ООО "Луневобытсервис"</v>
      </c>
      <c r="BH241" s="3943"/>
      <c r="BI241" s="3943"/>
    </row>
    <row r="242" spans="1:61" s="5071" customFormat="1" ht="14.25" customHeight="1">
      <c r="A242" s="3933"/>
      <c r="B242" s="3933"/>
      <c r="C242" s="3933"/>
      <c r="D242" s="3933"/>
      <c r="E242" s="5377"/>
      <c r="F242" s="5377"/>
      <c r="G242" s="5377"/>
      <c r="H242" s="5377"/>
      <c r="I242" s="5397"/>
      <c r="J242" s="5397" t="str">
        <f>I235&amp;".1"</f>
        <v>1.6.2.1.1</v>
      </c>
      <c r="K242" s="5374"/>
      <c r="L242" s="3934"/>
      <c r="M242" s="3935"/>
      <c r="N242" s="3935"/>
      <c r="O242" s="3935"/>
      <c r="P242" s="5375"/>
      <c r="Q242" s="5375"/>
      <c r="R242" s="3937"/>
      <c r="S242" s="3946"/>
      <c r="T242" s="3940"/>
      <c r="U242" s="3940"/>
      <c r="V242" s="3932"/>
      <c r="W242" s="3932"/>
      <c r="X242" s="3932"/>
      <c r="Y242" s="3932"/>
      <c r="Z242" s="3932"/>
      <c r="AA242" s="3932"/>
      <c r="AB242" s="3932"/>
      <c r="AC242" s="5380"/>
      <c r="AD242" s="5225"/>
      <c r="AE242" s="5380"/>
      <c r="AF242" s="5225"/>
      <c r="AG242" s="3932"/>
      <c r="AH242" s="3932"/>
      <c r="AI242" s="3932"/>
      <c r="AJ242" s="3932"/>
      <c r="AK242" s="3932"/>
      <c r="AL242" s="3932"/>
      <c r="AM242" s="3932"/>
      <c r="AN242" s="5380"/>
      <c r="AO242" s="5225"/>
      <c r="AP242" s="5399"/>
      <c r="AQ242" s="5225"/>
      <c r="AR242" s="3932"/>
      <c r="AS242" s="3932"/>
      <c r="AT242" s="3932"/>
      <c r="AU242" s="3932"/>
      <c r="AV242" s="3932"/>
      <c r="AW242" s="3932"/>
      <c r="AX242" s="3932"/>
      <c r="AY242" s="5380"/>
      <c r="AZ242" s="5225"/>
      <c r="BA242" s="5380"/>
      <c r="BB242" s="5451"/>
      <c r="BC242" s="3947"/>
      <c r="BD242" s="5434"/>
      <c r="BE242" s="3942"/>
      <c r="BF242" s="3943"/>
      <c r="BG242" s="3943" t="str">
        <f t="shared" si="4"/>
        <v/>
      </c>
      <c r="BH242" s="3943"/>
      <c r="BI242" s="3943"/>
    </row>
    <row r="243" spans="1:61" s="5072" customFormat="1" ht="21" customHeight="1">
      <c r="A243" s="3933"/>
      <c r="B243" s="3933"/>
      <c r="C243" s="3933"/>
      <c r="D243" s="3933"/>
      <c r="E243" s="5377"/>
      <c r="F243" s="5377"/>
      <c r="G243" s="5377"/>
      <c r="H243" s="5377"/>
      <c r="I243" s="5397"/>
      <c r="J243" s="5374" t="str">
        <f>I235&amp;".1"</f>
        <v>1.6.2.1.1</v>
      </c>
      <c r="K243" s="3933"/>
      <c r="L243" s="3934"/>
      <c r="M243" s="3935"/>
      <c r="N243" s="3935"/>
      <c r="O243" s="3935"/>
      <c r="P243" s="5375"/>
      <c r="Q243" s="5375"/>
      <c r="R243" s="3948"/>
      <c r="S243" s="4628"/>
      <c r="T243" s="4629" t="s">
        <v>562</v>
      </c>
      <c r="U243" s="4630"/>
      <c r="V243" s="4631"/>
      <c r="W243" s="4632"/>
      <c r="X243" s="4633"/>
      <c r="Y243" s="4634"/>
      <c r="Z243" s="4635"/>
      <c r="AA243" s="4636"/>
      <c r="AB243" s="4637"/>
      <c r="AC243" s="4638"/>
      <c r="AD243" s="4639"/>
      <c r="AE243" s="4640"/>
      <c r="AF243" s="4641"/>
      <c r="AG243" s="4642"/>
      <c r="AH243" s="4643"/>
      <c r="AI243" s="4644"/>
      <c r="AJ243" s="4645"/>
      <c r="AK243" s="4646"/>
      <c r="AL243" s="4647"/>
      <c r="AM243" s="4648"/>
      <c r="AN243" s="4649"/>
      <c r="AO243" s="4650"/>
      <c r="AP243" s="4651"/>
      <c r="AQ243" s="4652"/>
      <c r="AR243" s="4653"/>
      <c r="AS243" s="4654"/>
      <c r="AT243" s="4655"/>
      <c r="AU243" s="4656"/>
      <c r="AV243" s="4657"/>
      <c r="AW243" s="4658"/>
      <c r="AX243" s="4659"/>
      <c r="AY243" s="4660"/>
      <c r="AZ243" s="4661"/>
      <c r="BA243" s="4662"/>
      <c r="BB243" s="4663"/>
      <c r="BC243" s="4664"/>
      <c r="BD243" s="3986" t="s">
        <v>563</v>
      </c>
      <c r="BE243" s="3942"/>
      <c r="BF243" s="3943"/>
      <c r="BG243" s="3943" t="str">
        <f t="shared" si="4"/>
        <v>Добавить значение признака дифференциации</v>
      </c>
      <c r="BH243" s="3943"/>
      <c r="BI243" s="3943"/>
    </row>
    <row r="244" spans="1:61" s="5073" customFormat="1" ht="21" customHeight="1">
      <c r="A244" s="1973"/>
      <c r="B244" s="1973"/>
      <c r="C244" s="1973"/>
      <c r="D244" s="1973"/>
      <c r="E244" s="5377"/>
      <c r="F244" s="5377"/>
      <c r="G244" s="5377">
        <v>1</v>
      </c>
      <c r="H244" s="5377"/>
      <c r="I244" s="5374"/>
      <c r="J244" s="1973"/>
      <c r="K244" s="1973"/>
      <c r="L244" s="1974"/>
      <c r="M244" s="1986"/>
      <c r="N244" s="1986"/>
      <c r="O244" s="1986"/>
      <c r="P244" s="5375"/>
      <c r="Q244" s="1987"/>
      <c r="R244" s="1988"/>
      <c r="S244" s="3513"/>
      <c r="T244" s="3514" t="s">
        <v>490</v>
      </c>
      <c r="U244" s="3515"/>
      <c r="V244" s="3516"/>
      <c r="W244" s="3517"/>
      <c r="X244" s="3518"/>
      <c r="Y244" s="3519"/>
      <c r="Z244" s="3520"/>
      <c r="AA244" s="3521"/>
      <c r="AB244" s="3522"/>
      <c r="AC244" s="3523"/>
      <c r="AD244" s="3524"/>
      <c r="AE244" s="3525"/>
      <c r="AF244" s="3526"/>
      <c r="AG244" s="3527"/>
      <c r="AH244" s="3528"/>
      <c r="AI244" s="3529"/>
      <c r="AJ244" s="3530"/>
      <c r="AK244" s="3531"/>
      <c r="AL244" s="3532"/>
      <c r="AM244" s="3533"/>
      <c r="AN244" s="3534"/>
      <c r="AO244" s="3535"/>
      <c r="AP244" s="3536"/>
      <c r="AQ244" s="3537"/>
      <c r="AR244" s="3538"/>
      <c r="AS244" s="3539"/>
      <c r="AT244" s="3540"/>
      <c r="AU244" s="3541"/>
      <c r="AV244" s="3542"/>
      <c r="AW244" s="3543"/>
      <c r="AX244" s="3544"/>
      <c r="AY244" s="3545"/>
      <c r="AZ244" s="3546"/>
      <c r="BA244" s="3547"/>
      <c r="BB244" s="3548"/>
      <c r="BC244" s="3549"/>
      <c r="BD244" s="3550"/>
      <c r="BE244" s="1935"/>
      <c r="BF244" s="1983"/>
      <c r="BG244" s="1983" t="str">
        <f t="shared" si="4"/>
        <v>Добавить группу потребителей</v>
      </c>
      <c r="BH244" s="1983"/>
      <c r="BI244" s="1983"/>
    </row>
    <row r="245" spans="1:61" s="5074" customFormat="1" ht="21" customHeight="1">
      <c r="A245" s="1973"/>
      <c r="B245" s="1973"/>
      <c r="C245" s="1973"/>
      <c r="D245" s="1973"/>
      <c r="E245" s="5377"/>
      <c r="F245" s="5377"/>
      <c r="G245" s="5377">
        <v>1</v>
      </c>
      <c r="H245" s="5376"/>
      <c r="I245" s="1973"/>
      <c r="J245" s="1973"/>
      <c r="K245" s="1973"/>
      <c r="L245" s="1974"/>
      <c r="M245" s="1975"/>
      <c r="N245" s="1975"/>
      <c r="O245" s="1929"/>
      <c r="P245" s="2072"/>
      <c r="Q245" s="2073"/>
      <c r="R245" s="2074"/>
      <c r="S245" s="3551"/>
      <c r="T245" s="3552" t="s">
        <v>564</v>
      </c>
      <c r="U245" s="3553"/>
      <c r="V245" s="3554"/>
      <c r="W245" s="3555"/>
      <c r="X245" s="3556"/>
      <c r="Y245" s="3557"/>
      <c r="Z245" s="3558"/>
      <c r="AA245" s="3559"/>
      <c r="AB245" s="3560"/>
      <c r="AC245" s="3561"/>
      <c r="AD245" s="3562"/>
      <c r="AE245" s="3563"/>
      <c r="AF245" s="3564"/>
      <c r="AG245" s="3565"/>
      <c r="AH245" s="3566"/>
      <c r="AI245" s="3567"/>
      <c r="AJ245" s="3568"/>
      <c r="AK245" s="3569"/>
      <c r="AL245" s="3570"/>
      <c r="AM245" s="3571"/>
      <c r="AN245" s="3572"/>
      <c r="AO245" s="3573"/>
      <c r="AP245" s="3574"/>
      <c r="AQ245" s="3575"/>
      <c r="AR245" s="3576"/>
      <c r="AS245" s="3577"/>
      <c r="AT245" s="3578"/>
      <c r="AU245" s="3579"/>
      <c r="AV245" s="3580"/>
      <c r="AW245" s="3581"/>
      <c r="AX245" s="3582"/>
      <c r="AY245" s="3583"/>
      <c r="AZ245" s="3584"/>
      <c r="BA245" s="3585"/>
      <c r="BB245" s="3586"/>
      <c r="BC245" s="3587"/>
      <c r="BD245" s="3588"/>
      <c r="BE245" s="1935"/>
      <c r="BF245" s="1983"/>
      <c r="BG245" s="1983" t="str">
        <f t="shared" si="4"/>
        <v>Добавить наименование признака дифференциации</v>
      </c>
      <c r="BH245" s="1983"/>
      <c r="BI245" s="1983"/>
    </row>
    <row r="246" spans="1:61" s="5075" customFormat="1" ht="23.25" customHeight="1">
      <c r="A246" s="1973"/>
      <c r="B246" s="1973"/>
      <c r="C246" s="1973" t="s">
        <v>322</v>
      </c>
      <c r="D246" s="1973"/>
      <c r="E246" s="5377"/>
      <c r="F246" s="5377"/>
      <c r="G246" s="5376" t="s">
        <v>87</v>
      </c>
      <c r="H246" s="1973"/>
      <c r="I246" s="1973"/>
      <c r="J246" s="1973"/>
      <c r="K246" s="1973"/>
      <c r="L246" s="1974"/>
      <c r="M246" s="1975"/>
      <c r="N246" s="1975"/>
      <c r="O246" s="1975"/>
      <c r="P246" s="1984"/>
      <c r="Q246" s="1977"/>
      <c r="R246" s="1978"/>
      <c r="S246" s="1979" t="str">
        <f>INDEX(PT_DIFFERENTIATION_NUM_CS,MATCH(C246,PT_DIFFERENTIATION_CS_ID,0))</f>
        <v>1.6.3</v>
      </c>
      <c r="T246" s="1985" t="s">
        <v>606</v>
      </c>
      <c r="U246" s="1981"/>
      <c r="V246" s="5362"/>
      <c r="W246" s="5363"/>
      <c r="X246" s="5363"/>
      <c r="Y246" s="5363"/>
      <c r="Z246" s="5363"/>
      <c r="AA246" s="5363"/>
      <c r="AB246" s="5363"/>
      <c r="AC246" s="5363"/>
      <c r="AD246" s="5363"/>
      <c r="AE246" s="5363"/>
      <c r="AF246" s="5364"/>
      <c r="AG246" s="5362" t="str">
        <f>INDEX(PT_DIFFERENTIATION_CS,MATCH(C246,PT_DIFFERENTIATION_CS_ID,0))</f>
        <v>г.Солнечногорск, ул.Ленина, 7</v>
      </c>
      <c r="AH246" s="5363"/>
      <c r="AI246" s="5363"/>
      <c r="AJ246" s="5363"/>
      <c r="AK246" s="5363"/>
      <c r="AL246" s="5363"/>
      <c r="AM246" s="5363"/>
      <c r="AN246" s="5363"/>
      <c r="AO246" s="5363"/>
      <c r="AP246" s="5363"/>
      <c r="AQ246" s="5363"/>
      <c r="AR246" s="5362"/>
      <c r="AS246" s="5363"/>
      <c r="AT246" s="5363"/>
      <c r="AU246" s="5363"/>
      <c r="AV246" s="5363"/>
      <c r="AW246" s="5363"/>
      <c r="AX246" s="5363"/>
      <c r="AY246" s="5363"/>
      <c r="AZ246" s="5363"/>
      <c r="BA246" s="5363"/>
      <c r="BB246" s="5364"/>
      <c r="BC246" s="5364"/>
      <c r="BD246" s="1982" t="s">
        <v>607</v>
      </c>
      <c r="BE246" s="1935"/>
      <c r="BF246" s="1983"/>
      <c r="BG246" s="1983" t="str">
        <f t="shared" si="4"/>
        <v>Наименование централизованной системы горячего водоснабжения</v>
      </c>
      <c r="BH246" s="1983"/>
      <c r="BI246" s="1983"/>
    </row>
    <row r="247" spans="1:61" s="5076" customFormat="1" ht="23.25" customHeight="1">
      <c r="A247" s="1973"/>
      <c r="B247" s="1973"/>
      <c r="C247" s="1973"/>
      <c r="D247" s="1973"/>
      <c r="E247" s="5377"/>
      <c r="F247" s="5377"/>
      <c r="G247" s="5377" t="s">
        <v>100</v>
      </c>
      <c r="H247" s="5377"/>
      <c r="I247" s="5374" t="str">
        <f>S246&amp;".1"</f>
        <v>1.6.3.1</v>
      </c>
      <c r="J247" s="1973"/>
      <c r="K247" s="1973"/>
      <c r="L247" s="1974"/>
      <c r="M247" s="1986"/>
      <c r="N247" s="1986"/>
      <c r="O247" s="1986"/>
      <c r="P247" s="5375">
        <v>1</v>
      </c>
      <c r="Q247" s="1987"/>
      <c r="R247" s="1988"/>
      <c r="S247" s="1979" t="str">
        <f>$I247</f>
        <v>1.6.3.1</v>
      </c>
      <c r="T247" s="1989" t="s">
        <v>559</v>
      </c>
      <c r="U247" s="1981"/>
      <c r="V247" s="5435"/>
      <c r="W247" s="5436"/>
      <c r="X247" s="5436"/>
      <c r="Y247" s="5436"/>
      <c r="Z247" s="5436"/>
      <c r="AA247" s="5436"/>
      <c r="AB247" s="5436"/>
      <c r="AC247" s="5436"/>
      <c r="AD247" s="5436"/>
      <c r="AE247" s="5436"/>
      <c r="AF247" s="5437"/>
      <c r="AG247" s="5438"/>
      <c r="AH247" s="5439"/>
      <c r="AI247" s="5439"/>
      <c r="AJ247" s="5439"/>
      <c r="AK247" s="5439"/>
      <c r="AL247" s="5439"/>
      <c r="AM247" s="5439"/>
      <c r="AN247" s="5439"/>
      <c r="AO247" s="5439"/>
      <c r="AP247" s="5439"/>
      <c r="AQ247" s="5439"/>
      <c r="AR247" s="5435"/>
      <c r="AS247" s="5436"/>
      <c r="AT247" s="5436"/>
      <c r="AU247" s="5436"/>
      <c r="AV247" s="5436"/>
      <c r="AW247" s="5436"/>
      <c r="AX247" s="5436"/>
      <c r="AY247" s="5436"/>
      <c r="AZ247" s="5436"/>
      <c r="BA247" s="5436"/>
      <c r="BB247" s="5437"/>
      <c r="BC247" s="5440"/>
      <c r="BD247" s="1982" t="s">
        <v>560</v>
      </c>
      <c r="BE247" s="1935"/>
      <c r="BF247" s="1983"/>
      <c r="BG247" s="1983" t="str">
        <f t="shared" si="4"/>
        <v>Наименование признака дифференциации</v>
      </c>
      <c r="BH247" s="1983"/>
      <c r="BI247" s="1983"/>
    </row>
    <row r="248" spans="1:61" s="5077" customFormat="1" ht="23.25" customHeight="1">
      <c r="A248" s="1973"/>
      <c r="B248" s="1973"/>
      <c r="C248" s="1973"/>
      <c r="D248" s="1973"/>
      <c r="E248" s="5377"/>
      <c r="F248" s="5377"/>
      <c r="G248" s="5377" t="s">
        <v>100</v>
      </c>
      <c r="H248" s="5377"/>
      <c r="I248" s="5397"/>
      <c r="J248" s="5374" t="str">
        <f>I247&amp;".1"</f>
        <v>1.6.3.1.1</v>
      </c>
      <c r="K248" s="1973"/>
      <c r="L248" s="1974" t="s">
        <v>484</v>
      </c>
      <c r="M248" s="1986"/>
      <c r="N248" s="1986"/>
      <c r="O248" s="1986"/>
      <c r="P248" s="5375"/>
      <c r="Q248" s="5375">
        <v>1</v>
      </c>
      <c r="R248" s="1990"/>
      <c r="S248" s="1979" t="str">
        <f>$J248</f>
        <v>1.6.3.1.1</v>
      </c>
      <c r="T248" s="1991" t="s">
        <v>485</v>
      </c>
      <c r="U248" s="1981"/>
      <c r="V248" s="5365"/>
      <c r="W248" s="5366"/>
      <c r="X248" s="5366"/>
      <c r="Y248" s="5366"/>
      <c r="Z248" s="5366"/>
      <c r="AA248" s="5366"/>
      <c r="AB248" s="5366"/>
      <c r="AC248" s="5366"/>
      <c r="AD248" s="5366"/>
      <c r="AE248" s="5366"/>
      <c r="AF248" s="5367"/>
      <c r="AG248" s="5365" t="s">
        <v>619</v>
      </c>
      <c r="AH248" s="5366"/>
      <c r="AI248" s="5366"/>
      <c r="AJ248" s="5366"/>
      <c r="AK248" s="5366"/>
      <c r="AL248" s="5366"/>
      <c r="AM248" s="5366"/>
      <c r="AN248" s="5366"/>
      <c r="AO248" s="5366"/>
      <c r="AP248" s="5366"/>
      <c r="AQ248" s="5366"/>
      <c r="AR248" s="5365"/>
      <c r="AS248" s="5366"/>
      <c r="AT248" s="5366"/>
      <c r="AU248" s="5366"/>
      <c r="AV248" s="5366"/>
      <c r="AW248" s="5366"/>
      <c r="AX248" s="5366"/>
      <c r="AY248" s="5366"/>
      <c r="AZ248" s="5366"/>
      <c r="BA248" s="5366"/>
      <c r="BB248" s="5367"/>
      <c r="BC248" s="5367"/>
      <c r="BD248" s="1992" t="s">
        <v>561</v>
      </c>
      <c r="BE248" s="1935"/>
      <c r="BF248" s="1983"/>
      <c r="BG248" s="1983" t="str">
        <f t="shared" si="4"/>
        <v>Группа потребителей</v>
      </c>
      <c r="BH248" s="1983"/>
      <c r="BI248" s="1983"/>
    </row>
    <row r="249" spans="1:61" s="5078" customFormat="1" ht="23.25" customHeight="1">
      <c r="A249" s="1973"/>
      <c r="B249" s="1973"/>
      <c r="C249" s="1973"/>
      <c r="D249" s="1973"/>
      <c r="E249" s="5377"/>
      <c r="F249" s="5377"/>
      <c r="G249" s="5377" t="s">
        <v>100</v>
      </c>
      <c r="H249" s="5377"/>
      <c r="I249" s="5397"/>
      <c r="J249" s="5397"/>
      <c r="K249" s="5374" t="str">
        <f>J248&amp;".1"</f>
        <v>1.6.3.1.1.1</v>
      </c>
      <c r="L249" s="1974"/>
      <c r="M249" s="1986"/>
      <c r="N249" s="1986"/>
      <c r="O249" s="1986"/>
      <c r="P249" s="5375"/>
      <c r="Q249" s="5375"/>
      <c r="R249" s="1990">
        <v>1</v>
      </c>
      <c r="S249" s="1979" t="str">
        <f>$K249</f>
        <v>1.6.3.1.1.1</v>
      </c>
      <c r="T249" s="1993" t="s">
        <v>629</v>
      </c>
      <c r="U249" s="1981"/>
      <c r="V249" s="1893"/>
      <c r="W249" s="1893"/>
      <c r="X249" s="1893"/>
      <c r="Y249" s="1893"/>
      <c r="Z249" s="1893"/>
      <c r="AA249" s="1893"/>
      <c r="AB249" s="1893"/>
      <c r="AC249" s="5379"/>
      <c r="AD249" s="5225" t="s">
        <v>64</v>
      </c>
      <c r="AE249" s="5379"/>
      <c r="AF249" s="5225" t="s">
        <v>64</v>
      </c>
      <c r="AG249" s="1893"/>
      <c r="AH249" s="1893">
        <v>28.8</v>
      </c>
      <c r="AI249" s="1893"/>
      <c r="AJ249" s="1893"/>
      <c r="AK249" s="1893">
        <v>2689.66</v>
      </c>
      <c r="AL249" s="1893"/>
      <c r="AM249" s="1893"/>
      <c r="AN249" s="5379">
        <v>45292.396319444444</v>
      </c>
      <c r="AO249" s="5225" t="s">
        <v>64</v>
      </c>
      <c r="AP249" s="5398">
        <v>45473.396493055552</v>
      </c>
      <c r="AQ249" s="5225" t="s">
        <v>64</v>
      </c>
      <c r="AR249" s="1893"/>
      <c r="AS249" s="1893">
        <v>32.270000000000003</v>
      </c>
      <c r="AT249" s="1893"/>
      <c r="AU249" s="1893"/>
      <c r="AV249" s="1893">
        <v>3093.31</v>
      </c>
      <c r="AW249" s="1893"/>
      <c r="AX249" s="1893"/>
      <c r="AY249" s="5379">
        <v>45474.397222222222</v>
      </c>
      <c r="AZ249" s="5225" t="s">
        <v>64</v>
      </c>
      <c r="BA249" s="5379">
        <v>45657</v>
      </c>
      <c r="BB249" s="5225" t="s">
        <v>64</v>
      </c>
      <c r="BC249" s="1994"/>
      <c r="BD249"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49" s="1935" t="e">
        <f ca="1">STRCHECKDATE(V250:BC250)</f>
        <v>#NAME?</v>
      </c>
      <c r="BF249" s="1983"/>
      <c r="BG249" s="1983" t="str">
        <f t="shared" si="4"/>
        <v>МКП "ИКЖКХ"</v>
      </c>
      <c r="BH249" s="1983"/>
      <c r="BI249" s="1983"/>
    </row>
    <row r="250" spans="1:61" s="5079" customFormat="1" ht="14.25" customHeight="1">
      <c r="A250" s="1973"/>
      <c r="B250" s="1973"/>
      <c r="C250" s="1973"/>
      <c r="D250" s="1973"/>
      <c r="E250" s="5377"/>
      <c r="F250" s="5377"/>
      <c r="G250" s="5377" t="s">
        <v>100</v>
      </c>
      <c r="H250" s="5377"/>
      <c r="I250" s="5397"/>
      <c r="J250" s="5397"/>
      <c r="K250" s="5374"/>
      <c r="L250" s="1974"/>
      <c r="M250" s="1986"/>
      <c r="N250" s="1986"/>
      <c r="O250" s="1986"/>
      <c r="P250" s="5375"/>
      <c r="Q250" s="5375"/>
      <c r="R250" s="1990"/>
      <c r="S250" s="1995"/>
      <c r="T250" s="1981"/>
      <c r="U250" s="1981"/>
      <c r="V250" s="1894"/>
      <c r="W250" s="1894"/>
      <c r="X250" s="1894"/>
      <c r="Y250" s="1894"/>
      <c r="Z250" s="1894"/>
      <c r="AA250" s="1894"/>
      <c r="AB250" s="1894"/>
      <c r="AC250" s="5380"/>
      <c r="AD250" s="5225"/>
      <c r="AE250" s="5380"/>
      <c r="AF250" s="5225"/>
      <c r="AG250" s="1894"/>
      <c r="AH250" s="1894"/>
      <c r="AI250" s="1894"/>
      <c r="AJ250" s="1894"/>
      <c r="AK250" s="1894"/>
      <c r="AL250" s="1894"/>
      <c r="AM250" s="1894"/>
      <c r="AN250" s="5380"/>
      <c r="AO250" s="5225"/>
      <c r="AP250" s="5399"/>
      <c r="AQ250" s="5225"/>
      <c r="AR250" s="1894"/>
      <c r="AS250" s="1894"/>
      <c r="AT250" s="1894"/>
      <c r="AU250" s="1894"/>
      <c r="AV250" s="1894"/>
      <c r="AW250" s="1894"/>
      <c r="AX250" s="1894"/>
      <c r="AY250" s="5380"/>
      <c r="AZ250" s="5225"/>
      <c r="BA250" s="5380"/>
      <c r="BB250" s="5225"/>
      <c r="BC250" s="1996"/>
      <c r="BD250" s="5434"/>
      <c r="BE250" s="1935"/>
      <c r="BF250" s="1983"/>
      <c r="BG250" s="1983" t="str">
        <f t="shared" si="4"/>
        <v/>
      </c>
      <c r="BH250" s="1983"/>
      <c r="BI250" s="1983"/>
    </row>
    <row r="251" spans="1:61" s="5080" customFormat="1" ht="21" customHeight="1">
      <c r="A251" s="1973"/>
      <c r="B251" s="1973"/>
      <c r="C251" s="1973"/>
      <c r="D251" s="1973"/>
      <c r="E251" s="5377"/>
      <c r="F251" s="5377"/>
      <c r="G251" s="5377" t="s">
        <v>100</v>
      </c>
      <c r="H251" s="5377"/>
      <c r="I251" s="5397"/>
      <c r="J251" s="5374"/>
      <c r="K251" s="1973"/>
      <c r="L251" s="1974"/>
      <c r="M251" s="1986"/>
      <c r="N251" s="1986"/>
      <c r="O251" s="1986"/>
      <c r="P251" s="5375"/>
      <c r="Q251" s="5375"/>
      <c r="R251" s="1988"/>
      <c r="S251" s="3589"/>
      <c r="T251" s="3590" t="s">
        <v>562</v>
      </c>
      <c r="U251" s="3591"/>
      <c r="V251" s="3592"/>
      <c r="W251" s="3593"/>
      <c r="X251" s="3594"/>
      <c r="Y251" s="3595"/>
      <c r="Z251" s="3596"/>
      <c r="AA251" s="3597"/>
      <c r="AB251" s="3598"/>
      <c r="AC251" s="3599"/>
      <c r="AD251" s="3600"/>
      <c r="AE251" s="3601"/>
      <c r="AF251" s="3602"/>
      <c r="AG251" s="3603"/>
      <c r="AH251" s="3604"/>
      <c r="AI251" s="3605"/>
      <c r="AJ251" s="3606"/>
      <c r="AK251" s="3607"/>
      <c r="AL251" s="3608"/>
      <c r="AM251" s="3609"/>
      <c r="AN251" s="3610"/>
      <c r="AO251" s="3611"/>
      <c r="AP251" s="3612"/>
      <c r="AQ251" s="3613"/>
      <c r="AR251" s="3614"/>
      <c r="AS251" s="3615"/>
      <c r="AT251" s="3616"/>
      <c r="AU251" s="3617"/>
      <c r="AV251" s="3618"/>
      <c r="AW251" s="3619"/>
      <c r="AX251" s="3620"/>
      <c r="AY251" s="3621"/>
      <c r="AZ251" s="3622"/>
      <c r="BA251" s="3623"/>
      <c r="BB251" s="3624"/>
      <c r="BC251" s="3625"/>
      <c r="BD251" s="1982" t="s">
        <v>563</v>
      </c>
      <c r="BE251" s="1935"/>
      <c r="BF251" s="1983"/>
      <c r="BG251" s="1983" t="str">
        <f t="shared" si="4"/>
        <v>Добавить значение признака дифференциации</v>
      </c>
      <c r="BH251" s="1983"/>
      <c r="BI251" s="1983"/>
    </row>
    <row r="252" spans="1:61" s="5081" customFormat="1" ht="23.25" customHeight="1">
      <c r="A252" s="3933"/>
      <c r="B252" s="3933"/>
      <c r="C252" s="3933"/>
      <c r="D252" s="3933"/>
      <c r="E252" s="5377"/>
      <c r="F252" s="5377"/>
      <c r="G252" s="5377"/>
      <c r="H252" s="5377"/>
      <c r="I252" s="5397"/>
      <c r="J252" s="5374" t="str">
        <f>I247&amp;".2"</f>
        <v>1.6.3.1.2</v>
      </c>
      <c r="K252" s="3933"/>
      <c r="L252" s="3934" t="s">
        <v>484</v>
      </c>
      <c r="M252" s="3935"/>
      <c r="N252" s="3935"/>
      <c r="O252" s="3935"/>
      <c r="P252" s="5375"/>
      <c r="Q252" s="5452" t="s">
        <v>101</v>
      </c>
      <c r="R252" s="3937"/>
      <c r="S252" s="3938" t="str">
        <f>$J252</f>
        <v>1.6.3.1.2</v>
      </c>
      <c r="T252" s="3939" t="s">
        <v>485</v>
      </c>
      <c r="U252" s="3940"/>
      <c r="V252" s="5365"/>
      <c r="W252" s="5366"/>
      <c r="X252" s="5366"/>
      <c r="Y252" s="5366"/>
      <c r="Z252" s="5366"/>
      <c r="AA252" s="5366"/>
      <c r="AB252" s="5366"/>
      <c r="AC252" s="5366"/>
      <c r="AD252" s="5366"/>
      <c r="AE252" s="5366"/>
      <c r="AF252" s="5367"/>
      <c r="AG252" s="5365" t="s">
        <v>621</v>
      </c>
      <c r="AH252" s="5366"/>
      <c r="AI252" s="5366"/>
      <c r="AJ252" s="5366"/>
      <c r="AK252" s="5366"/>
      <c r="AL252" s="5366"/>
      <c r="AM252" s="5366"/>
      <c r="AN252" s="5366"/>
      <c r="AO252" s="5366"/>
      <c r="AP252" s="5366"/>
      <c r="AQ252" s="5366"/>
      <c r="AR252" s="5365"/>
      <c r="AS252" s="5366"/>
      <c r="AT252" s="5366"/>
      <c r="AU252" s="5366"/>
      <c r="AV252" s="5366"/>
      <c r="AW252" s="5366"/>
      <c r="AX252" s="5366"/>
      <c r="AY252" s="5366"/>
      <c r="AZ252" s="5366"/>
      <c r="BA252" s="5366"/>
      <c r="BB252" s="5453"/>
      <c r="BC252" s="5367"/>
      <c r="BD252" s="3941" t="s">
        <v>561</v>
      </c>
      <c r="BE252" s="3942"/>
      <c r="BF252" s="3943"/>
      <c r="BG252" s="3943" t="str">
        <f t="shared" si="4"/>
        <v>Группа потребителей</v>
      </c>
      <c r="BH252" s="3943"/>
      <c r="BI252" s="3943"/>
    </row>
    <row r="253" spans="1:61" s="5082" customFormat="1" ht="23.25" customHeight="1">
      <c r="A253" s="3933"/>
      <c r="B253" s="3933"/>
      <c r="C253" s="3933"/>
      <c r="D253" s="3933"/>
      <c r="E253" s="5377"/>
      <c r="F253" s="5377"/>
      <c r="G253" s="5377"/>
      <c r="H253" s="5377"/>
      <c r="I253" s="5397"/>
      <c r="J253" s="5397" t="str">
        <f>I247&amp;".1"</f>
        <v>1.6.3.1.1</v>
      </c>
      <c r="K253" s="5374" t="str">
        <f>J252&amp;".1"</f>
        <v>1.6.3.1.2.1</v>
      </c>
      <c r="L253" s="3934"/>
      <c r="M253" s="3935"/>
      <c r="N253" s="3935"/>
      <c r="O253" s="3935"/>
      <c r="P253" s="5375"/>
      <c r="Q253" s="5375"/>
      <c r="R253" s="3937">
        <v>1</v>
      </c>
      <c r="S253" s="3938" t="str">
        <f>$K253</f>
        <v>1.6.3.1.2.1</v>
      </c>
      <c r="T253" s="3944" t="s">
        <v>629</v>
      </c>
      <c r="U253" s="3940"/>
      <c r="V253" s="3931"/>
      <c r="W253" s="3931"/>
      <c r="X253" s="3931"/>
      <c r="Y253" s="3931"/>
      <c r="Z253" s="3931"/>
      <c r="AA253" s="3931"/>
      <c r="AB253" s="3931"/>
      <c r="AC253" s="5379"/>
      <c r="AD253" s="5225" t="s">
        <v>64</v>
      </c>
      <c r="AE253" s="5379"/>
      <c r="AF253" s="5225" t="s">
        <v>64</v>
      </c>
      <c r="AG253" s="3931"/>
      <c r="AH253" s="3931">
        <v>34.56</v>
      </c>
      <c r="AI253" s="3931"/>
      <c r="AJ253" s="3931"/>
      <c r="AK253" s="3931">
        <v>2479.52</v>
      </c>
      <c r="AL253" s="3931"/>
      <c r="AM253" s="3931"/>
      <c r="AN253" s="5379">
        <v>45292.396319444444</v>
      </c>
      <c r="AO253" s="5225" t="s">
        <v>64</v>
      </c>
      <c r="AP253" s="5398">
        <v>45473.396493055552</v>
      </c>
      <c r="AQ253" s="5225" t="s">
        <v>64</v>
      </c>
      <c r="AR253" s="3931"/>
      <c r="AS253" s="3931">
        <v>38.72</v>
      </c>
      <c r="AT253" s="3931"/>
      <c r="AU253" s="3931"/>
      <c r="AV253" s="3931">
        <v>2901.04</v>
      </c>
      <c r="AW253" s="3931"/>
      <c r="AX253" s="3931"/>
      <c r="AY253" s="5379">
        <v>45474.397222222222</v>
      </c>
      <c r="AZ253" s="5225" t="s">
        <v>64</v>
      </c>
      <c r="BA253" s="5379">
        <v>45657</v>
      </c>
      <c r="BB253" s="5451" t="s">
        <v>64</v>
      </c>
      <c r="BC253" s="3945"/>
      <c r="BD253"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53" s="3942" t="e">
        <f ca="1">STRCHECKDATE(V254:BC254)</f>
        <v>#NAME?</v>
      </c>
      <c r="BF253" s="3943"/>
      <c r="BG253" s="3943" t="str">
        <f t="shared" si="4"/>
        <v>МКП "ИКЖКХ"</v>
      </c>
      <c r="BH253" s="3943"/>
      <c r="BI253" s="3943"/>
    </row>
    <row r="254" spans="1:61" s="5083" customFormat="1" ht="14.25" customHeight="1">
      <c r="A254" s="3933"/>
      <c r="B254" s="3933"/>
      <c r="C254" s="3933"/>
      <c r="D254" s="3933"/>
      <c r="E254" s="5377"/>
      <c r="F254" s="5377"/>
      <c r="G254" s="5377"/>
      <c r="H254" s="5377"/>
      <c r="I254" s="5397"/>
      <c r="J254" s="5397" t="str">
        <f>I247&amp;".1"</f>
        <v>1.6.3.1.1</v>
      </c>
      <c r="K254" s="5374"/>
      <c r="L254" s="3934"/>
      <c r="M254" s="3935"/>
      <c r="N254" s="3935"/>
      <c r="O254" s="3935"/>
      <c r="P254" s="5375"/>
      <c r="Q254" s="5375"/>
      <c r="R254" s="3937"/>
      <c r="S254" s="3946"/>
      <c r="T254" s="3940"/>
      <c r="U254" s="3940"/>
      <c r="V254" s="3932"/>
      <c r="W254" s="3932"/>
      <c r="X254" s="3932"/>
      <c r="Y254" s="3932"/>
      <c r="Z254" s="3932"/>
      <c r="AA254" s="3932"/>
      <c r="AB254" s="3932"/>
      <c r="AC254" s="5380"/>
      <c r="AD254" s="5225"/>
      <c r="AE254" s="5380"/>
      <c r="AF254" s="5225"/>
      <c r="AG254" s="3932"/>
      <c r="AH254" s="3932"/>
      <c r="AI254" s="3932"/>
      <c r="AJ254" s="3932"/>
      <c r="AK254" s="3932"/>
      <c r="AL254" s="3932"/>
      <c r="AM254" s="3932"/>
      <c r="AN254" s="5380"/>
      <c r="AO254" s="5225"/>
      <c r="AP254" s="5399"/>
      <c r="AQ254" s="5225"/>
      <c r="AR254" s="3932"/>
      <c r="AS254" s="3932"/>
      <c r="AT254" s="3932"/>
      <c r="AU254" s="3932"/>
      <c r="AV254" s="3932"/>
      <c r="AW254" s="3932"/>
      <c r="AX254" s="3932"/>
      <c r="AY254" s="5380"/>
      <c r="AZ254" s="5225"/>
      <c r="BA254" s="5380"/>
      <c r="BB254" s="5451"/>
      <c r="BC254" s="3947"/>
      <c r="BD254" s="5434"/>
      <c r="BE254" s="3942"/>
      <c r="BF254" s="3943"/>
      <c r="BG254" s="3943" t="str">
        <f t="shared" si="4"/>
        <v/>
      </c>
      <c r="BH254" s="3943"/>
      <c r="BI254" s="3943"/>
    </row>
    <row r="255" spans="1:61" s="5084" customFormat="1" ht="21" customHeight="1">
      <c r="A255" s="3933"/>
      <c r="B255" s="3933"/>
      <c r="C255" s="3933"/>
      <c r="D255" s="3933"/>
      <c r="E255" s="5377"/>
      <c r="F255" s="5377"/>
      <c r="G255" s="5377"/>
      <c r="H255" s="5377"/>
      <c r="I255" s="5397"/>
      <c r="J255" s="5374" t="str">
        <f>I247&amp;".1"</f>
        <v>1.6.3.1.1</v>
      </c>
      <c r="K255" s="3933"/>
      <c r="L255" s="3934"/>
      <c r="M255" s="3935"/>
      <c r="N255" s="3935"/>
      <c r="O255" s="3935"/>
      <c r="P255" s="5375"/>
      <c r="Q255" s="5375"/>
      <c r="R255" s="3948"/>
      <c r="S255" s="4665"/>
      <c r="T255" s="4666" t="s">
        <v>562</v>
      </c>
      <c r="U255" s="4667"/>
      <c r="V255" s="4668"/>
      <c r="W255" s="4669"/>
      <c r="X255" s="4670"/>
      <c r="Y255" s="4671"/>
      <c r="Z255" s="4672"/>
      <c r="AA255" s="4673"/>
      <c r="AB255" s="4674"/>
      <c r="AC255" s="4675"/>
      <c r="AD255" s="4676"/>
      <c r="AE255" s="4677"/>
      <c r="AF255" s="4678"/>
      <c r="AG255" s="4679"/>
      <c r="AH255" s="4680"/>
      <c r="AI255" s="4681"/>
      <c r="AJ255" s="4682"/>
      <c r="AK255" s="4683"/>
      <c r="AL255" s="4684"/>
      <c r="AM255" s="4685"/>
      <c r="AN255" s="4686"/>
      <c r="AO255" s="4687"/>
      <c r="AP255" s="4688"/>
      <c r="AQ255" s="4689"/>
      <c r="AR255" s="4690"/>
      <c r="AS255" s="4691"/>
      <c r="AT255" s="4692"/>
      <c r="AU255" s="4693"/>
      <c r="AV255" s="4694"/>
      <c r="AW255" s="4695"/>
      <c r="AX255" s="4696"/>
      <c r="AY255" s="4697"/>
      <c r="AZ255" s="4698"/>
      <c r="BA255" s="4699"/>
      <c r="BB255" s="4700"/>
      <c r="BC255" s="4701"/>
      <c r="BD255" s="3986" t="s">
        <v>563</v>
      </c>
      <c r="BE255" s="3942"/>
      <c r="BF255" s="3943"/>
      <c r="BG255" s="3943" t="str">
        <f t="shared" si="4"/>
        <v>Добавить значение признака дифференциации</v>
      </c>
      <c r="BH255" s="3943"/>
      <c r="BI255" s="3943"/>
    </row>
    <row r="256" spans="1:61" s="5085" customFormat="1" ht="21" customHeight="1">
      <c r="A256" s="1973"/>
      <c r="B256" s="1973"/>
      <c r="C256" s="1973"/>
      <c r="D256" s="1973"/>
      <c r="E256" s="5377"/>
      <c r="F256" s="5377"/>
      <c r="G256" s="5377" t="s">
        <v>100</v>
      </c>
      <c r="H256" s="5377"/>
      <c r="I256" s="5374"/>
      <c r="J256" s="1973"/>
      <c r="K256" s="1973"/>
      <c r="L256" s="1974"/>
      <c r="M256" s="1986"/>
      <c r="N256" s="1986"/>
      <c r="O256" s="1986"/>
      <c r="P256" s="5375"/>
      <c r="Q256" s="1987"/>
      <c r="R256" s="1988"/>
      <c r="S256" s="3626"/>
      <c r="T256" s="3627" t="s">
        <v>490</v>
      </c>
      <c r="U256" s="3628"/>
      <c r="V256" s="3629"/>
      <c r="W256" s="3630"/>
      <c r="X256" s="3631"/>
      <c r="Y256" s="3632"/>
      <c r="Z256" s="3633"/>
      <c r="AA256" s="3634"/>
      <c r="AB256" s="3635"/>
      <c r="AC256" s="3636"/>
      <c r="AD256" s="3637"/>
      <c r="AE256" s="3638"/>
      <c r="AF256" s="3639"/>
      <c r="AG256" s="3640"/>
      <c r="AH256" s="3641"/>
      <c r="AI256" s="3642"/>
      <c r="AJ256" s="3643"/>
      <c r="AK256" s="3644"/>
      <c r="AL256" s="3645"/>
      <c r="AM256" s="3646"/>
      <c r="AN256" s="3647"/>
      <c r="AO256" s="3648"/>
      <c r="AP256" s="3649"/>
      <c r="AQ256" s="3650"/>
      <c r="AR256" s="3651"/>
      <c r="AS256" s="3652"/>
      <c r="AT256" s="3653"/>
      <c r="AU256" s="3654"/>
      <c r="AV256" s="3655"/>
      <c r="AW256" s="3656"/>
      <c r="AX256" s="3657"/>
      <c r="AY256" s="3658"/>
      <c r="AZ256" s="3659"/>
      <c r="BA256" s="3660"/>
      <c r="BB256" s="3661"/>
      <c r="BC256" s="3662"/>
      <c r="BD256" s="3663"/>
      <c r="BE256" s="1935"/>
      <c r="BF256" s="1983"/>
      <c r="BG256" s="1983" t="str">
        <f t="shared" si="4"/>
        <v>Добавить группу потребителей</v>
      </c>
      <c r="BH256" s="1983"/>
      <c r="BI256" s="1983"/>
    </row>
    <row r="257" spans="1:61" s="5086" customFormat="1" ht="21" customHeight="1">
      <c r="A257" s="1973"/>
      <c r="B257" s="1973"/>
      <c r="C257" s="1973"/>
      <c r="D257" s="1973"/>
      <c r="E257" s="5377"/>
      <c r="F257" s="5377"/>
      <c r="G257" s="5377" t="s">
        <v>100</v>
      </c>
      <c r="H257" s="5376"/>
      <c r="I257" s="1973"/>
      <c r="J257" s="1973"/>
      <c r="K257" s="1973"/>
      <c r="L257" s="1974"/>
      <c r="M257" s="1975"/>
      <c r="N257" s="1975"/>
      <c r="O257" s="1929"/>
      <c r="P257" s="2072"/>
      <c r="Q257" s="2073"/>
      <c r="R257" s="2074"/>
      <c r="S257" s="3664"/>
      <c r="T257" s="3665" t="s">
        <v>564</v>
      </c>
      <c r="U257" s="3666"/>
      <c r="V257" s="3667"/>
      <c r="W257" s="3668"/>
      <c r="X257" s="3669"/>
      <c r="Y257" s="3670"/>
      <c r="Z257" s="3671"/>
      <c r="AA257" s="3672"/>
      <c r="AB257" s="3673"/>
      <c r="AC257" s="3674"/>
      <c r="AD257" s="3675"/>
      <c r="AE257" s="3676"/>
      <c r="AF257" s="3677"/>
      <c r="AG257" s="3678"/>
      <c r="AH257" s="3679"/>
      <c r="AI257" s="3680"/>
      <c r="AJ257" s="3681"/>
      <c r="AK257" s="3682"/>
      <c r="AL257" s="3683"/>
      <c r="AM257" s="3684"/>
      <c r="AN257" s="3685"/>
      <c r="AO257" s="3686"/>
      <c r="AP257" s="3687"/>
      <c r="AQ257" s="3688"/>
      <c r="AR257" s="3689"/>
      <c r="AS257" s="3690"/>
      <c r="AT257" s="3691"/>
      <c r="AU257" s="3692"/>
      <c r="AV257" s="3693"/>
      <c r="AW257" s="3694"/>
      <c r="AX257" s="3695"/>
      <c r="AY257" s="3696"/>
      <c r="AZ257" s="3697"/>
      <c r="BA257" s="3698"/>
      <c r="BB257" s="3699"/>
      <c r="BC257" s="3700"/>
      <c r="BD257" s="3701"/>
      <c r="BE257" s="1935"/>
      <c r="BF257" s="1983"/>
      <c r="BG257" s="1983" t="str">
        <f t="shared" si="4"/>
        <v>Добавить наименование признака дифференциации</v>
      </c>
      <c r="BH257" s="1983"/>
      <c r="BI257" s="1983"/>
    </row>
    <row r="258" spans="1:61" s="5087" customFormat="1" ht="23.25" customHeight="1">
      <c r="A258" s="1973"/>
      <c r="B258" s="1973"/>
      <c r="C258" s="1973" t="s">
        <v>325</v>
      </c>
      <c r="D258" s="1973"/>
      <c r="E258" s="5377"/>
      <c r="F258" s="5377"/>
      <c r="G258" s="5376" t="s">
        <v>88</v>
      </c>
      <c r="H258" s="1973"/>
      <c r="I258" s="1973"/>
      <c r="J258" s="1973"/>
      <c r="K258" s="1973"/>
      <c r="L258" s="1974"/>
      <c r="M258" s="1975"/>
      <c r="N258" s="1975"/>
      <c r="O258" s="1975"/>
      <c r="P258" s="1984"/>
      <c r="Q258" s="1977"/>
      <c r="R258" s="1978"/>
      <c r="S258" s="1979" t="str">
        <f>INDEX(PT_DIFFERENTIATION_NUM_CS,MATCH(C258,PT_DIFFERENTIATION_CS_ID,0))</f>
        <v>1.6.4</v>
      </c>
      <c r="T258" s="1985" t="s">
        <v>606</v>
      </c>
      <c r="U258" s="1981"/>
      <c r="V258" s="5362"/>
      <c r="W258" s="5363"/>
      <c r="X258" s="5363"/>
      <c r="Y258" s="5363"/>
      <c r="Z258" s="5363"/>
      <c r="AA258" s="5363"/>
      <c r="AB258" s="5363"/>
      <c r="AC258" s="5363"/>
      <c r="AD258" s="5363"/>
      <c r="AE258" s="5363"/>
      <c r="AF258" s="5364"/>
      <c r="AG258" s="5362" t="str">
        <f>INDEX(PT_DIFFERENTIATION_CS,MATCH(C258,PT_DIFFERENTIATION_CS_ID,0))</f>
        <v>г.Солнечногорск, д.Жилино, ст.Жилино</v>
      </c>
      <c r="AH258" s="5363"/>
      <c r="AI258" s="5363"/>
      <c r="AJ258" s="5363"/>
      <c r="AK258" s="5363"/>
      <c r="AL258" s="5363"/>
      <c r="AM258" s="5363"/>
      <c r="AN258" s="5363"/>
      <c r="AO258" s="5363"/>
      <c r="AP258" s="5363"/>
      <c r="AQ258" s="5363"/>
      <c r="AR258" s="5362"/>
      <c r="AS258" s="5363"/>
      <c r="AT258" s="5363"/>
      <c r="AU258" s="5363"/>
      <c r="AV258" s="5363"/>
      <c r="AW258" s="5363"/>
      <c r="AX258" s="5363"/>
      <c r="AY258" s="5363"/>
      <c r="AZ258" s="5363"/>
      <c r="BA258" s="5363"/>
      <c r="BB258" s="5364"/>
      <c r="BC258" s="5364"/>
      <c r="BD258" s="1982" t="s">
        <v>607</v>
      </c>
      <c r="BE258" s="1935"/>
      <c r="BF258" s="1983"/>
      <c r="BG258" s="1983" t="str">
        <f t="shared" si="4"/>
        <v>Наименование централизованной системы горячего водоснабжения</v>
      </c>
      <c r="BH258" s="1983"/>
      <c r="BI258" s="1983"/>
    </row>
    <row r="259" spans="1:61" s="5088" customFormat="1" ht="23.25" customHeight="1">
      <c r="A259" s="1973"/>
      <c r="B259" s="1973"/>
      <c r="C259" s="1973"/>
      <c r="D259" s="1973"/>
      <c r="E259" s="5377"/>
      <c r="F259" s="5377"/>
      <c r="G259" s="5377" t="s">
        <v>87</v>
      </c>
      <c r="H259" s="5377"/>
      <c r="I259" s="5374" t="str">
        <f>S258&amp;".1"</f>
        <v>1.6.4.1</v>
      </c>
      <c r="J259" s="1973"/>
      <c r="K259" s="1973"/>
      <c r="L259" s="1974"/>
      <c r="M259" s="1986"/>
      <c r="N259" s="1986"/>
      <c r="O259" s="1986"/>
      <c r="P259" s="5375">
        <v>1</v>
      </c>
      <c r="Q259" s="1987"/>
      <c r="R259" s="1988"/>
      <c r="S259" s="1979" t="str">
        <f>$I259</f>
        <v>1.6.4.1</v>
      </c>
      <c r="T259" s="1989" t="s">
        <v>559</v>
      </c>
      <c r="U259" s="1981"/>
      <c r="V259" s="5435"/>
      <c r="W259" s="5436"/>
      <c r="X259" s="5436"/>
      <c r="Y259" s="5436"/>
      <c r="Z259" s="5436"/>
      <c r="AA259" s="5436"/>
      <c r="AB259" s="5436"/>
      <c r="AC259" s="5436"/>
      <c r="AD259" s="5436"/>
      <c r="AE259" s="5436"/>
      <c r="AF259" s="5437"/>
      <c r="AG259" s="5438"/>
      <c r="AH259" s="5439"/>
      <c r="AI259" s="5439"/>
      <c r="AJ259" s="5439"/>
      <c r="AK259" s="5439"/>
      <c r="AL259" s="5439"/>
      <c r="AM259" s="5439"/>
      <c r="AN259" s="5439"/>
      <c r="AO259" s="5439"/>
      <c r="AP259" s="5439"/>
      <c r="AQ259" s="5439"/>
      <c r="AR259" s="5435"/>
      <c r="AS259" s="5436"/>
      <c r="AT259" s="5436"/>
      <c r="AU259" s="5436"/>
      <c r="AV259" s="5436"/>
      <c r="AW259" s="5436"/>
      <c r="AX259" s="5436"/>
      <c r="AY259" s="5436"/>
      <c r="AZ259" s="5436"/>
      <c r="BA259" s="5436"/>
      <c r="BB259" s="5437"/>
      <c r="BC259" s="5440"/>
      <c r="BD259" s="1982" t="s">
        <v>560</v>
      </c>
      <c r="BE259" s="1935"/>
      <c r="BF259" s="1983"/>
      <c r="BG259" s="1983" t="str">
        <f t="shared" si="4"/>
        <v>Наименование признака дифференциации</v>
      </c>
      <c r="BH259" s="1983"/>
      <c r="BI259" s="1983"/>
    </row>
    <row r="260" spans="1:61" s="5089" customFormat="1" ht="23.25" customHeight="1">
      <c r="A260" s="1973"/>
      <c r="B260" s="1973"/>
      <c r="C260" s="1973"/>
      <c r="D260" s="1973"/>
      <c r="E260" s="5377"/>
      <c r="F260" s="5377"/>
      <c r="G260" s="5377" t="s">
        <v>87</v>
      </c>
      <c r="H260" s="5377"/>
      <c r="I260" s="5397"/>
      <c r="J260" s="5374" t="str">
        <f>I259&amp;".1"</f>
        <v>1.6.4.1.1</v>
      </c>
      <c r="K260" s="1973"/>
      <c r="L260" s="1974" t="s">
        <v>484</v>
      </c>
      <c r="M260" s="1986"/>
      <c r="N260" s="1986"/>
      <c r="O260" s="1986"/>
      <c r="P260" s="5375"/>
      <c r="Q260" s="5375">
        <v>1</v>
      </c>
      <c r="R260" s="1990"/>
      <c r="S260" s="1979" t="str">
        <f>$J260</f>
        <v>1.6.4.1.1</v>
      </c>
      <c r="T260" s="1991" t="s">
        <v>485</v>
      </c>
      <c r="U260" s="1981"/>
      <c r="V260" s="5365"/>
      <c r="W260" s="5366"/>
      <c r="X260" s="5366"/>
      <c r="Y260" s="5366"/>
      <c r="Z260" s="5366"/>
      <c r="AA260" s="5366"/>
      <c r="AB260" s="5366"/>
      <c r="AC260" s="5366"/>
      <c r="AD260" s="5366"/>
      <c r="AE260" s="5366"/>
      <c r="AF260" s="5367"/>
      <c r="AG260" s="5365" t="s">
        <v>619</v>
      </c>
      <c r="AH260" s="5366"/>
      <c r="AI260" s="5366"/>
      <c r="AJ260" s="5366"/>
      <c r="AK260" s="5366"/>
      <c r="AL260" s="5366"/>
      <c r="AM260" s="5366"/>
      <c r="AN260" s="5366"/>
      <c r="AO260" s="5366"/>
      <c r="AP260" s="5366"/>
      <c r="AQ260" s="5366"/>
      <c r="AR260" s="5365"/>
      <c r="AS260" s="5366"/>
      <c r="AT260" s="5366"/>
      <c r="AU260" s="5366"/>
      <c r="AV260" s="5366"/>
      <c r="AW260" s="5366"/>
      <c r="AX260" s="5366"/>
      <c r="AY260" s="5366"/>
      <c r="AZ260" s="5366"/>
      <c r="BA260" s="5366"/>
      <c r="BB260" s="5367"/>
      <c r="BC260" s="5367"/>
      <c r="BD260" s="1992" t="s">
        <v>561</v>
      </c>
      <c r="BE260" s="1935"/>
      <c r="BF260" s="1983"/>
      <c r="BG260" s="1983" t="str">
        <f t="shared" si="4"/>
        <v>Группа потребителей</v>
      </c>
      <c r="BH260" s="1983"/>
      <c r="BI260" s="1983"/>
    </row>
    <row r="261" spans="1:61" s="5090" customFormat="1" ht="23.25" customHeight="1">
      <c r="A261" s="1973"/>
      <c r="B261" s="1973"/>
      <c r="C261" s="1973"/>
      <c r="D261" s="1973"/>
      <c r="E261" s="5377"/>
      <c r="F261" s="5377"/>
      <c r="G261" s="5377" t="s">
        <v>87</v>
      </c>
      <c r="H261" s="5377"/>
      <c r="I261" s="5397"/>
      <c r="J261" s="5397"/>
      <c r="K261" s="5374" t="str">
        <f>J260&amp;".1"</f>
        <v>1.6.4.1.1.1</v>
      </c>
      <c r="L261" s="1974"/>
      <c r="M261" s="1986"/>
      <c r="N261" s="1986"/>
      <c r="O261" s="1986"/>
      <c r="P261" s="5375"/>
      <c r="Q261" s="5375"/>
      <c r="R261" s="1990">
        <v>1</v>
      </c>
      <c r="S261" s="1979" t="str">
        <f>$K261</f>
        <v>1.6.4.1.1.1</v>
      </c>
      <c r="T261" s="1993" t="s">
        <v>631</v>
      </c>
      <c r="U261" s="1981"/>
      <c r="V261" s="1893"/>
      <c r="W261" s="1893"/>
      <c r="X261" s="1893"/>
      <c r="Y261" s="1893"/>
      <c r="Z261" s="1893"/>
      <c r="AA261" s="1893"/>
      <c r="AB261" s="1893"/>
      <c r="AC261" s="5379"/>
      <c r="AD261" s="5225" t="s">
        <v>64</v>
      </c>
      <c r="AE261" s="5379"/>
      <c r="AF261" s="5225" t="s">
        <v>64</v>
      </c>
      <c r="AG261" s="1893"/>
      <c r="AH261" s="1893">
        <v>28.47</v>
      </c>
      <c r="AI261" s="1893"/>
      <c r="AJ261" s="1893"/>
      <c r="AK261" s="1893">
        <v>2689.66</v>
      </c>
      <c r="AL261" s="1893"/>
      <c r="AM261" s="1893"/>
      <c r="AN261" s="5379">
        <v>45292.396319444444</v>
      </c>
      <c r="AO261" s="5225" t="s">
        <v>64</v>
      </c>
      <c r="AP261" s="5398">
        <v>45473.396493055552</v>
      </c>
      <c r="AQ261" s="5225" t="s">
        <v>64</v>
      </c>
      <c r="AR261" s="1893"/>
      <c r="AS261" s="1893">
        <v>31.22</v>
      </c>
      <c r="AT261" s="1893"/>
      <c r="AU261" s="1893"/>
      <c r="AV261" s="1893">
        <v>3093.31</v>
      </c>
      <c r="AW261" s="1893"/>
      <c r="AX261" s="1893"/>
      <c r="AY261" s="5379">
        <v>45474.397222222222</v>
      </c>
      <c r="AZ261" s="5225" t="s">
        <v>64</v>
      </c>
      <c r="BA261" s="5379">
        <v>45657</v>
      </c>
      <c r="BB261" s="5225" t="s">
        <v>64</v>
      </c>
      <c r="BC261" s="1994"/>
      <c r="BD261"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61" s="1935" t="e">
        <f ca="1">STRCHECKDATE(V262:BC262)</f>
        <v>#NAME?</v>
      </c>
      <c r="BF261" s="1983"/>
      <c r="BG261" s="1983" t="str">
        <f t="shared" si="4"/>
        <v>АО "НПО "Стеклопластик"</v>
      </c>
      <c r="BH261" s="1983"/>
      <c r="BI261" s="1983"/>
    </row>
    <row r="262" spans="1:61" s="5091" customFormat="1" ht="14.25" customHeight="1">
      <c r="A262" s="1973"/>
      <c r="B262" s="1973"/>
      <c r="C262" s="1973"/>
      <c r="D262" s="1973"/>
      <c r="E262" s="5377"/>
      <c r="F262" s="5377"/>
      <c r="G262" s="5377" t="s">
        <v>87</v>
      </c>
      <c r="H262" s="5377"/>
      <c r="I262" s="5397"/>
      <c r="J262" s="5397"/>
      <c r="K262" s="5374"/>
      <c r="L262" s="1974"/>
      <c r="M262" s="1986"/>
      <c r="N262" s="1986"/>
      <c r="O262" s="1986"/>
      <c r="P262" s="5375"/>
      <c r="Q262" s="5375"/>
      <c r="R262" s="1990"/>
      <c r="S262" s="1995"/>
      <c r="T262" s="1981"/>
      <c r="U262" s="1981"/>
      <c r="V262" s="1894"/>
      <c r="W262" s="1894"/>
      <c r="X262" s="1894"/>
      <c r="Y262" s="1894"/>
      <c r="Z262" s="1894"/>
      <c r="AA262" s="1894"/>
      <c r="AB262" s="1894"/>
      <c r="AC262" s="5380"/>
      <c r="AD262" s="5225"/>
      <c r="AE262" s="5380"/>
      <c r="AF262" s="5225"/>
      <c r="AG262" s="1894"/>
      <c r="AH262" s="1894"/>
      <c r="AI262" s="1894"/>
      <c r="AJ262" s="1894"/>
      <c r="AK262" s="1894"/>
      <c r="AL262" s="1894"/>
      <c r="AM262" s="1894"/>
      <c r="AN262" s="5380"/>
      <c r="AO262" s="5225"/>
      <c r="AP262" s="5399"/>
      <c r="AQ262" s="5225"/>
      <c r="AR262" s="1894"/>
      <c r="AS262" s="1894"/>
      <c r="AT262" s="1894"/>
      <c r="AU262" s="1894"/>
      <c r="AV262" s="1894"/>
      <c r="AW262" s="1894"/>
      <c r="AX262" s="1894"/>
      <c r="AY262" s="5380"/>
      <c r="AZ262" s="5225"/>
      <c r="BA262" s="5380"/>
      <c r="BB262" s="5225"/>
      <c r="BC262" s="1996"/>
      <c r="BD262" s="5434"/>
      <c r="BE262" s="1935"/>
      <c r="BF262" s="1983"/>
      <c r="BG262" s="1983" t="str">
        <f t="shared" si="4"/>
        <v/>
      </c>
      <c r="BH262" s="1983"/>
      <c r="BI262" s="1983"/>
    </row>
    <row r="263" spans="1:61" s="5092" customFormat="1" ht="21" customHeight="1">
      <c r="A263" s="1973"/>
      <c r="B263" s="1973"/>
      <c r="C263" s="1973"/>
      <c r="D263" s="1973"/>
      <c r="E263" s="5377"/>
      <c r="F263" s="5377"/>
      <c r="G263" s="5377" t="s">
        <v>87</v>
      </c>
      <c r="H263" s="5377"/>
      <c r="I263" s="5397"/>
      <c r="J263" s="5374"/>
      <c r="K263" s="1973"/>
      <c r="L263" s="1974"/>
      <c r="M263" s="1986"/>
      <c r="N263" s="1986"/>
      <c r="O263" s="1986"/>
      <c r="P263" s="5375"/>
      <c r="Q263" s="5375"/>
      <c r="R263" s="1988"/>
      <c r="S263" s="3702"/>
      <c r="T263" s="3703" t="s">
        <v>562</v>
      </c>
      <c r="U263" s="3704"/>
      <c r="V263" s="3705"/>
      <c r="W263" s="3706"/>
      <c r="X263" s="3707"/>
      <c r="Y263" s="3708"/>
      <c r="Z263" s="3709"/>
      <c r="AA263" s="3710"/>
      <c r="AB263" s="3711"/>
      <c r="AC263" s="3712"/>
      <c r="AD263" s="3713"/>
      <c r="AE263" s="3714"/>
      <c r="AF263" s="3715"/>
      <c r="AG263" s="3716"/>
      <c r="AH263" s="3717"/>
      <c r="AI263" s="3718"/>
      <c r="AJ263" s="3719"/>
      <c r="AK263" s="3720"/>
      <c r="AL263" s="3721"/>
      <c r="AM263" s="3722"/>
      <c r="AN263" s="3723"/>
      <c r="AO263" s="3724"/>
      <c r="AP263" s="3725"/>
      <c r="AQ263" s="3726"/>
      <c r="AR263" s="3727"/>
      <c r="AS263" s="3728"/>
      <c r="AT263" s="3729"/>
      <c r="AU263" s="3730"/>
      <c r="AV263" s="3731"/>
      <c r="AW263" s="3732"/>
      <c r="AX263" s="3733"/>
      <c r="AY263" s="3734"/>
      <c r="AZ263" s="3735"/>
      <c r="BA263" s="3736"/>
      <c r="BB263" s="3737"/>
      <c r="BC263" s="3738"/>
      <c r="BD263" s="1982" t="s">
        <v>563</v>
      </c>
      <c r="BE263" s="1935"/>
      <c r="BF263" s="1983"/>
      <c r="BG263" s="1983" t="str">
        <f t="shared" si="4"/>
        <v>Добавить значение признака дифференциации</v>
      </c>
      <c r="BH263" s="1983"/>
      <c r="BI263" s="1983"/>
    </row>
    <row r="264" spans="1:61" s="5093" customFormat="1" ht="23.25" customHeight="1">
      <c r="A264" s="3933"/>
      <c r="B264" s="3933"/>
      <c r="C264" s="3933"/>
      <c r="D264" s="3933"/>
      <c r="E264" s="5377"/>
      <c r="F264" s="5377"/>
      <c r="G264" s="5377"/>
      <c r="H264" s="5377"/>
      <c r="I264" s="5397"/>
      <c r="J264" s="5374" t="str">
        <f>I259&amp;".2"</f>
        <v>1.6.4.1.2</v>
      </c>
      <c r="K264" s="3933"/>
      <c r="L264" s="3934" t="s">
        <v>484</v>
      </c>
      <c r="M264" s="3935"/>
      <c r="N264" s="3935"/>
      <c r="O264" s="3935"/>
      <c r="P264" s="5375"/>
      <c r="Q264" s="5452" t="s">
        <v>101</v>
      </c>
      <c r="R264" s="3937"/>
      <c r="S264" s="3938" t="str">
        <f>$J264</f>
        <v>1.6.4.1.2</v>
      </c>
      <c r="T264" s="3939" t="s">
        <v>485</v>
      </c>
      <c r="U264" s="3940"/>
      <c r="V264" s="5365"/>
      <c r="W264" s="5366"/>
      <c r="X264" s="5366"/>
      <c r="Y264" s="5366"/>
      <c r="Z264" s="5366"/>
      <c r="AA264" s="5366"/>
      <c r="AB264" s="5366"/>
      <c r="AC264" s="5366"/>
      <c r="AD264" s="5366"/>
      <c r="AE264" s="5366"/>
      <c r="AF264" s="5367"/>
      <c r="AG264" s="5365" t="s">
        <v>621</v>
      </c>
      <c r="AH264" s="5366"/>
      <c r="AI264" s="5366"/>
      <c r="AJ264" s="5366"/>
      <c r="AK264" s="5366"/>
      <c r="AL264" s="5366"/>
      <c r="AM264" s="5366"/>
      <c r="AN264" s="5366"/>
      <c r="AO264" s="5366"/>
      <c r="AP264" s="5366"/>
      <c r="AQ264" s="5366"/>
      <c r="AR264" s="5365"/>
      <c r="AS264" s="5366"/>
      <c r="AT264" s="5366"/>
      <c r="AU264" s="5366"/>
      <c r="AV264" s="5366"/>
      <c r="AW264" s="5366"/>
      <c r="AX264" s="5366"/>
      <c r="AY264" s="5366"/>
      <c r="AZ264" s="5366"/>
      <c r="BA264" s="5366"/>
      <c r="BB264" s="5453"/>
      <c r="BC264" s="5367"/>
      <c r="BD264" s="3941" t="s">
        <v>561</v>
      </c>
      <c r="BE264" s="3942"/>
      <c r="BF264" s="3943"/>
      <c r="BG264" s="3943" t="str">
        <f t="shared" si="4"/>
        <v>Группа потребителей</v>
      </c>
      <c r="BH264" s="3943"/>
      <c r="BI264" s="3943"/>
    </row>
    <row r="265" spans="1:61" s="5094" customFormat="1" ht="23.25" customHeight="1">
      <c r="A265" s="3933"/>
      <c r="B265" s="3933"/>
      <c r="C265" s="3933"/>
      <c r="D265" s="3933"/>
      <c r="E265" s="5377"/>
      <c r="F265" s="5377"/>
      <c r="G265" s="5377"/>
      <c r="H265" s="5377"/>
      <c r="I265" s="5397"/>
      <c r="J265" s="5397" t="str">
        <f>I259&amp;".1"</f>
        <v>1.6.4.1.1</v>
      </c>
      <c r="K265" s="5374" t="str">
        <f>J264&amp;".1"</f>
        <v>1.6.4.1.2.1</v>
      </c>
      <c r="L265" s="3934"/>
      <c r="M265" s="3935"/>
      <c r="N265" s="3935"/>
      <c r="O265" s="3935"/>
      <c r="P265" s="5375"/>
      <c r="Q265" s="5375"/>
      <c r="R265" s="3937">
        <v>1</v>
      </c>
      <c r="S265" s="3938" t="str">
        <f>$K265</f>
        <v>1.6.4.1.2.1</v>
      </c>
      <c r="T265" s="3944" t="s">
        <v>631</v>
      </c>
      <c r="U265" s="3940"/>
      <c r="V265" s="3931"/>
      <c r="W265" s="3931"/>
      <c r="X265" s="3931"/>
      <c r="Y265" s="3931"/>
      <c r="Z265" s="3931"/>
      <c r="AA265" s="3931"/>
      <c r="AB265" s="3931"/>
      <c r="AC265" s="5379"/>
      <c r="AD265" s="5225" t="s">
        <v>64</v>
      </c>
      <c r="AE265" s="5379"/>
      <c r="AF265" s="5225" t="s">
        <v>64</v>
      </c>
      <c r="AG265" s="3931"/>
      <c r="AH265" s="3931">
        <v>34.159999999999997</v>
      </c>
      <c r="AI265" s="3931"/>
      <c r="AJ265" s="3931"/>
      <c r="AK265" s="3931">
        <v>2281.65</v>
      </c>
      <c r="AL265" s="3931"/>
      <c r="AM265" s="3931"/>
      <c r="AN265" s="5379">
        <v>45292.396319444444</v>
      </c>
      <c r="AO265" s="5225" t="s">
        <v>64</v>
      </c>
      <c r="AP265" s="5398">
        <v>45473.396493055552</v>
      </c>
      <c r="AQ265" s="5225" t="s">
        <v>64</v>
      </c>
      <c r="AR265" s="3931"/>
      <c r="AS265" s="3931">
        <v>37.46</v>
      </c>
      <c r="AT265" s="3931"/>
      <c r="AU265" s="3931"/>
      <c r="AV265" s="3931">
        <v>2669.53</v>
      </c>
      <c r="AW265" s="3931"/>
      <c r="AX265" s="3931"/>
      <c r="AY265" s="5379">
        <v>45474.397222222222</v>
      </c>
      <c r="AZ265" s="5225" t="s">
        <v>64</v>
      </c>
      <c r="BA265" s="5379">
        <v>45657</v>
      </c>
      <c r="BB265" s="5451" t="s">
        <v>64</v>
      </c>
      <c r="BC265" s="3945"/>
      <c r="BD265"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65" s="3942" t="e">
        <f ca="1">STRCHECKDATE(V266:BC266)</f>
        <v>#NAME?</v>
      </c>
      <c r="BF265" s="3943"/>
      <c r="BG265" s="3943" t="str">
        <f t="shared" si="4"/>
        <v>АО "НПО "Стеклопластик"</v>
      </c>
      <c r="BH265" s="3943"/>
      <c r="BI265" s="3943"/>
    </row>
    <row r="266" spans="1:61" s="5095" customFormat="1" ht="14.25" customHeight="1">
      <c r="A266" s="3933"/>
      <c r="B266" s="3933"/>
      <c r="C266" s="3933"/>
      <c r="D266" s="3933"/>
      <c r="E266" s="5377"/>
      <c r="F266" s="5377"/>
      <c r="G266" s="5377"/>
      <c r="H266" s="5377"/>
      <c r="I266" s="5397"/>
      <c r="J266" s="5397" t="str">
        <f>I259&amp;".1"</f>
        <v>1.6.4.1.1</v>
      </c>
      <c r="K266" s="5374"/>
      <c r="L266" s="3934"/>
      <c r="M266" s="3935"/>
      <c r="N266" s="3935"/>
      <c r="O266" s="3935"/>
      <c r="P266" s="5375"/>
      <c r="Q266" s="5375"/>
      <c r="R266" s="3937"/>
      <c r="S266" s="3946"/>
      <c r="T266" s="3940"/>
      <c r="U266" s="3940"/>
      <c r="V266" s="3932"/>
      <c r="W266" s="3932"/>
      <c r="X266" s="3932"/>
      <c r="Y266" s="3932"/>
      <c r="Z266" s="3932"/>
      <c r="AA266" s="3932"/>
      <c r="AB266" s="3932"/>
      <c r="AC266" s="5380"/>
      <c r="AD266" s="5225"/>
      <c r="AE266" s="5380"/>
      <c r="AF266" s="5225"/>
      <c r="AG266" s="3932"/>
      <c r="AH266" s="3932"/>
      <c r="AI266" s="3932"/>
      <c r="AJ266" s="3932"/>
      <c r="AK266" s="3932"/>
      <c r="AL266" s="3932"/>
      <c r="AM266" s="3932"/>
      <c r="AN266" s="5380"/>
      <c r="AO266" s="5225"/>
      <c r="AP266" s="5399"/>
      <c r="AQ266" s="5225"/>
      <c r="AR266" s="3932"/>
      <c r="AS266" s="3932"/>
      <c r="AT266" s="3932"/>
      <c r="AU266" s="3932"/>
      <c r="AV266" s="3932"/>
      <c r="AW266" s="3932"/>
      <c r="AX266" s="3932"/>
      <c r="AY266" s="5380"/>
      <c r="AZ266" s="5225"/>
      <c r="BA266" s="5380"/>
      <c r="BB266" s="5451"/>
      <c r="BC266" s="3947"/>
      <c r="BD266" s="5434"/>
      <c r="BE266" s="3942"/>
      <c r="BF266" s="3943"/>
      <c r="BG266" s="3943" t="str">
        <f t="shared" si="4"/>
        <v/>
      </c>
      <c r="BH266" s="3943"/>
      <c r="BI266" s="3943"/>
    </row>
    <row r="267" spans="1:61" s="5096" customFormat="1" ht="21" customHeight="1">
      <c r="A267" s="3933"/>
      <c r="B267" s="3933"/>
      <c r="C267" s="3933"/>
      <c r="D267" s="3933"/>
      <c r="E267" s="5377"/>
      <c r="F267" s="5377"/>
      <c r="G267" s="5377"/>
      <c r="H267" s="5377"/>
      <c r="I267" s="5397"/>
      <c r="J267" s="5374" t="str">
        <f>I259&amp;".1"</f>
        <v>1.6.4.1.1</v>
      </c>
      <c r="K267" s="3933"/>
      <c r="L267" s="3934"/>
      <c r="M267" s="3935"/>
      <c r="N267" s="3935"/>
      <c r="O267" s="3935"/>
      <c r="P267" s="5375"/>
      <c r="Q267" s="5375"/>
      <c r="R267" s="3948"/>
      <c r="S267" s="4702"/>
      <c r="T267" s="4703" t="s">
        <v>562</v>
      </c>
      <c r="U267" s="4704"/>
      <c r="V267" s="4705"/>
      <c r="W267" s="4706"/>
      <c r="X267" s="4707"/>
      <c r="Y267" s="4708"/>
      <c r="Z267" s="4709"/>
      <c r="AA267" s="4710"/>
      <c r="AB267" s="4711"/>
      <c r="AC267" s="4712"/>
      <c r="AD267" s="4713"/>
      <c r="AE267" s="4714"/>
      <c r="AF267" s="4715"/>
      <c r="AG267" s="4716"/>
      <c r="AH267" s="4717"/>
      <c r="AI267" s="4718"/>
      <c r="AJ267" s="4719"/>
      <c r="AK267" s="4720"/>
      <c r="AL267" s="4721"/>
      <c r="AM267" s="4722"/>
      <c r="AN267" s="4723"/>
      <c r="AO267" s="4724"/>
      <c r="AP267" s="4725"/>
      <c r="AQ267" s="4726"/>
      <c r="AR267" s="4727"/>
      <c r="AS267" s="4728"/>
      <c r="AT267" s="4729"/>
      <c r="AU267" s="4730"/>
      <c r="AV267" s="4731"/>
      <c r="AW267" s="4732"/>
      <c r="AX267" s="4733"/>
      <c r="AY267" s="4734"/>
      <c r="AZ267" s="4735"/>
      <c r="BA267" s="4736"/>
      <c r="BB267" s="4737"/>
      <c r="BC267" s="4738"/>
      <c r="BD267" s="3986" t="s">
        <v>563</v>
      </c>
      <c r="BE267" s="3942"/>
      <c r="BF267" s="3943"/>
      <c r="BG267" s="3943" t="str">
        <f t="shared" si="4"/>
        <v>Добавить значение признака дифференциации</v>
      </c>
      <c r="BH267" s="3943"/>
      <c r="BI267" s="3943"/>
    </row>
    <row r="268" spans="1:61" s="5097" customFormat="1" ht="21" customHeight="1">
      <c r="A268" s="1973"/>
      <c r="B268" s="1973"/>
      <c r="C268" s="1973"/>
      <c r="D268" s="1973"/>
      <c r="E268" s="5377"/>
      <c r="F268" s="5377"/>
      <c r="G268" s="5377" t="s">
        <v>87</v>
      </c>
      <c r="H268" s="5377"/>
      <c r="I268" s="5374"/>
      <c r="J268" s="1973"/>
      <c r="K268" s="1973"/>
      <c r="L268" s="1974"/>
      <c r="M268" s="1986"/>
      <c r="N268" s="1986"/>
      <c r="O268" s="1986"/>
      <c r="P268" s="5375"/>
      <c r="Q268" s="1987"/>
      <c r="R268" s="1988"/>
      <c r="S268" s="3739"/>
      <c r="T268" s="3740" t="s">
        <v>490</v>
      </c>
      <c r="U268" s="3741"/>
      <c r="V268" s="3742"/>
      <c r="W268" s="3743"/>
      <c r="X268" s="3744"/>
      <c r="Y268" s="3745"/>
      <c r="Z268" s="3746"/>
      <c r="AA268" s="3747"/>
      <c r="AB268" s="3748"/>
      <c r="AC268" s="3749"/>
      <c r="AD268" s="3750"/>
      <c r="AE268" s="3751"/>
      <c r="AF268" s="3752"/>
      <c r="AG268" s="3753"/>
      <c r="AH268" s="3754"/>
      <c r="AI268" s="3755"/>
      <c r="AJ268" s="3756"/>
      <c r="AK268" s="3757"/>
      <c r="AL268" s="3758"/>
      <c r="AM268" s="3759"/>
      <c r="AN268" s="3760"/>
      <c r="AO268" s="3761"/>
      <c r="AP268" s="3762"/>
      <c r="AQ268" s="3763"/>
      <c r="AR268" s="3764"/>
      <c r="AS268" s="3765"/>
      <c r="AT268" s="3766"/>
      <c r="AU268" s="3767"/>
      <c r="AV268" s="3768"/>
      <c r="AW268" s="3769"/>
      <c r="AX268" s="3770"/>
      <c r="AY268" s="3771"/>
      <c r="AZ268" s="3772"/>
      <c r="BA268" s="3773"/>
      <c r="BB268" s="3774"/>
      <c r="BC268" s="3775"/>
      <c r="BD268" s="3776"/>
      <c r="BE268" s="1935"/>
      <c r="BF268" s="1983"/>
      <c r="BG268" s="1983" t="str">
        <f t="shared" si="4"/>
        <v>Добавить группу потребителей</v>
      </c>
      <c r="BH268" s="1983"/>
      <c r="BI268" s="1983"/>
    </row>
    <row r="269" spans="1:61" s="5098" customFormat="1" ht="21" customHeight="1">
      <c r="A269" s="1973"/>
      <c r="B269" s="1973"/>
      <c r="C269" s="1973"/>
      <c r="D269" s="1973"/>
      <c r="E269" s="5377"/>
      <c r="F269" s="5377"/>
      <c r="G269" s="5377" t="s">
        <v>87</v>
      </c>
      <c r="H269" s="5376"/>
      <c r="I269" s="1973"/>
      <c r="J269" s="1973"/>
      <c r="K269" s="1973"/>
      <c r="L269" s="1974"/>
      <c r="M269" s="1975"/>
      <c r="N269" s="1975"/>
      <c r="O269" s="1929"/>
      <c r="P269" s="2072"/>
      <c r="Q269" s="2073"/>
      <c r="R269" s="2074"/>
      <c r="S269" s="3777"/>
      <c r="T269" s="3778" t="s">
        <v>564</v>
      </c>
      <c r="U269" s="3779"/>
      <c r="V269" s="3780"/>
      <c r="W269" s="3781"/>
      <c r="X269" s="3782"/>
      <c r="Y269" s="3783"/>
      <c r="Z269" s="3784"/>
      <c r="AA269" s="3785"/>
      <c r="AB269" s="3786"/>
      <c r="AC269" s="3787"/>
      <c r="AD269" s="3788"/>
      <c r="AE269" s="3789"/>
      <c r="AF269" s="3790"/>
      <c r="AG269" s="3791"/>
      <c r="AH269" s="3792"/>
      <c r="AI269" s="3793"/>
      <c r="AJ269" s="3794"/>
      <c r="AK269" s="3795"/>
      <c r="AL269" s="3796"/>
      <c r="AM269" s="3797"/>
      <c r="AN269" s="3798"/>
      <c r="AO269" s="3799"/>
      <c r="AP269" s="3800"/>
      <c r="AQ269" s="3801"/>
      <c r="AR269" s="3802"/>
      <c r="AS269" s="3803"/>
      <c r="AT269" s="3804"/>
      <c r="AU269" s="3805"/>
      <c r="AV269" s="3806"/>
      <c r="AW269" s="3807"/>
      <c r="AX269" s="3808"/>
      <c r="AY269" s="3809"/>
      <c r="AZ269" s="3810"/>
      <c r="BA269" s="3811"/>
      <c r="BB269" s="3812"/>
      <c r="BC269" s="3813"/>
      <c r="BD269" s="3814"/>
      <c r="BE269" s="1935"/>
      <c r="BF269" s="1983"/>
      <c r="BG269" s="1983" t="str">
        <f t="shared" si="4"/>
        <v>Добавить наименование признака дифференциации</v>
      </c>
      <c r="BH269" s="1983"/>
      <c r="BI269" s="1983"/>
    </row>
    <row r="270" spans="1:61" s="5099" customFormat="1" ht="23.25" customHeight="1">
      <c r="A270" s="1973"/>
      <c r="B270" s="1973"/>
      <c r="C270" s="1973" t="s">
        <v>328</v>
      </c>
      <c r="D270" s="1973"/>
      <c r="E270" s="5377"/>
      <c r="F270" s="5377"/>
      <c r="G270" s="5376" t="s">
        <v>114</v>
      </c>
      <c r="H270" s="1973"/>
      <c r="I270" s="1973"/>
      <c r="J270" s="1973"/>
      <c r="K270" s="1973"/>
      <c r="L270" s="1974"/>
      <c r="M270" s="1975"/>
      <c r="N270" s="1975"/>
      <c r="O270" s="1975"/>
      <c r="P270" s="1984"/>
      <c r="Q270" s="1977"/>
      <c r="R270" s="1978"/>
      <c r="S270" s="1979" t="str">
        <f>INDEX(PT_DIFFERENTIATION_NUM_CS,MATCH(C270,PT_DIFFERENTIATION_CS_ID,0))</f>
        <v>1.6.5</v>
      </c>
      <c r="T270" s="1985" t="s">
        <v>606</v>
      </c>
      <c r="U270" s="1981"/>
      <c r="V270" s="5362"/>
      <c r="W270" s="5363"/>
      <c r="X270" s="5363"/>
      <c r="Y270" s="5363"/>
      <c r="Z270" s="5363"/>
      <c r="AA270" s="5363"/>
      <c r="AB270" s="5363"/>
      <c r="AC270" s="5363"/>
      <c r="AD270" s="5363"/>
      <c r="AE270" s="5363"/>
      <c r="AF270" s="5364"/>
      <c r="AG270" s="5362" t="str">
        <f>INDEX(PT_DIFFERENTIATION_CS,MATCH(C270,PT_DIFFERENTIATION_CS_ID,0))</f>
        <v>г.Солнечнгорск, Алабушево,Андреевка</v>
      </c>
      <c r="AH270" s="5363"/>
      <c r="AI270" s="5363"/>
      <c r="AJ270" s="5363"/>
      <c r="AK270" s="5363"/>
      <c r="AL270" s="5363"/>
      <c r="AM270" s="5363"/>
      <c r="AN270" s="5363"/>
      <c r="AO270" s="5363"/>
      <c r="AP270" s="5363"/>
      <c r="AQ270" s="5363"/>
      <c r="AR270" s="5362"/>
      <c r="AS270" s="5363"/>
      <c r="AT270" s="5363"/>
      <c r="AU270" s="5363"/>
      <c r="AV270" s="5363"/>
      <c r="AW270" s="5363"/>
      <c r="AX270" s="5363"/>
      <c r="AY270" s="5363"/>
      <c r="AZ270" s="5363"/>
      <c r="BA270" s="5363"/>
      <c r="BB270" s="5364"/>
      <c r="BC270" s="5364"/>
      <c r="BD270" s="1982" t="s">
        <v>607</v>
      </c>
      <c r="BE270" s="1935"/>
      <c r="BF270" s="1983"/>
      <c r="BG270" s="1983" t="str">
        <f t="shared" si="4"/>
        <v>Наименование централизованной системы горячего водоснабжения</v>
      </c>
      <c r="BH270" s="1983"/>
      <c r="BI270" s="1983"/>
    </row>
    <row r="271" spans="1:61" s="5100" customFormat="1" ht="23.25" customHeight="1">
      <c r="A271" s="1973"/>
      <c r="B271" s="1973"/>
      <c r="C271" s="1973"/>
      <c r="D271" s="1973"/>
      <c r="E271" s="5377"/>
      <c r="F271" s="5377"/>
      <c r="G271" s="5377" t="s">
        <v>88</v>
      </c>
      <c r="H271" s="5377"/>
      <c r="I271" s="5374" t="str">
        <f>S270&amp;".1"</f>
        <v>1.6.5.1</v>
      </c>
      <c r="J271" s="1973"/>
      <c r="K271" s="1973"/>
      <c r="L271" s="1974"/>
      <c r="M271" s="1986"/>
      <c r="N271" s="1986"/>
      <c r="O271" s="1986"/>
      <c r="P271" s="5375">
        <v>1</v>
      </c>
      <c r="Q271" s="1987"/>
      <c r="R271" s="1988"/>
      <c r="S271" s="1979" t="str">
        <f>$I271</f>
        <v>1.6.5.1</v>
      </c>
      <c r="T271" s="1989" t="s">
        <v>559</v>
      </c>
      <c r="U271" s="1981"/>
      <c r="V271" s="5435"/>
      <c r="W271" s="5436"/>
      <c r="X271" s="5436"/>
      <c r="Y271" s="5436"/>
      <c r="Z271" s="5436"/>
      <c r="AA271" s="5436"/>
      <c r="AB271" s="5436"/>
      <c r="AC271" s="5436"/>
      <c r="AD271" s="5436"/>
      <c r="AE271" s="5436"/>
      <c r="AF271" s="5437"/>
      <c r="AG271" s="5438"/>
      <c r="AH271" s="5439"/>
      <c r="AI271" s="5439"/>
      <c r="AJ271" s="5439"/>
      <c r="AK271" s="5439"/>
      <c r="AL271" s="5439"/>
      <c r="AM271" s="5439"/>
      <c r="AN271" s="5439"/>
      <c r="AO271" s="5439"/>
      <c r="AP271" s="5439"/>
      <c r="AQ271" s="5439"/>
      <c r="AR271" s="5435"/>
      <c r="AS271" s="5436"/>
      <c r="AT271" s="5436"/>
      <c r="AU271" s="5436"/>
      <c r="AV271" s="5436"/>
      <c r="AW271" s="5436"/>
      <c r="AX271" s="5436"/>
      <c r="AY271" s="5436"/>
      <c r="AZ271" s="5436"/>
      <c r="BA271" s="5436"/>
      <c r="BB271" s="5437"/>
      <c r="BC271" s="5440"/>
      <c r="BD271" s="1982" t="s">
        <v>560</v>
      </c>
      <c r="BE271" s="1935"/>
      <c r="BF271" s="1983"/>
      <c r="BG271" s="1983" t="str">
        <f t="shared" si="4"/>
        <v>Наименование признака дифференциации</v>
      </c>
      <c r="BH271" s="1983"/>
      <c r="BI271" s="1983"/>
    </row>
    <row r="272" spans="1:61" s="5101" customFormat="1" ht="23.25" customHeight="1">
      <c r="A272" s="1973"/>
      <c r="B272" s="1973"/>
      <c r="C272" s="1973"/>
      <c r="D272" s="1973"/>
      <c r="E272" s="5377"/>
      <c r="F272" s="5377"/>
      <c r="G272" s="5377" t="s">
        <v>88</v>
      </c>
      <c r="H272" s="5377"/>
      <c r="I272" s="5397"/>
      <c r="J272" s="5374" t="str">
        <f>I271&amp;".1"</f>
        <v>1.6.5.1.1</v>
      </c>
      <c r="K272" s="1973"/>
      <c r="L272" s="1974" t="s">
        <v>484</v>
      </c>
      <c r="M272" s="1986"/>
      <c r="N272" s="1986"/>
      <c r="O272" s="1986"/>
      <c r="P272" s="5375"/>
      <c r="Q272" s="5375">
        <v>1</v>
      </c>
      <c r="R272" s="1990"/>
      <c r="S272" s="1979" t="str">
        <f>$J272</f>
        <v>1.6.5.1.1</v>
      </c>
      <c r="T272" s="1991" t="s">
        <v>485</v>
      </c>
      <c r="U272" s="1981"/>
      <c r="V272" s="5365"/>
      <c r="W272" s="5366"/>
      <c r="X272" s="5366"/>
      <c r="Y272" s="5366"/>
      <c r="Z272" s="5366"/>
      <c r="AA272" s="5366"/>
      <c r="AB272" s="5366"/>
      <c r="AC272" s="5366"/>
      <c r="AD272" s="5366"/>
      <c r="AE272" s="5366"/>
      <c r="AF272" s="5367"/>
      <c r="AG272" s="5365" t="s">
        <v>619</v>
      </c>
      <c r="AH272" s="5366"/>
      <c r="AI272" s="5366"/>
      <c r="AJ272" s="5366"/>
      <c r="AK272" s="5366"/>
      <c r="AL272" s="5366"/>
      <c r="AM272" s="5366"/>
      <c r="AN272" s="5366"/>
      <c r="AO272" s="5366"/>
      <c r="AP272" s="5366"/>
      <c r="AQ272" s="5366"/>
      <c r="AR272" s="5365"/>
      <c r="AS272" s="5366"/>
      <c r="AT272" s="5366"/>
      <c r="AU272" s="5366"/>
      <c r="AV272" s="5366"/>
      <c r="AW272" s="5366"/>
      <c r="AX272" s="5366"/>
      <c r="AY272" s="5366"/>
      <c r="AZ272" s="5366"/>
      <c r="BA272" s="5366"/>
      <c r="BB272" s="5367"/>
      <c r="BC272" s="5367"/>
      <c r="BD272" s="1992" t="s">
        <v>561</v>
      </c>
      <c r="BE272" s="1935"/>
      <c r="BF272" s="1983"/>
      <c r="BG272" s="1983" t="str">
        <f t="shared" si="4"/>
        <v>Группа потребителей</v>
      </c>
      <c r="BH272" s="1983"/>
      <c r="BI272" s="1983"/>
    </row>
    <row r="273" spans="1:61" s="5102" customFormat="1" ht="23.25" customHeight="1">
      <c r="A273" s="1973"/>
      <c r="B273" s="1973"/>
      <c r="C273" s="1973"/>
      <c r="D273" s="1973"/>
      <c r="E273" s="5377"/>
      <c r="F273" s="5377"/>
      <c r="G273" s="5377" t="s">
        <v>88</v>
      </c>
      <c r="H273" s="5377"/>
      <c r="I273" s="5397"/>
      <c r="J273" s="5397"/>
      <c r="K273" s="5374" t="str">
        <f>J272&amp;".1"</f>
        <v>1.6.5.1.1.1</v>
      </c>
      <c r="L273" s="1974"/>
      <c r="M273" s="1986"/>
      <c r="N273" s="1986"/>
      <c r="O273" s="1986"/>
      <c r="P273" s="5375"/>
      <c r="Q273" s="5375"/>
      <c r="R273" s="1990">
        <v>1</v>
      </c>
      <c r="S273" s="1979" t="str">
        <f>$K273</f>
        <v>1.6.5.1.1.1</v>
      </c>
      <c r="T273" s="1993" t="s">
        <v>629</v>
      </c>
      <c r="U273" s="1981"/>
      <c r="V273" s="1893"/>
      <c r="W273" s="1893"/>
      <c r="X273" s="1893"/>
      <c r="Y273" s="1893"/>
      <c r="Z273" s="1893"/>
      <c r="AA273" s="1893"/>
      <c r="AB273" s="1893"/>
      <c r="AC273" s="5379"/>
      <c r="AD273" s="5225" t="s">
        <v>64</v>
      </c>
      <c r="AE273" s="5379"/>
      <c r="AF273" s="5225" t="s">
        <v>64</v>
      </c>
      <c r="AG273" s="1893"/>
      <c r="AH273" s="1893">
        <v>28.8</v>
      </c>
      <c r="AI273" s="1893"/>
      <c r="AJ273" s="1893"/>
      <c r="AK273" s="1893">
        <v>2328.0700000000002</v>
      </c>
      <c r="AL273" s="1893"/>
      <c r="AM273" s="1893"/>
      <c r="AN273" s="5379">
        <v>45292.396319444444</v>
      </c>
      <c r="AO273" s="5225" t="s">
        <v>64</v>
      </c>
      <c r="AP273" s="5398">
        <v>45473.396493055552</v>
      </c>
      <c r="AQ273" s="5225" t="s">
        <v>64</v>
      </c>
      <c r="AR273" s="1893"/>
      <c r="AS273" s="1893">
        <v>32.270000000000003</v>
      </c>
      <c r="AT273" s="1893"/>
      <c r="AU273" s="1893"/>
      <c r="AV273" s="1893">
        <v>2667.06</v>
      </c>
      <c r="AW273" s="1893"/>
      <c r="AX273" s="1893"/>
      <c r="AY273" s="5379">
        <v>45474.397222222222</v>
      </c>
      <c r="AZ273" s="5225" t="s">
        <v>64</v>
      </c>
      <c r="BA273" s="5379">
        <v>45657</v>
      </c>
      <c r="BB273" s="5225" t="s">
        <v>64</v>
      </c>
      <c r="BC273" s="1994"/>
      <c r="BD273"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73" s="1935" t="e">
        <f ca="1">STRCHECKDATE(V274:BC274)</f>
        <v>#NAME?</v>
      </c>
      <c r="BF273" s="1983"/>
      <c r="BG273" s="1983" t="str">
        <f t="shared" si="4"/>
        <v>МКП "ИКЖКХ"</v>
      </c>
      <c r="BH273" s="1983"/>
      <c r="BI273" s="1983"/>
    </row>
    <row r="274" spans="1:61" s="5103" customFormat="1" ht="14.25" customHeight="1">
      <c r="A274" s="1973"/>
      <c r="B274" s="1973"/>
      <c r="C274" s="1973"/>
      <c r="D274" s="1973"/>
      <c r="E274" s="5377"/>
      <c r="F274" s="5377"/>
      <c r="G274" s="5377" t="s">
        <v>88</v>
      </c>
      <c r="H274" s="5377"/>
      <c r="I274" s="5397"/>
      <c r="J274" s="5397"/>
      <c r="K274" s="5374"/>
      <c r="L274" s="1974"/>
      <c r="M274" s="1986"/>
      <c r="N274" s="1986"/>
      <c r="O274" s="1986"/>
      <c r="P274" s="5375"/>
      <c r="Q274" s="5375"/>
      <c r="R274" s="1990"/>
      <c r="S274" s="1995"/>
      <c r="T274" s="1981"/>
      <c r="U274" s="1981"/>
      <c r="V274" s="1894"/>
      <c r="W274" s="1894"/>
      <c r="X274" s="1894"/>
      <c r="Y274" s="1894"/>
      <c r="Z274" s="1894"/>
      <c r="AA274" s="1894"/>
      <c r="AB274" s="1894"/>
      <c r="AC274" s="5380"/>
      <c r="AD274" s="5225"/>
      <c r="AE274" s="5380"/>
      <c r="AF274" s="5225"/>
      <c r="AG274" s="1894"/>
      <c r="AH274" s="1894"/>
      <c r="AI274" s="1894"/>
      <c r="AJ274" s="1894"/>
      <c r="AK274" s="1894"/>
      <c r="AL274" s="1894"/>
      <c r="AM274" s="1894"/>
      <c r="AN274" s="5380"/>
      <c r="AO274" s="5225"/>
      <c r="AP274" s="5399"/>
      <c r="AQ274" s="5225"/>
      <c r="AR274" s="1894"/>
      <c r="AS274" s="1894"/>
      <c r="AT274" s="1894"/>
      <c r="AU274" s="1894"/>
      <c r="AV274" s="1894"/>
      <c r="AW274" s="1894"/>
      <c r="AX274" s="1894"/>
      <c r="AY274" s="5380"/>
      <c r="AZ274" s="5225"/>
      <c r="BA274" s="5380"/>
      <c r="BB274" s="5225"/>
      <c r="BC274" s="1996"/>
      <c r="BD274" s="5434"/>
      <c r="BE274" s="1935"/>
      <c r="BF274" s="1983"/>
      <c r="BG274" s="1983" t="str">
        <f t="shared" si="4"/>
        <v/>
      </c>
      <c r="BH274" s="1983"/>
      <c r="BI274" s="1983"/>
    </row>
    <row r="275" spans="1:61" s="5104" customFormat="1" ht="21" customHeight="1">
      <c r="A275" s="1973"/>
      <c r="B275" s="1973"/>
      <c r="C275" s="1973"/>
      <c r="D275" s="1973"/>
      <c r="E275" s="5377"/>
      <c r="F275" s="5377"/>
      <c r="G275" s="5377" t="s">
        <v>88</v>
      </c>
      <c r="H275" s="5377"/>
      <c r="I275" s="5397"/>
      <c r="J275" s="5374"/>
      <c r="K275" s="1973"/>
      <c r="L275" s="1974"/>
      <c r="M275" s="1986"/>
      <c r="N275" s="1986"/>
      <c r="O275" s="1986"/>
      <c r="P275" s="5375"/>
      <c r="Q275" s="5375"/>
      <c r="R275" s="1988"/>
      <c r="S275" s="3815"/>
      <c r="T275" s="3816" t="s">
        <v>562</v>
      </c>
      <c r="U275" s="3817"/>
      <c r="V275" s="3818"/>
      <c r="W275" s="3819"/>
      <c r="X275" s="3820"/>
      <c r="Y275" s="3821"/>
      <c r="Z275" s="3822"/>
      <c r="AA275" s="3823"/>
      <c r="AB275" s="3824"/>
      <c r="AC275" s="3825"/>
      <c r="AD275" s="3826"/>
      <c r="AE275" s="3827"/>
      <c r="AF275" s="3828"/>
      <c r="AG275" s="3829"/>
      <c r="AH275" s="3830"/>
      <c r="AI275" s="3831"/>
      <c r="AJ275" s="3832"/>
      <c r="AK275" s="3833"/>
      <c r="AL275" s="3834"/>
      <c r="AM275" s="3835"/>
      <c r="AN275" s="3836"/>
      <c r="AO275" s="3837"/>
      <c r="AP275" s="3838"/>
      <c r="AQ275" s="3839"/>
      <c r="AR275" s="3840"/>
      <c r="AS275" s="3841"/>
      <c r="AT275" s="3842"/>
      <c r="AU275" s="3843"/>
      <c r="AV275" s="3844"/>
      <c r="AW275" s="3845"/>
      <c r="AX275" s="3846"/>
      <c r="AY275" s="3847"/>
      <c r="AZ275" s="3848"/>
      <c r="BA275" s="3849"/>
      <c r="BB275" s="3850"/>
      <c r="BC275" s="3851"/>
      <c r="BD275" s="1982" t="s">
        <v>563</v>
      </c>
      <c r="BE275" s="1935"/>
      <c r="BF275" s="1983"/>
      <c r="BG275" s="1983" t="str">
        <f t="shared" si="4"/>
        <v>Добавить значение признака дифференциации</v>
      </c>
      <c r="BH275" s="1983"/>
      <c r="BI275" s="1983"/>
    </row>
    <row r="276" spans="1:61" s="5105" customFormat="1" ht="23.25" customHeight="1">
      <c r="A276" s="3933"/>
      <c r="B276" s="3933"/>
      <c r="C276" s="3933"/>
      <c r="D276" s="3933"/>
      <c r="E276" s="5377"/>
      <c r="F276" s="5377"/>
      <c r="G276" s="5377"/>
      <c r="H276" s="5377"/>
      <c r="I276" s="5397"/>
      <c r="J276" s="5374" t="str">
        <f>I271&amp;".2"</f>
        <v>1.6.5.1.2</v>
      </c>
      <c r="K276" s="3933"/>
      <c r="L276" s="3934" t="s">
        <v>484</v>
      </c>
      <c r="M276" s="3935"/>
      <c r="N276" s="3935"/>
      <c r="O276" s="3935"/>
      <c r="P276" s="5375"/>
      <c r="Q276" s="5452" t="s">
        <v>101</v>
      </c>
      <c r="R276" s="3937"/>
      <c r="S276" s="3938" t="str">
        <f>$J276</f>
        <v>1.6.5.1.2</v>
      </c>
      <c r="T276" s="3939" t="s">
        <v>485</v>
      </c>
      <c r="U276" s="3940"/>
      <c r="V276" s="5365"/>
      <c r="W276" s="5366"/>
      <c r="X276" s="5366"/>
      <c r="Y276" s="5366"/>
      <c r="Z276" s="5366"/>
      <c r="AA276" s="5366"/>
      <c r="AB276" s="5366"/>
      <c r="AC276" s="5366"/>
      <c r="AD276" s="5366"/>
      <c r="AE276" s="5366"/>
      <c r="AF276" s="5367"/>
      <c r="AG276" s="5365" t="s">
        <v>621</v>
      </c>
      <c r="AH276" s="5366"/>
      <c r="AI276" s="5366"/>
      <c r="AJ276" s="5366"/>
      <c r="AK276" s="5366"/>
      <c r="AL276" s="5366"/>
      <c r="AM276" s="5366"/>
      <c r="AN276" s="5366"/>
      <c r="AO276" s="5366"/>
      <c r="AP276" s="5366"/>
      <c r="AQ276" s="5366"/>
      <c r="AR276" s="5365"/>
      <c r="AS276" s="5366"/>
      <c r="AT276" s="5366"/>
      <c r="AU276" s="5366"/>
      <c r="AV276" s="5366"/>
      <c r="AW276" s="5366"/>
      <c r="AX276" s="5366"/>
      <c r="AY276" s="5366"/>
      <c r="AZ276" s="5366"/>
      <c r="BA276" s="5366"/>
      <c r="BB276" s="5453"/>
      <c r="BC276" s="5367"/>
      <c r="BD276" s="3941" t="s">
        <v>561</v>
      </c>
      <c r="BE276" s="3942"/>
      <c r="BF276" s="3943"/>
      <c r="BG276" s="3943" t="str">
        <f t="shared" si="4"/>
        <v>Группа потребителей</v>
      </c>
      <c r="BH276" s="3943"/>
      <c r="BI276" s="3943"/>
    </row>
    <row r="277" spans="1:61" s="5106" customFormat="1" ht="23.25" customHeight="1">
      <c r="A277" s="3933"/>
      <c r="B277" s="3933"/>
      <c r="C277" s="3933"/>
      <c r="D277" s="3933"/>
      <c r="E277" s="5377"/>
      <c r="F277" s="5377"/>
      <c r="G277" s="5377"/>
      <c r="H277" s="5377"/>
      <c r="I277" s="5397"/>
      <c r="J277" s="5397" t="str">
        <f>I271&amp;".1"</f>
        <v>1.6.5.1.1</v>
      </c>
      <c r="K277" s="5374" t="str">
        <f>J276&amp;".1"</f>
        <v>1.6.5.1.2.1</v>
      </c>
      <c r="L277" s="3934"/>
      <c r="M277" s="3935"/>
      <c r="N277" s="3935"/>
      <c r="O277" s="3935"/>
      <c r="P277" s="5375"/>
      <c r="Q277" s="5375"/>
      <c r="R277" s="3937">
        <v>1</v>
      </c>
      <c r="S277" s="3938" t="str">
        <f>$K277</f>
        <v>1.6.5.1.2.1</v>
      </c>
      <c r="T277" s="3944" t="s">
        <v>629</v>
      </c>
      <c r="U277" s="3940"/>
      <c r="V277" s="3931"/>
      <c r="W277" s="3931"/>
      <c r="X277" s="3931"/>
      <c r="Y277" s="3931"/>
      <c r="Z277" s="3931"/>
      <c r="AA277" s="3931"/>
      <c r="AB277" s="3931"/>
      <c r="AC277" s="5379"/>
      <c r="AD277" s="5225" t="s">
        <v>64</v>
      </c>
      <c r="AE277" s="5379"/>
      <c r="AF277" s="5225" t="s">
        <v>64</v>
      </c>
      <c r="AG277" s="3931"/>
      <c r="AH277" s="3931">
        <v>34.56</v>
      </c>
      <c r="AI277" s="3931"/>
      <c r="AJ277" s="3931"/>
      <c r="AK277" s="3931">
        <v>2793.68</v>
      </c>
      <c r="AL277" s="3931"/>
      <c r="AM277" s="3931"/>
      <c r="AN277" s="5379">
        <v>45292.396319444444</v>
      </c>
      <c r="AO277" s="5225" t="s">
        <v>64</v>
      </c>
      <c r="AP277" s="5398">
        <v>45473.396493055552</v>
      </c>
      <c r="AQ277" s="5225" t="s">
        <v>64</v>
      </c>
      <c r="AR277" s="3931"/>
      <c r="AS277" s="3931">
        <v>38.72</v>
      </c>
      <c r="AT277" s="3931"/>
      <c r="AU277" s="3931"/>
      <c r="AV277" s="3931">
        <v>3200.47</v>
      </c>
      <c r="AW277" s="3931"/>
      <c r="AX277" s="3931"/>
      <c r="AY277" s="5379">
        <v>45474.397222222222</v>
      </c>
      <c r="AZ277" s="5225" t="s">
        <v>64</v>
      </c>
      <c r="BA277" s="5379">
        <v>45657</v>
      </c>
      <c r="BB277" s="5451" t="s">
        <v>64</v>
      </c>
      <c r="BC277" s="3945"/>
      <c r="BD27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E277" s="3942" t="e">
        <f ca="1">STRCHECKDATE(V278:BC278)</f>
        <v>#NAME?</v>
      </c>
      <c r="BF277" s="3943"/>
      <c r="BG277" s="3943" t="str">
        <f t="shared" si="4"/>
        <v>МКП "ИКЖКХ"</v>
      </c>
      <c r="BH277" s="3943"/>
      <c r="BI277" s="3943"/>
    </row>
    <row r="278" spans="1:61" s="5107" customFormat="1" ht="14.25" customHeight="1">
      <c r="A278" s="3933"/>
      <c r="B278" s="3933"/>
      <c r="C278" s="3933"/>
      <c r="D278" s="3933"/>
      <c r="E278" s="5377"/>
      <c r="F278" s="5377"/>
      <c r="G278" s="5377"/>
      <c r="H278" s="5377"/>
      <c r="I278" s="5397"/>
      <c r="J278" s="5397" t="str">
        <f>I271&amp;".1"</f>
        <v>1.6.5.1.1</v>
      </c>
      <c r="K278" s="5374"/>
      <c r="L278" s="3934"/>
      <c r="M278" s="3935"/>
      <c r="N278" s="3935"/>
      <c r="O278" s="3935"/>
      <c r="P278" s="5375"/>
      <c r="Q278" s="5375"/>
      <c r="R278" s="3937"/>
      <c r="S278" s="3946"/>
      <c r="T278" s="3940"/>
      <c r="U278" s="3940"/>
      <c r="V278" s="3932"/>
      <c r="W278" s="3932"/>
      <c r="X278" s="3932"/>
      <c r="Y278" s="3932"/>
      <c r="Z278" s="3932"/>
      <c r="AA278" s="3932"/>
      <c r="AB278" s="3932"/>
      <c r="AC278" s="5380"/>
      <c r="AD278" s="5225"/>
      <c r="AE278" s="5380"/>
      <c r="AF278" s="5225"/>
      <c r="AG278" s="3932"/>
      <c r="AH278" s="3932"/>
      <c r="AI278" s="3932"/>
      <c r="AJ278" s="3932"/>
      <c r="AK278" s="3932"/>
      <c r="AL278" s="3932"/>
      <c r="AM278" s="3932"/>
      <c r="AN278" s="5380"/>
      <c r="AO278" s="5225"/>
      <c r="AP278" s="5399"/>
      <c r="AQ278" s="5225"/>
      <c r="AR278" s="3932"/>
      <c r="AS278" s="3932"/>
      <c r="AT278" s="3932"/>
      <c r="AU278" s="3932"/>
      <c r="AV278" s="3932"/>
      <c r="AW278" s="3932"/>
      <c r="AX278" s="3932"/>
      <c r="AY278" s="5380"/>
      <c r="AZ278" s="5225"/>
      <c r="BA278" s="5380"/>
      <c r="BB278" s="5451"/>
      <c r="BC278" s="3947"/>
      <c r="BD278" s="5434"/>
      <c r="BE278" s="3942"/>
      <c r="BF278" s="3943"/>
      <c r="BG278" s="3943" t="str">
        <f t="shared" si="4"/>
        <v/>
      </c>
      <c r="BH278" s="3943"/>
      <c r="BI278" s="3943"/>
    </row>
    <row r="279" spans="1:61" s="5108" customFormat="1" ht="21" customHeight="1">
      <c r="A279" s="3933"/>
      <c r="B279" s="3933"/>
      <c r="C279" s="3933"/>
      <c r="D279" s="3933"/>
      <c r="E279" s="5377"/>
      <c r="F279" s="5377"/>
      <c r="G279" s="5377"/>
      <c r="H279" s="5377"/>
      <c r="I279" s="5397"/>
      <c r="J279" s="5374" t="str">
        <f>I271&amp;".1"</f>
        <v>1.6.5.1.1</v>
      </c>
      <c r="K279" s="3933"/>
      <c r="L279" s="3934"/>
      <c r="M279" s="3935"/>
      <c r="N279" s="3935"/>
      <c r="O279" s="3935"/>
      <c r="P279" s="5375"/>
      <c r="Q279" s="5375"/>
      <c r="R279" s="3948"/>
      <c r="S279" s="4739"/>
      <c r="T279" s="4740" t="s">
        <v>562</v>
      </c>
      <c r="U279" s="4741"/>
      <c r="V279" s="4742"/>
      <c r="W279" s="4743"/>
      <c r="X279" s="4744"/>
      <c r="Y279" s="4745"/>
      <c r="Z279" s="4746"/>
      <c r="AA279" s="4747"/>
      <c r="AB279" s="4748"/>
      <c r="AC279" s="4749"/>
      <c r="AD279" s="4750"/>
      <c r="AE279" s="4751"/>
      <c r="AF279" s="4752"/>
      <c r="AG279" s="4753"/>
      <c r="AH279" s="4754"/>
      <c r="AI279" s="4755"/>
      <c r="AJ279" s="4756"/>
      <c r="AK279" s="4757"/>
      <c r="AL279" s="4758"/>
      <c r="AM279" s="4759"/>
      <c r="AN279" s="4760"/>
      <c r="AO279" s="4761"/>
      <c r="AP279" s="4762"/>
      <c r="AQ279" s="4763"/>
      <c r="AR279" s="4764"/>
      <c r="AS279" s="4765"/>
      <c r="AT279" s="4766"/>
      <c r="AU279" s="4767"/>
      <c r="AV279" s="4768"/>
      <c r="AW279" s="4769"/>
      <c r="AX279" s="4770"/>
      <c r="AY279" s="4771"/>
      <c r="AZ279" s="4772"/>
      <c r="BA279" s="4773"/>
      <c r="BB279" s="4774"/>
      <c r="BC279" s="4775"/>
      <c r="BD279" s="3986" t="s">
        <v>563</v>
      </c>
      <c r="BE279" s="3942"/>
      <c r="BF279" s="3943"/>
      <c r="BG279" s="3943" t="str">
        <f t="shared" si="4"/>
        <v>Добавить значение признака дифференциации</v>
      </c>
      <c r="BH279" s="3943"/>
      <c r="BI279" s="3943"/>
    </row>
    <row r="280" spans="1:61" s="5109" customFormat="1" ht="21" customHeight="1">
      <c r="A280" s="1973"/>
      <c r="B280" s="1973"/>
      <c r="C280" s="1973"/>
      <c r="D280" s="1973"/>
      <c r="E280" s="5377"/>
      <c r="F280" s="5377"/>
      <c r="G280" s="5377" t="s">
        <v>88</v>
      </c>
      <c r="H280" s="5377"/>
      <c r="I280" s="5374"/>
      <c r="J280" s="1973"/>
      <c r="K280" s="1973"/>
      <c r="L280" s="1974"/>
      <c r="M280" s="1986"/>
      <c r="N280" s="1986"/>
      <c r="O280" s="1986"/>
      <c r="P280" s="5375"/>
      <c r="Q280" s="1987"/>
      <c r="R280" s="1988"/>
      <c r="S280" s="3852"/>
      <c r="T280" s="3853" t="s">
        <v>490</v>
      </c>
      <c r="U280" s="3854"/>
      <c r="V280" s="3855"/>
      <c r="W280" s="3856"/>
      <c r="X280" s="3857"/>
      <c r="Y280" s="3858"/>
      <c r="Z280" s="3859"/>
      <c r="AA280" s="3860"/>
      <c r="AB280" s="3861"/>
      <c r="AC280" s="3862"/>
      <c r="AD280" s="3863"/>
      <c r="AE280" s="3864"/>
      <c r="AF280" s="3865"/>
      <c r="AG280" s="3866"/>
      <c r="AH280" s="3867"/>
      <c r="AI280" s="3868"/>
      <c r="AJ280" s="3869"/>
      <c r="AK280" s="3870"/>
      <c r="AL280" s="3871"/>
      <c r="AM280" s="3872"/>
      <c r="AN280" s="3873"/>
      <c r="AO280" s="3874"/>
      <c r="AP280" s="3875"/>
      <c r="AQ280" s="3876"/>
      <c r="AR280" s="3877"/>
      <c r="AS280" s="3878"/>
      <c r="AT280" s="3879"/>
      <c r="AU280" s="3880"/>
      <c r="AV280" s="3881"/>
      <c r="AW280" s="3882"/>
      <c r="AX280" s="3883"/>
      <c r="AY280" s="3884"/>
      <c r="AZ280" s="3885"/>
      <c r="BA280" s="3886"/>
      <c r="BB280" s="3887"/>
      <c r="BC280" s="3888"/>
      <c r="BD280" s="3889"/>
      <c r="BE280" s="1935"/>
      <c r="BF280" s="1983"/>
      <c r="BG280" s="1983" t="str">
        <f t="shared" si="4"/>
        <v>Добавить группу потребителей</v>
      </c>
      <c r="BH280" s="1983"/>
      <c r="BI280" s="1983"/>
    </row>
    <row r="281" spans="1:61" s="5110" customFormat="1" ht="21" customHeight="1">
      <c r="A281" s="1973"/>
      <c r="B281" s="1973"/>
      <c r="C281" s="1973"/>
      <c r="D281" s="1973"/>
      <c r="E281" s="5377"/>
      <c r="F281" s="5377"/>
      <c r="G281" s="5377" t="s">
        <v>88</v>
      </c>
      <c r="H281" s="5376"/>
      <c r="I281" s="1973"/>
      <c r="J281" s="1973"/>
      <c r="K281" s="1973"/>
      <c r="L281" s="1974"/>
      <c r="M281" s="1975"/>
      <c r="N281" s="1975"/>
      <c r="O281" s="1929"/>
      <c r="P281" s="2072"/>
      <c r="Q281" s="2073"/>
      <c r="R281" s="2074"/>
      <c r="S281" s="3890"/>
      <c r="T281" s="3891" t="s">
        <v>564</v>
      </c>
      <c r="U281" s="3892"/>
      <c r="V281" s="3893"/>
      <c r="W281" s="3894"/>
      <c r="X281" s="3895"/>
      <c r="Y281" s="3896"/>
      <c r="Z281" s="3897"/>
      <c r="AA281" s="3898"/>
      <c r="AB281" s="3899"/>
      <c r="AC281" s="3900"/>
      <c r="AD281" s="3901"/>
      <c r="AE281" s="3902"/>
      <c r="AF281" s="3903"/>
      <c r="AG281" s="3904"/>
      <c r="AH281" s="3905"/>
      <c r="AI281" s="3906"/>
      <c r="AJ281" s="3907"/>
      <c r="AK281" s="3908"/>
      <c r="AL281" s="3909"/>
      <c r="AM281" s="3910"/>
      <c r="AN281" s="3911"/>
      <c r="AO281" s="3912"/>
      <c r="AP281" s="3913"/>
      <c r="AQ281" s="3914"/>
      <c r="AR281" s="3915"/>
      <c r="AS281" s="3916"/>
      <c r="AT281" s="3917"/>
      <c r="AU281" s="3918"/>
      <c r="AV281" s="3919"/>
      <c r="AW281" s="3920"/>
      <c r="AX281" s="3921"/>
      <c r="AY281" s="3922"/>
      <c r="AZ281" s="3923"/>
      <c r="BA281" s="3924"/>
      <c r="BB281" s="3925"/>
      <c r="BC281" s="3926"/>
      <c r="BD281" s="3927"/>
      <c r="BE281" s="1935"/>
      <c r="BF281" s="1983"/>
      <c r="BG281" s="1983" t="str">
        <f t="shared" si="4"/>
        <v>Добавить наименование признака дифференциации</v>
      </c>
      <c r="BH281" s="1983"/>
      <c r="BI281" s="1983"/>
    </row>
    <row r="282" spans="1:61" s="5111" customFormat="1" ht="14.25" customHeight="1">
      <c r="A282" s="2226"/>
      <c r="B282" s="2226"/>
      <c r="C282" s="2226"/>
      <c r="D282" s="2226"/>
      <c r="E282" s="5377"/>
      <c r="F282" s="5376" t="s">
        <v>114</v>
      </c>
      <c r="G282" s="2226"/>
      <c r="H282" s="2226"/>
      <c r="I282" s="2226"/>
      <c r="J282" s="2226"/>
      <c r="K282" s="2226"/>
      <c r="L282" s="2227"/>
      <c r="M282" s="2228"/>
      <c r="N282" s="2228"/>
      <c r="O282" s="1935"/>
      <c r="P282" s="2229"/>
      <c r="Q282" s="2230"/>
      <c r="R282" s="2229"/>
      <c r="S282" s="2231"/>
      <c r="T282" s="2232" t="s">
        <v>271</v>
      </c>
      <c r="U282" s="1928"/>
      <c r="V282" s="1928"/>
      <c r="W282" s="1928"/>
      <c r="X282" s="1928"/>
      <c r="Y282" s="1928"/>
      <c r="Z282" s="1928"/>
      <c r="AA282" s="1928"/>
      <c r="AB282" s="1928"/>
      <c r="AC282" s="1928"/>
      <c r="AD282" s="1928"/>
      <c r="AE282" s="1928"/>
      <c r="AF282" s="1928"/>
      <c r="AG282" s="1928"/>
      <c r="AH282" s="1928"/>
      <c r="AI282" s="1928"/>
      <c r="AJ282" s="1928"/>
      <c r="AK282" s="1928"/>
      <c r="AL282" s="1928"/>
      <c r="AM282" s="1928"/>
      <c r="AN282" s="1928"/>
      <c r="AO282" s="1928"/>
      <c r="AP282" s="1928"/>
      <c r="AQ282" s="1928"/>
      <c r="AR282" s="1928"/>
      <c r="AS282" s="1928"/>
      <c r="AT282" s="1928"/>
      <c r="AU282" s="1928"/>
      <c r="AV282" s="1928"/>
      <c r="AW282" s="1928"/>
      <c r="AX282" s="1928"/>
      <c r="AY282" s="1928"/>
      <c r="AZ282" s="1928"/>
      <c r="BA282" s="1928"/>
      <c r="BB282" s="1928"/>
      <c r="BC282" s="1928"/>
      <c r="BD282" s="1928"/>
      <c r="BE282" s="1935"/>
      <c r="BF282" s="1983"/>
      <c r="BG282" s="1983" t="str">
        <f t="shared" si="4"/>
        <v>Добавить централизованную систему для дифференциации</v>
      </c>
      <c r="BH282" s="1983"/>
      <c r="BI282" s="1983"/>
    </row>
    <row r="283" spans="1:61" s="4856" customFormat="1" ht="0" hidden="1" customHeight="1">
      <c r="A283" s="1222" t="s">
        <v>268</v>
      </c>
      <c r="B283" s="1222"/>
      <c r="C283" s="1222"/>
      <c r="D283" s="1222"/>
      <c r="E283" s="5376"/>
      <c r="F283" s="1222"/>
      <c r="G283" s="1222"/>
      <c r="H283" s="1222"/>
      <c r="I283" s="1222"/>
      <c r="J283" s="1222"/>
      <c r="K283" s="1222"/>
      <c r="L283" s="1225"/>
      <c r="M283" s="1201"/>
      <c r="N283" s="1201"/>
      <c r="O283" s="426"/>
      <c r="P283" s="296"/>
      <c r="Q283" s="1223"/>
      <c r="R283" s="296"/>
      <c r="S283" s="1202"/>
      <c r="T283" s="1205" t="s">
        <v>330</v>
      </c>
      <c r="U283" s="1204"/>
      <c r="V283" s="1204"/>
      <c r="W283" s="1204"/>
      <c r="X283" s="1204"/>
      <c r="Y283" s="1204"/>
      <c r="Z283" s="1204"/>
      <c r="AA283" s="1204"/>
      <c r="AB283" s="1204"/>
      <c r="AC283" s="1204"/>
      <c r="AD283" s="1204"/>
      <c r="AE283" s="1204"/>
      <c r="AF283" s="1204"/>
      <c r="AG283" s="1204"/>
      <c r="AH283" s="1204"/>
      <c r="AI283" s="1204"/>
      <c r="AJ283" s="1204"/>
      <c r="AK283" s="1204"/>
      <c r="AL283" s="1204"/>
      <c r="AM283" s="1204"/>
      <c r="AN283" s="1204"/>
      <c r="AO283" s="1204"/>
      <c r="AP283" s="1204"/>
      <c r="AQ283" s="1204"/>
      <c r="AR283" s="1928"/>
      <c r="AS283" s="1928"/>
      <c r="AT283" s="1928"/>
      <c r="AU283" s="1928"/>
      <c r="AV283" s="1928"/>
      <c r="AW283" s="1928"/>
      <c r="AX283" s="1928"/>
      <c r="AY283" s="1928"/>
      <c r="AZ283" s="1928"/>
      <c r="BA283" s="1928"/>
      <c r="BB283" s="1928"/>
      <c r="BC283" s="1204"/>
      <c r="BD283" s="1204"/>
      <c r="BF283" s="408"/>
      <c r="BG283" s="408" t="str">
        <f t="shared" si="4"/>
        <v>Добавить территорию для дифференциации</v>
      </c>
      <c r="BH283" s="408"/>
      <c r="BI283" s="408"/>
    </row>
    <row r="284" spans="1:61" s="4853" customFormat="1" ht="0" hidden="1" customHeight="1">
      <c r="A284" s="1194"/>
      <c r="B284" s="1194"/>
      <c r="C284" s="1194"/>
      <c r="D284" s="1194"/>
      <c r="E284" s="1222"/>
      <c r="F284" s="1194"/>
      <c r="G284" s="1194"/>
      <c r="H284" s="1194"/>
      <c r="I284" s="1194"/>
      <c r="J284" s="1194"/>
      <c r="K284" s="1194"/>
      <c r="L284" s="1366"/>
      <c r="M284" s="1201"/>
      <c r="N284" s="1201"/>
      <c r="P284" s="1196"/>
      <c r="Q284" s="1197"/>
      <c r="R284" s="1196"/>
      <c r="S284" s="1202"/>
      <c r="T284" s="1205" t="s">
        <v>331</v>
      </c>
      <c r="U284" s="1204"/>
      <c r="V284" s="1204"/>
      <c r="W284" s="1204"/>
      <c r="X284" s="1204"/>
      <c r="Y284" s="1204"/>
      <c r="Z284" s="1204"/>
      <c r="AA284" s="1204"/>
      <c r="AB284" s="1204"/>
      <c r="AC284" s="1204"/>
      <c r="AD284" s="1204"/>
      <c r="AE284" s="1204"/>
      <c r="AF284" s="1204"/>
      <c r="AG284" s="1204"/>
      <c r="AH284" s="1204"/>
      <c r="AI284" s="1204"/>
      <c r="AJ284" s="1204"/>
      <c r="AK284" s="1204"/>
      <c r="AL284" s="1204"/>
      <c r="AM284" s="1204"/>
      <c r="AN284" s="1204"/>
      <c r="AO284" s="1204"/>
      <c r="AP284" s="1204"/>
      <c r="AQ284" s="1204"/>
      <c r="AR284" s="1928"/>
      <c r="AS284" s="1928"/>
      <c r="AT284" s="1928"/>
      <c r="AU284" s="1928"/>
      <c r="AV284" s="1928"/>
      <c r="AW284" s="1928"/>
      <c r="AX284" s="1928"/>
      <c r="AY284" s="1928"/>
      <c r="AZ284" s="1928"/>
      <c r="BA284" s="1928"/>
      <c r="BB284" s="1928"/>
      <c r="BC284" s="1204"/>
      <c r="BD284" s="1204"/>
      <c r="BF284" s="688"/>
      <c r="BG284" s="688" t="str">
        <f t="shared" si="4"/>
        <v>Добавить наименование тарифа</v>
      </c>
      <c r="BH284" s="688"/>
      <c r="BI284" s="688"/>
    </row>
    <row r="285" spans="1:61" ht="11.25" customHeight="1">
      <c r="M285" s="1042"/>
      <c r="N285" s="1042"/>
      <c r="O285" s="444"/>
      <c r="P285" s="1037"/>
      <c r="Q285" s="1037"/>
      <c r="R285" s="1037"/>
      <c r="S285" s="1037"/>
      <c r="AR285" s="1892"/>
      <c r="AS285" s="1892"/>
      <c r="AT285" s="1892"/>
      <c r="AU285" s="1892"/>
      <c r="AV285" s="1892"/>
      <c r="AW285" s="1892"/>
      <c r="AX285" s="1892"/>
      <c r="AY285" s="1892"/>
      <c r="AZ285" s="1892"/>
      <c r="BA285" s="1892"/>
      <c r="BB285" s="1892"/>
      <c r="BE285" s="1037"/>
      <c r="BF285" s="1037"/>
      <c r="BG285" s="1037"/>
      <c r="BH285" s="1037"/>
      <c r="BI285" s="1037"/>
    </row>
    <row r="286" spans="1:61" ht="14.25" customHeight="1">
      <c r="O286" s="444"/>
      <c r="S286" s="1136"/>
      <c r="T286" s="5396"/>
      <c r="U286" s="5396"/>
      <c r="V286" s="5396"/>
      <c r="W286" s="5396"/>
      <c r="X286" s="5396"/>
      <c r="Y286" s="5396"/>
      <c r="Z286" s="5396"/>
      <c r="AA286" s="5396"/>
      <c r="AB286" s="5396"/>
      <c r="AC286" s="5396"/>
      <c r="AD286" s="5396"/>
      <c r="AE286" s="5396"/>
      <c r="AF286" s="5396"/>
      <c r="AG286" s="5396"/>
      <c r="AH286" s="5396"/>
      <c r="AI286" s="5396"/>
      <c r="AJ286" s="5396"/>
      <c r="AK286" s="5396"/>
      <c r="AL286" s="5396"/>
      <c r="AM286" s="5396"/>
      <c r="AN286" s="5396"/>
      <c r="AO286" s="5396"/>
      <c r="AP286" s="5396"/>
      <c r="AQ286" s="5396"/>
      <c r="AR286" s="5396"/>
      <c r="AS286" s="5396"/>
      <c r="AT286" s="5396"/>
      <c r="AU286" s="5396"/>
      <c r="AV286" s="5396"/>
      <c r="AW286" s="5396"/>
      <c r="AX286" s="5396"/>
      <c r="AY286" s="5396"/>
      <c r="AZ286" s="5396"/>
      <c r="BA286" s="5396"/>
      <c r="BB286" s="5396"/>
      <c r="BC286" s="5396"/>
      <c r="BD286" s="5396"/>
    </row>
    <row r="287" spans="1:61" ht="14.25" customHeight="1">
      <c r="O287" s="444"/>
      <c r="AR287" s="1892"/>
      <c r="AS287" s="1892"/>
      <c r="AT287" s="1892"/>
      <c r="AU287" s="1892"/>
      <c r="AV287" s="1892"/>
      <c r="AW287" s="1892"/>
      <c r="AX287" s="1892"/>
      <c r="AY287" s="1892"/>
      <c r="AZ287" s="1892"/>
      <c r="BA287" s="1892"/>
      <c r="BB287" s="1892"/>
    </row>
    <row r="288" spans="1:61" ht="14.25" customHeight="1">
      <c r="O288" s="444"/>
      <c r="S288" s="1136"/>
      <c r="T288" s="5396"/>
      <c r="U288" s="5396"/>
      <c r="V288" s="5396"/>
      <c r="W288" s="5396"/>
      <c r="X288" s="5396"/>
      <c r="Y288" s="5396"/>
      <c r="Z288" s="5396"/>
      <c r="AA288" s="5396"/>
      <c r="AB288" s="5396"/>
      <c r="AC288" s="5396"/>
      <c r="AD288" s="5396"/>
      <c r="AE288" s="5396"/>
      <c r="AF288" s="5396"/>
      <c r="AG288" s="5396"/>
      <c r="AH288" s="5396"/>
      <c r="AI288" s="5396"/>
      <c r="AJ288" s="5396"/>
      <c r="AK288" s="5396"/>
      <c r="AL288" s="5396"/>
      <c r="AM288" s="5396"/>
      <c r="AN288" s="5396"/>
      <c r="AO288" s="5396"/>
      <c r="AP288" s="5396"/>
      <c r="AQ288" s="5396"/>
      <c r="AR288" s="5396"/>
      <c r="AS288" s="5396"/>
      <c r="AT288" s="5396"/>
      <c r="AU288" s="5396"/>
      <c r="AV288" s="5396"/>
      <c r="AW288" s="5396"/>
      <c r="AX288" s="5396"/>
      <c r="AY288" s="5396"/>
      <c r="AZ288" s="5396"/>
      <c r="BA288" s="5396"/>
      <c r="BB288" s="5396"/>
      <c r="BC288" s="5396"/>
      <c r="BD288" s="5396"/>
    </row>
  </sheetData>
  <sheetProtection formatColumns="0" formatRows="0" insertRows="0" deleteColumns="0" deleteRows="0" sort="0" autoFilter="0"/>
  <mergeCells count="965">
    <mergeCell ref="BD201:BD202"/>
    <mergeCell ref="AD201:AD202"/>
    <mergeCell ref="AE201:AE202"/>
    <mergeCell ref="AF201:AF202"/>
    <mergeCell ref="AN201:AN202"/>
    <mergeCell ref="AO201:AO202"/>
    <mergeCell ref="AP201:AP202"/>
    <mergeCell ref="AY201:AY202"/>
    <mergeCell ref="AZ201:AZ202"/>
    <mergeCell ref="BA201:BA202"/>
    <mergeCell ref="BB201:BB202"/>
    <mergeCell ref="BD197:BD198"/>
    <mergeCell ref="AD197:AD198"/>
    <mergeCell ref="AE197:AE198"/>
    <mergeCell ref="AF197:AF198"/>
    <mergeCell ref="AN197:AN198"/>
    <mergeCell ref="AO197:AO198"/>
    <mergeCell ref="AP197:AP198"/>
    <mergeCell ref="AY197:AY198"/>
    <mergeCell ref="AZ197:AZ198"/>
    <mergeCell ref="BA197:BA198"/>
    <mergeCell ref="BB197:BB198"/>
    <mergeCell ref="G194:G205"/>
    <mergeCell ref="V194:AF194"/>
    <mergeCell ref="AG194:BC194"/>
    <mergeCell ref="H195:H205"/>
    <mergeCell ref="I195:I204"/>
    <mergeCell ref="P195:P204"/>
    <mergeCell ref="V195:AF195"/>
    <mergeCell ref="AG195:BC195"/>
    <mergeCell ref="J196:J199"/>
    <mergeCell ref="Q196:Q199"/>
    <mergeCell ref="V196:AF196"/>
    <mergeCell ref="AG196:BC196"/>
    <mergeCell ref="K197:K198"/>
    <mergeCell ref="AC197:AC198"/>
    <mergeCell ref="AQ197:AQ198"/>
    <mergeCell ref="J200:J203"/>
    <mergeCell ref="Q200:Q203"/>
    <mergeCell ref="V200:AF200"/>
    <mergeCell ref="AG200:BC200"/>
    <mergeCell ref="K201:K202"/>
    <mergeCell ref="AC201:AC202"/>
    <mergeCell ref="AQ201:AQ202"/>
    <mergeCell ref="J188:J191"/>
    <mergeCell ref="Q188:Q191"/>
    <mergeCell ref="V188:AF188"/>
    <mergeCell ref="AG188:BC188"/>
    <mergeCell ref="K189:K190"/>
    <mergeCell ref="AC189:AC190"/>
    <mergeCell ref="AQ189:AQ190"/>
    <mergeCell ref="BD189:BD190"/>
    <mergeCell ref="AD189:AD190"/>
    <mergeCell ref="AE189:AE190"/>
    <mergeCell ref="AF189:AF190"/>
    <mergeCell ref="AN189:AN190"/>
    <mergeCell ref="AO189:AO190"/>
    <mergeCell ref="AP189:AP190"/>
    <mergeCell ref="AY189:AY190"/>
    <mergeCell ref="AZ189:AZ190"/>
    <mergeCell ref="BA189:BA190"/>
    <mergeCell ref="BB189:BB190"/>
    <mergeCell ref="J176:J179"/>
    <mergeCell ref="Q176:Q179"/>
    <mergeCell ref="V176:AF176"/>
    <mergeCell ref="AG176:BC176"/>
    <mergeCell ref="K177:K178"/>
    <mergeCell ref="AC177:AC178"/>
    <mergeCell ref="AQ177:AQ178"/>
    <mergeCell ref="BD177:BD178"/>
    <mergeCell ref="AD177:AD178"/>
    <mergeCell ref="AE177:AE178"/>
    <mergeCell ref="AF177:AF178"/>
    <mergeCell ref="AN177:AN178"/>
    <mergeCell ref="AO177:AO178"/>
    <mergeCell ref="AP177:AP178"/>
    <mergeCell ref="AY177:AY178"/>
    <mergeCell ref="AZ177:AZ178"/>
    <mergeCell ref="BA177:BA178"/>
    <mergeCell ref="BB177:BB178"/>
    <mergeCell ref="BD165:BD166"/>
    <mergeCell ref="AD165:AD166"/>
    <mergeCell ref="AE165:AE166"/>
    <mergeCell ref="AF165:AF166"/>
    <mergeCell ref="AN165:AN166"/>
    <mergeCell ref="AO165:AO166"/>
    <mergeCell ref="AP165:AP166"/>
    <mergeCell ref="AY165:AY166"/>
    <mergeCell ref="AZ165:AZ166"/>
    <mergeCell ref="BA165:BA166"/>
    <mergeCell ref="BB165:BB166"/>
    <mergeCell ref="J128:J131"/>
    <mergeCell ref="Q128:Q131"/>
    <mergeCell ref="V128:AF128"/>
    <mergeCell ref="AG128:BC128"/>
    <mergeCell ref="K129:K130"/>
    <mergeCell ref="AC129:AC130"/>
    <mergeCell ref="AQ129:AQ130"/>
    <mergeCell ref="BD129:BD130"/>
    <mergeCell ref="AD129:AD130"/>
    <mergeCell ref="AE129:AE130"/>
    <mergeCell ref="AF129:AF130"/>
    <mergeCell ref="AN129:AN130"/>
    <mergeCell ref="AO129:AO130"/>
    <mergeCell ref="AP129:AP130"/>
    <mergeCell ref="AY129:AY130"/>
    <mergeCell ref="AZ129:AZ130"/>
    <mergeCell ref="BA129:BA130"/>
    <mergeCell ref="BB129:BB130"/>
    <mergeCell ref="J116:J119"/>
    <mergeCell ref="Q116:Q119"/>
    <mergeCell ref="V116:AF116"/>
    <mergeCell ref="AG116:BC116"/>
    <mergeCell ref="K117:K118"/>
    <mergeCell ref="AC117:AC118"/>
    <mergeCell ref="AQ117:AQ118"/>
    <mergeCell ref="BD117:BD118"/>
    <mergeCell ref="AD117:AD118"/>
    <mergeCell ref="AE117:AE118"/>
    <mergeCell ref="AF117:AF118"/>
    <mergeCell ref="AN117:AN118"/>
    <mergeCell ref="AO117:AO118"/>
    <mergeCell ref="AP117:AP118"/>
    <mergeCell ref="AY117:AY118"/>
    <mergeCell ref="AZ117:AZ118"/>
    <mergeCell ref="BA117:BA118"/>
    <mergeCell ref="BB117:BB118"/>
    <mergeCell ref="J276:J279"/>
    <mergeCell ref="Q276:Q279"/>
    <mergeCell ref="V276:AF276"/>
    <mergeCell ref="AG276:BC276"/>
    <mergeCell ref="K277:K278"/>
    <mergeCell ref="AC277:AC278"/>
    <mergeCell ref="AQ277:AQ278"/>
    <mergeCell ref="BD277:BD278"/>
    <mergeCell ref="AD277:AD278"/>
    <mergeCell ref="AE277:AE278"/>
    <mergeCell ref="AF277:AF278"/>
    <mergeCell ref="AN277:AN278"/>
    <mergeCell ref="AO277:AO278"/>
    <mergeCell ref="AP277:AP278"/>
    <mergeCell ref="AY277:AY278"/>
    <mergeCell ref="AZ277:AZ278"/>
    <mergeCell ref="BA277:BA278"/>
    <mergeCell ref="BB277:BB278"/>
    <mergeCell ref="BD241:BD242"/>
    <mergeCell ref="AD241:AD242"/>
    <mergeCell ref="AE241:AE242"/>
    <mergeCell ref="AF241:AF242"/>
    <mergeCell ref="AN241:AN242"/>
    <mergeCell ref="AO241:AO242"/>
    <mergeCell ref="AP241:AP242"/>
    <mergeCell ref="AY241:AY242"/>
    <mergeCell ref="AZ241:AZ242"/>
    <mergeCell ref="BA241:BA242"/>
    <mergeCell ref="BB241:BB242"/>
    <mergeCell ref="J228:J231"/>
    <mergeCell ref="Q228:Q231"/>
    <mergeCell ref="V228:AF228"/>
    <mergeCell ref="AG228:BC228"/>
    <mergeCell ref="K229:K230"/>
    <mergeCell ref="AC229:AC230"/>
    <mergeCell ref="AQ229:AQ230"/>
    <mergeCell ref="BD229:BD230"/>
    <mergeCell ref="AD229:AD230"/>
    <mergeCell ref="AE229:AE230"/>
    <mergeCell ref="AF229:AF230"/>
    <mergeCell ref="AN229:AN230"/>
    <mergeCell ref="AO229:AO230"/>
    <mergeCell ref="AP229:AP230"/>
    <mergeCell ref="AY229:AY230"/>
    <mergeCell ref="AZ229:AZ230"/>
    <mergeCell ref="BA229:BA230"/>
    <mergeCell ref="BB229:BB230"/>
    <mergeCell ref="J50:J53"/>
    <mergeCell ref="Q50:Q53"/>
    <mergeCell ref="V50:AF50"/>
    <mergeCell ref="AG50:BC50"/>
    <mergeCell ref="K51:K52"/>
    <mergeCell ref="AC51:AC52"/>
    <mergeCell ref="AQ51:AQ52"/>
    <mergeCell ref="BD51:BD52"/>
    <mergeCell ref="AD51:AD52"/>
    <mergeCell ref="AE51:AE52"/>
    <mergeCell ref="AF51:AF52"/>
    <mergeCell ref="AN51:AN52"/>
    <mergeCell ref="AO51:AO52"/>
    <mergeCell ref="AP51:AP52"/>
    <mergeCell ref="AY51:AY52"/>
    <mergeCell ref="AZ51:AZ52"/>
    <mergeCell ref="BA51:BA52"/>
    <mergeCell ref="BB51:BB52"/>
    <mergeCell ref="J76:J79"/>
    <mergeCell ref="Q76:Q79"/>
    <mergeCell ref="V76:AF76"/>
    <mergeCell ref="AG76:BC76"/>
    <mergeCell ref="K77:K78"/>
    <mergeCell ref="AC77:AC78"/>
    <mergeCell ref="AQ77:AQ78"/>
    <mergeCell ref="BD77:BD78"/>
    <mergeCell ref="AD77:AD78"/>
    <mergeCell ref="AE77:AE78"/>
    <mergeCell ref="AF77:AF78"/>
    <mergeCell ref="AN77:AN78"/>
    <mergeCell ref="AO77:AO78"/>
    <mergeCell ref="AP77:AP78"/>
    <mergeCell ref="AY77:AY78"/>
    <mergeCell ref="AZ77:AZ78"/>
    <mergeCell ref="BA77:BA78"/>
    <mergeCell ref="BB77:BB78"/>
    <mergeCell ref="BD65:BD66"/>
    <mergeCell ref="AD65:AD66"/>
    <mergeCell ref="AE65:AE66"/>
    <mergeCell ref="AF65:AF66"/>
    <mergeCell ref="AN65:AN66"/>
    <mergeCell ref="AO65:AO66"/>
    <mergeCell ref="AP65:AP66"/>
    <mergeCell ref="AY65:AY66"/>
    <mergeCell ref="AZ65:AZ66"/>
    <mergeCell ref="BA65:BA66"/>
    <mergeCell ref="BB65:BB66"/>
    <mergeCell ref="J214:J217"/>
    <mergeCell ref="Q214:Q217"/>
    <mergeCell ref="V214:AF214"/>
    <mergeCell ref="AG214:BC214"/>
    <mergeCell ref="K215:K216"/>
    <mergeCell ref="AC215:AC216"/>
    <mergeCell ref="AQ215:AQ216"/>
    <mergeCell ref="BD215:BD216"/>
    <mergeCell ref="AD215:AD216"/>
    <mergeCell ref="AE215:AE216"/>
    <mergeCell ref="AF215:AF216"/>
    <mergeCell ref="AN215:AN216"/>
    <mergeCell ref="AO215:AO216"/>
    <mergeCell ref="AP215:AP216"/>
    <mergeCell ref="AY215:AY216"/>
    <mergeCell ref="AZ215:AZ216"/>
    <mergeCell ref="BA215:BA216"/>
    <mergeCell ref="BB215:BB216"/>
    <mergeCell ref="J102:J105"/>
    <mergeCell ref="Q102:Q105"/>
    <mergeCell ref="V102:AF102"/>
    <mergeCell ref="AG102:BC102"/>
    <mergeCell ref="K103:K104"/>
    <mergeCell ref="AC103:AC104"/>
    <mergeCell ref="AQ103:AQ104"/>
    <mergeCell ref="BD103:BD104"/>
    <mergeCell ref="AD103:AD104"/>
    <mergeCell ref="AE103:AE104"/>
    <mergeCell ref="AF103:AF104"/>
    <mergeCell ref="AN103:AN104"/>
    <mergeCell ref="AO103:AO104"/>
    <mergeCell ref="AP103:AP104"/>
    <mergeCell ref="AY103:AY104"/>
    <mergeCell ref="AZ103:AZ104"/>
    <mergeCell ref="BA103:BA104"/>
    <mergeCell ref="BB103:BB104"/>
    <mergeCell ref="J90:J93"/>
    <mergeCell ref="Q90:Q93"/>
    <mergeCell ref="V90:AF90"/>
    <mergeCell ref="AG90:BC90"/>
    <mergeCell ref="K91:K92"/>
    <mergeCell ref="AC91:AC92"/>
    <mergeCell ref="AQ91:AQ92"/>
    <mergeCell ref="BD91:BD92"/>
    <mergeCell ref="AD91:AD92"/>
    <mergeCell ref="AE91:AE92"/>
    <mergeCell ref="AF91:AF92"/>
    <mergeCell ref="AN91:AN92"/>
    <mergeCell ref="AO91:AO92"/>
    <mergeCell ref="AP91:AP92"/>
    <mergeCell ref="AY91:AY92"/>
    <mergeCell ref="AZ91:AZ92"/>
    <mergeCell ref="BA91:BA92"/>
    <mergeCell ref="BB91:BB92"/>
    <mergeCell ref="J264:J267"/>
    <mergeCell ref="Q264:Q267"/>
    <mergeCell ref="V264:AF264"/>
    <mergeCell ref="AG264:BC264"/>
    <mergeCell ref="K265:K266"/>
    <mergeCell ref="AC265:AC266"/>
    <mergeCell ref="AQ265:AQ266"/>
    <mergeCell ref="BD265:BD266"/>
    <mergeCell ref="AD265:AD266"/>
    <mergeCell ref="AE265:AE266"/>
    <mergeCell ref="AF265:AF266"/>
    <mergeCell ref="AN265:AN266"/>
    <mergeCell ref="AO265:AO266"/>
    <mergeCell ref="AP265:AP266"/>
    <mergeCell ref="AY265:AY266"/>
    <mergeCell ref="AZ265:AZ266"/>
    <mergeCell ref="BA265:BA266"/>
    <mergeCell ref="BB265:BB266"/>
    <mergeCell ref="J252:J255"/>
    <mergeCell ref="Q252:Q255"/>
    <mergeCell ref="V252:AF252"/>
    <mergeCell ref="AG252:BC252"/>
    <mergeCell ref="K253:K254"/>
    <mergeCell ref="AC253:AC254"/>
    <mergeCell ref="AQ253:AQ254"/>
    <mergeCell ref="BD253:BD254"/>
    <mergeCell ref="AD253:AD254"/>
    <mergeCell ref="AE253:AE254"/>
    <mergeCell ref="AF253:AF254"/>
    <mergeCell ref="AN253:AN254"/>
    <mergeCell ref="AO253:AO254"/>
    <mergeCell ref="AP253:AP254"/>
    <mergeCell ref="AY253:AY254"/>
    <mergeCell ref="AZ253:AZ254"/>
    <mergeCell ref="BA253:BA254"/>
    <mergeCell ref="BB253:BB254"/>
    <mergeCell ref="J140:J143"/>
    <mergeCell ref="Q140:Q143"/>
    <mergeCell ref="V140:AF140"/>
    <mergeCell ref="AG140:BC140"/>
    <mergeCell ref="K141:K142"/>
    <mergeCell ref="AC141:AC142"/>
    <mergeCell ref="AQ141:AQ142"/>
    <mergeCell ref="BD141:BD142"/>
    <mergeCell ref="AD141:AD142"/>
    <mergeCell ref="AE141:AE142"/>
    <mergeCell ref="AF141:AF142"/>
    <mergeCell ref="AN141:AN142"/>
    <mergeCell ref="AO141:AO142"/>
    <mergeCell ref="AP141:AP142"/>
    <mergeCell ref="AY141:AY142"/>
    <mergeCell ref="AZ141:AZ142"/>
    <mergeCell ref="BA141:BA142"/>
    <mergeCell ref="BB141:BB142"/>
    <mergeCell ref="BD153:BD154"/>
    <mergeCell ref="AD153:AD154"/>
    <mergeCell ref="AE153:AE154"/>
    <mergeCell ref="AF153:AF154"/>
    <mergeCell ref="AN153:AN154"/>
    <mergeCell ref="AO153:AO154"/>
    <mergeCell ref="AP153:AP154"/>
    <mergeCell ref="AY153:AY154"/>
    <mergeCell ref="AZ153:AZ154"/>
    <mergeCell ref="BA153:BA154"/>
    <mergeCell ref="BB153:BB154"/>
    <mergeCell ref="AY261:AY262"/>
    <mergeCell ref="AZ261:AZ262"/>
    <mergeCell ref="BA261:BA262"/>
    <mergeCell ref="BB261:BB262"/>
    <mergeCell ref="AY273:AY274"/>
    <mergeCell ref="AZ273:AZ274"/>
    <mergeCell ref="BA273:BA274"/>
    <mergeCell ref="BB273:BB274"/>
    <mergeCell ref="BB149:BB150"/>
    <mergeCell ref="AY149:AY150"/>
    <mergeCell ref="AZ149:AZ150"/>
    <mergeCell ref="BA149:BA150"/>
    <mergeCell ref="AG152:BC152"/>
    <mergeCell ref="AQ153:AQ154"/>
    <mergeCell ref="AG240:BC240"/>
    <mergeCell ref="AQ241:AQ242"/>
    <mergeCell ref="AG164:BC164"/>
    <mergeCell ref="AQ165:AQ166"/>
    <mergeCell ref="AY211:AY212"/>
    <mergeCell ref="AZ211:AZ212"/>
    <mergeCell ref="BA211:BA212"/>
    <mergeCell ref="BB211:BB212"/>
    <mergeCell ref="AY225:AY226"/>
    <mergeCell ref="AZ225:AZ226"/>
    <mergeCell ref="BA225:BA226"/>
    <mergeCell ref="BB225:BB226"/>
    <mergeCell ref="AY237:AY238"/>
    <mergeCell ref="AZ237:AZ238"/>
    <mergeCell ref="BA237:BA238"/>
    <mergeCell ref="BB237:BB238"/>
    <mergeCell ref="AY137:AY138"/>
    <mergeCell ref="AZ137:AZ138"/>
    <mergeCell ref="BA137:BA138"/>
    <mergeCell ref="BB137:BB138"/>
    <mergeCell ref="AY161:AY162"/>
    <mergeCell ref="AZ161:AZ162"/>
    <mergeCell ref="BA161:BA162"/>
    <mergeCell ref="BB161:BB162"/>
    <mergeCell ref="AY173:AY174"/>
    <mergeCell ref="AZ173:AZ174"/>
    <mergeCell ref="BA173:BA174"/>
    <mergeCell ref="BB173:BB174"/>
    <mergeCell ref="AY87:AY88"/>
    <mergeCell ref="AZ87:AZ88"/>
    <mergeCell ref="BA87:BA88"/>
    <mergeCell ref="BB87:BB88"/>
    <mergeCell ref="AY99:AY100"/>
    <mergeCell ref="AZ99:AZ100"/>
    <mergeCell ref="BA99:BA100"/>
    <mergeCell ref="BB99:BB100"/>
    <mergeCell ref="AY113:AY114"/>
    <mergeCell ref="AZ113:AZ114"/>
    <mergeCell ref="BA113:BA114"/>
    <mergeCell ref="BB113:BB114"/>
    <mergeCell ref="AZ41:BA41"/>
    <mergeCell ref="AY61:AY62"/>
    <mergeCell ref="AZ61:AZ62"/>
    <mergeCell ref="BA61:BA62"/>
    <mergeCell ref="BB61:BB62"/>
    <mergeCell ref="AY73:AY74"/>
    <mergeCell ref="AZ73:AZ74"/>
    <mergeCell ref="BA73:BA74"/>
    <mergeCell ref="BB73:BB74"/>
    <mergeCell ref="AG64:BC64"/>
    <mergeCell ref="AQ65:AQ66"/>
    <mergeCell ref="BB47:BB48"/>
    <mergeCell ref="AY47:AY48"/>
    <mergeCell ref="AZ47:AZ48"/>
    <mergeCell ref="BA47:BA48"/>
    <mergeCell ref="AS38:AU38"/>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R38:AR40"/>
    <mergeCell ref="AV38:AX38"/>
    <mergeCell ref="AY38:BA39"/>
    <mergeCell ref="AZ40:BA40"/>
    <mergeCell ref="AE273:AE274"/>
    <mergeCell ref="AF273:AF274"/>
    <mergeCell ref="AN273:AN274"/>
    <mergeCell ref="AO273:AO274"/>
    <mergeCell ref="AP273:AP274"/>
    <mergeCell ref="AT39:AU39"/>
    <mergeCell ref="AS39:AS40"/>
    <mergeCell ref="AV39:AV40"/>
    <mergeCell ref="AW39:AX39"/>
    <mergeCell ref="AF149:AF150"/>
    <mergeCell ref="AE149:AE150"/>
    <mergeCell ref="V152:AF152"/>
    <mergeCell ref="AC153:AC154"/>
    <mergeCell ref="V64:AF64"/>
    <mergeCell ref="AC65:AC66"/>
    <mergeCell ref="V240:AF240"/>
    <mergeCell ref="AC241:AC242"/>
    <mergeCell ref="V164:AF164"/>
    <mergeCell ref="AC165:AC166"/>
    <mergeCell ref="AF47:AF48"/>
    <mergeCell ref="AC47:AC48"/>
    <mergeCell ref="AD47:AD48"/>
    <mergeCell ref="AE47:AE48"/>
    <mergeCell ref="BD261:BD262"/>
    <mergeCell ref="AD261:AD262"/>
    <mergeCell ref="AE261:AE262"/>
    <mergeCell ref="AF261:AF262"/>
    <mergeCell ref="AN261:AN262"/>
    <mergeCell ref="AO261:AO262"/>
    <mergeCell ref="AP261:AP262"/>
    <mergeCell ref="G270:G281"/>
    <mergeCell ref="V270:AF270"/>
    <mergeCell ref="AG270:BC270"/>
    <mergeCell ref="H271:H281"/>
    <mergeCell ref="I271:I280"/>
    <mergeCell ref="P271:P280"/>
    <mergeCell ref="V271:AF271"/>
    <mergeCell ref="AG271:BC271"/>
    <mergeCell ref="J272:J275"/>
    <mergeCell ref="Q272:Q275"/>
    <mergeCell ref="V272:AF272"/>
    <mergeCell ref="AG272:BC272"/>
    <mergeCell ref="K273:K274"/>
    <mergeCell ref="AC273:AC274"/>
    <mergeCell ref="AQ273:AQ274"/>
    <mergeCell ref="BD273:BD274"/>
    <mergeCell ref="AD273:AD274"/>
    <mergeCell ref="AE249:AE250"/>
    <mergeCell ref="AF249:AF250"/>
    <mergeCell ref="AN249:AN250"/>
    <mergeCell ref="AO249:AO250"/>
    <mergeCell ref="AP249:AP250"/>
    <mergeCell ref="G258:G269"/>
    <mergeCell ref="V258:AF258"/>
    <mergeCell ref="AG258:BC258"/>
    <mergeCell ref="H259:H269"/>
    <mergeCell ref="I259:I268"/>
    <mergeCell ref="P259:P268"/>
    <mergeCell ref="V259:AF259"/>
    <mergeCell ref="AG259:BC259"/>
    <mergeCell ref="J260:J263"/>
    <mergeCell ref="Q260:Q263"/>
    <mergeCell ref="V260:AF260"/>
    <mergeCell ref="AG260:BC260"/>
    <mergeCell ref="K261:K262"/>
    <mergeCell ref="AC261:AC262"/>
    <mergeCell ref="AQ261:AQ262"/>
    <mergeCell ref="AY249:AY250"/>
    <mergeCell ref="AZ249:AZ250"/>
    <mergeCell ref="BA249:BA250"/>
    <mergeCell ref="BB249:BB250"/>
    <mergeCell ref="BD237:BD238"/>
    <mergeCell ref="AD237:AD238"/>
    <mergeCell ref="AE237:AE238"/>
    <mergeCell ref="AF237:AF238"/>
    <mergeCell ref="AN237:AN238"/>
    <mergeCell ref="AO237:AO238"/>
    <mergeCell ref="AP237:AP238"/>
    <mergeCell ref="G246:G257"/>
    <mergeCell ref="V246:AF246"/>
    <mergeCell ref="AG246:BC246"/>
    <mergeCell ref="H247:H257"/>
    <mergeCell ref="I247:I256"/>
    <mergeCell ref="P247:P256"/>
    <mergeCell ref="V247:AF247"/>
    <mergeCell ref="AG247:BC247"/>
    <mergeCell ref="J248:J251"/>
    <mergeCell ref="Q248:Q251"/>
    <mergeCell ref="V248:AF248"/>
    <mergeCell ref="AG248:BC248"/>
    <mergeCell ref="K249:K250"/>
    <mergeCell ref="AC249:AC250"/>
    <mergeCell ref="AQ249:AQ250"/>
    <mergeCell ref="BD249:BD250"/>
    <mergeCell ref="AD249:AD250"/>
    <mergeCell ref="G234:G245"/>
    <mergeCell ref="V234:AF234"/>
    <mergeCell ref="AG234:BC234"/>
    <mergeCell ref="H235:H245"/>
    <mergeCell ref="I235:I244"/>
    <mergeCell ref="P235:P244"/>
    <mergeCell ref="V235:AF235"/>
    <mergeCell ref="AG235:BC235"/>
    <mergeCell ref="J236:J239"/>
    <mergeCell ref="Q236:Q239"/>
    <mergeCell ref="V236:AF236"/>
    <mergeCell ref="AG236:BC236"/>
    <mergeCell ref="K237:K238"/>
    <mergeCell ref="AC237:AC238"/>
    <mergeCell ref="AQ237:AQ238"/>
    <mergeCell ref="J240:J243"/>
    <mergeCell ref="Q240:Q243"/>
    <mergeCell ref="K241:K242"/>
    <mergeCell ref="AC225:AC226"/>
    <mergeCell ref="AQ225:AQ226"/>
    <mergeCell ref="BD225:BD226"/>
    <mergeCell ref="AD225:AD226"/>
    <mergeCell ref="AE225:AE226"/>
    <mergeCell ref="AF225:AF226"/>
    <mergeCell ref="AN225:AN226"/>
    <mergeCell ref="AO225:AO226"/>
    <mergeCell ref="AP225:AP226"/>
    <mergeCell ref="AQ211:AQ212"/>
    <mergeCell ref="BD211:BD212"/>
    <mergeCell ref="AD211:AD212"/>
    <mergeCell ref="AE211:AE212"/>
    <mergeCell ref="AF211:AF212"/>
    <mergeCell ref="AN211:AN212"/>
    <mergeCell ref="AO211:AO212"/>
    <mergeCell ref="AP211:AP212"/>
    <mergeCell ref="F221:F282"/>
    <mergeCell ref="V221:AF221"/>
    <mergeCell ref="AG221:BC221"/>
    <mergeCell ref="G222:G233"/>
    <mergeCell ref="V222:AF222"/>
    <mergeCell ref="AG222:BC222"/>
    <mergeCell ref="H223:H233"/>
    <mergeCell ref="I223:I232"/>
    <mergeCell ref="P223:P232"/>
    <mergeCell ref="V223:AF223"/>
    <mergeCell ref="AG223:BC223"/>
    <mergeCell ref="J224:J227"/>
    <mergeCell ref="Q224:Q227"/>
    <mergeCell ref="V224:AF224"/>
    <mergeCell ref="AG224:BC224"/>
    <mergeCell ref="K225:K226"/>
    <mergeCell ref="BD185:BD186"/>
    <mergeCell ref="AD185:AD186"/>
    <mergeCell ref="AE185:AE186"/>
    <mergeCell ref="AF185:AF186"/>
    <mergeCell ref="AN185:AN186"/>
    <mergeCell ref="AO185:AO186"/>
    <mergeCell ref="AP185:AP186"/>
    <mergeCell ref="F207:F220"/>
    <mergeCell ref="V207:AF207"/>
    <mergeCell ref="AG207:BC207"/>
    <mergeCell ref="G208:G219"/>
    <mergeCell ref="V208:AF208"/>
    <mergeCell ref="AG208:BC208"/>
    <mergeCell ref="H209:H219"/>
    <mergeCell ref="I209:I218"/>
    <mergeCell ref="P209:P218"/>
    <mergeCell ref="V209:AF209"/>
    <mergeCell ref="AG209:BC209"/>
    <mergeCell ref="J210:J213"/>
    <mergeCell ref="Q210:Q213"/>
    <mergeCell ref="V210:AF210"/>
    <mergeCell ref="AG210:BC210"/>
    <mergeCell ref="K211:K212"/>
    <mergeCell ref="AC211:AC212"/>
    <mergeCell ref="AE173:AE174"/>
    <mergeCell ref="AF173:AF174"/>
    <mergeCell ref="AN173:AN174"/>
    <mergeCell ref="AO173:AO174"/>
    <mergeCell ref="AP173:AP174"/>
    <mergeCell ref="G182:G193"/>
    <mergeCell ref="V182:AF182"/>
    <mergeCell ref="AG182:BC182"/>
    <mergeCell ref="H183:H193"/>
    <mergeCell ref="I183:I192"/>
    <mergeCell ref="P183:P192"/>
    <mergeCell ref="V183:AF183"/>
    <mergeCell ref="AG183:BC183"/>
    <mergeCell ref="J184:J187"/>
    <mergeCell ref="Q184:Q187"/>
    <mergeCell ref="V184:AF184"/>
    <mergeCell ref="AG184:BC184"/>
    <mergeCell ref="K185:K186"/>
    <mergeCell ref="AC185:AC186"/>
    <mergeCell ref="AQ185:AQ186"/>
    <mergeCell ref="AY185:AY186"/>
    <mergeCell ref="AZ185:AZ186"/>
    <mergeCell ref="BA185:BA186"/>
    <mergeCell ref="BB185:BB186"/>
    <mergeCell ref="BD161:BD162"/>
    <mergeCell ref="AD161:AD162"/>
    <mergeCell ref="AE161:AE162"/>
    <mergeCell ref="AF161:AF162"/>
    <mergeCell ref="AN161:AN162"/>
    <mergeCell ref="AO161:AO162"/>
    <mergeCell ref="AP161:AP162"/>
    <mergeCell ref="G170:G181"/>
    <mergeCell ref="V170:AF170"/>
    <mergeCell ref="AG170:BC170"/>
    <mergeCell ref="H171:H181"/>
    <mergeCell ref="I171:I180"/>
    <mergeCell ref="P171:P180"/>
    <mergeCell ref="V171:AF171"/>
    <mergeCell ref="AG171:BC171"/>
    <mergeCell ref="J172:J175"/>
    <mergeCell ref="Q172:Q175"/>
    <mergeCell ref="V172:AF172"/>
    <mergeCell ref="AG172:BC172"/>
    <mergeCell ref="K173:K174"/>
    <mergeCell ref="AC173:AC174"/>
    <mergeCell ref="AQ173:AQ174"/>
    <mergeCell ref="BD173:BD174"/>
    <mergeCell ref="AD173:AD174"/>
    <mergeCell ref="AP149:AP150"/>
    <mergeCell ref="G158:G169"/>
    <mergeCell ref="V158:AF158"/>
    <mergeCell ref="AG158:BC158"/>
    <mergeCell ref="H159:H169"/>
    <mergeCell ref="I159:I168"/>
    <mergeCell ref="P159:P168"/>
    <mergeCell ref="V159:AF159"/>
    <mergeCell ref="AG159:BC159"/>
    <mergeCell ref="J160:J163"/>
    <mergeCell ref="Q160:Q163"/>
    <mergeCell ref="V160:AF160"/>
    <mergeCell ref="AG160:BC160"/>
    <mergeCell ref="K161:K162"/>
    <mergeCell ref="AC161:AC162"/>
    <mergeCell ref="AQ161:AQ162"/>
    <mergeCell ref="AC149:AC150"/>
    <mergeCell ref="AD149:AD150"/>
    <mergeCell ref="J152:J155"/>
    <mergeCell ref="Q152:Q155"/>
    <mergeCell ref="K153:K154"/>
    <mergeCell ref="J164:J167"/>
    <mergeCell ref="Q164:Q167"/>
    <mergeCell ref="K165:K166"/>
    <mergeCell ref="BD137:BD138"/>
    <mergeCell ref="AD137:AD138"/>
    <mergeCell ref="AE137:AE138"/>
    <mergeCell ref="AF137:AF138"/>
    <mergeCell ref="AN137:AN138"/>
    <mergeCell ref="AO137:AO138"/>
    <mergeCell ref="AP137:AP138"/>
    <mergeCell ref="G146:G157"/>
    <mergeCell ref="V146:AF146"/>
    <mergeCell ref="AG146:BC146"/>
    <mergeCell ref="H147:H157"/>
    <mergeCell ref="I147:I156"/>
    <mergeCell ref="P147:P156"/>
    <mergeCell ref="V147:AF147"/>
    <mergeCell ref="AG147:BC147"/>
    <mergeCell ref="J148:J151"/>
    <mergeCell ref="Q148:Q151"/>
    <mergeCell ref="V148:AF148"/>
    <mergeCell ref="AG148:BC148"/>
    <mergeCell ref="K149:K150"/>
    <mergeCell ref="AQ149:AQ150"/>
    <mergeCell ref="BD149:BD150"/>
    <mergeCell ref="AN149:AN150"/>
    <mergeCell ref="AO149:AO150"/>
    <mergeCell ref="AE125:AE126"/>
    <mergeCell ref="AF125:AF126"/>
    <mergeCell ref="AN125:AN126"/>
    <mergeCell ref="AO125:AO126"/>
    <mergeCell ref="AP125:AP126"/>
    <mergeCell ref="G134:G145"/>
    <mergeCell ref="V134:AF134"/>
    <mergeCell ref="AG134:BC134"/>
    <mergeCell ref="H135:H145"/>
    <mergeCell ref="I135:I144"/>
    <mergeCell ref="P135:P144"/>
    <mergeCell ref="V135:AF135"/>
    <mergeCell ref="AG135:BC135"/>
    <mergeCell ref="J136:J139"/>
    <mergeCell ref="Q136:Q139"/>
    <mergeCell ref="V136:AF136"/>
    <mergeCell ref="AG136:BC136"/>
    <mergeCell ref="K137:K138"/>
    <mergeCell ref="AC137:AC138"/>
    <mergeCell ref="AQ137:AQ138"/>
    <mergeCell ref="AY125:AY126"/>
    <mergeCell ref="AZ125:AZ126"/>
    <mergeCell ref="BA125:BA126"/>
    <mergeCell ref="BB125:BB126"/>
    <mergeCell ref="BD113:BD114"/>
    <mergeCell ref="AD113:AD114"/>
    <mergeCell ref="AE113:AE114"/>
    <mergeCell ref="AF113:AF114"/>
    <mergeCell ref="AN113:AN114"/>
    <mergeCell ref="AO113:AO114"/>
    <mergeCell ref="AP113:AP114"/>
    <mergeCell ref="G122:G133"/>
    <mergeCell ref="V122:AF122"/>
    <mergeCell ref="AG122:BC122"/>
    <mergeCell ref="H123:H133"/>
    <mergeCell ref="I123:I132"/>
    <mergeCell ref="P123:P132"/>
    <mergeCell ref="V123:AF123"/>
    <mergeCell ref="AG123:BC123"/>
    <mergeCell ref="J124:J127"/>
    <mergeCell ref="Q124:Q127"/>
    <mergeCell ref="V124:AF124"/>
    <mergeCell ref="AG124:BC124"/>
    <mergeCell ref="K125:K126"/>
    <mergeCell ref="AC125:AC126"/>
    <mergeCell ref="AQ125:AQ126"/>
    <mergeCell ref="BD125:BD126"/>
    <mergeCell ref="AD125:AD126"/>
    <mergeCell ref="AD99:AD100"/>
    <mergeCell ref="AE99:AE100"/>
    <mergeCell ref="AF99:AF100"/>
    <mergeCell ref="AN99:AN100"/>
    <mergeCell ref="AO99:AO100"/>
    <mergeCell ref="AP99:AP100"/>
    <mergeCell ref="F109:F206"/>
    <mergeCell ref="V109:AF109"/>
    <mergeCell ref="AG109:BC109"/>
    <mergeCell ref="G110:G121"/>
    <mergeCell ref="V110:AF110"/>
    <mergeCell ref="AG110:BC110"/>
    <mergeCell ref="H111:H121"/>
    <mergeCell ref="I111:I120"/>
    <mergeCell ref="P111:P120"/>
    <mergeCell ref="V111:AF111"/>
    <mergeCell ref="AG111:BC111"/>
    <mergeCell ref="J112:J115"/>
    <mergeCell ref="Q112:Q115"/>
    <mergeCell ref="V112:AF112"/>
    <mergeCell ref="AG112:BC112"/>
    <mergeCell ref="K113:K114"/>
    <mergeCell ref="AC113:AC114"/>
    <mergeCell ref="AQ113:AQ114"/>
    <mergeCell ref="AQ87:AQ88"/>
    <mergeCell ref="BD87:BD88"/>
    <mergeCell ref="AD87:AD88"/>
    <mergeCell ref="AE87:AE88"/>
    <mergeCell ref="AF87:AF88"/>
    <mergeCell ref="AN87:AN88"/>
    <mergeCell ref="AO87:AO88"/>
    <mergeCell ref="AP87:AP88"/>
    <mergeCell ref="G96:G107"/>
    <mergeCell ref="V96:AF96"/>
    <mergeCell ref="AG96:BC96"/>
    <mergeCell ref="H97:H107"/>
    <mergeCell ref="I97:I106"/>
    <mergeCell ref="P97:P106"/>
    <mergeCell ref="V97:AF97"/>
    <mergeCell ref="AG97:BC97"/>
    <mergeCell ref="J98:J101"/>
    <mergeCell ref="Q98:Q101"/>
    <mergeCell ref="V98:AF98"/>
    <mergeCell ref="AG98:BC98"/>
    <mergeCell ref="K99:K100"/>
    <mergeCell ref="AC99:AC100"/>
    <mergeCell ref="AQ99:AQ100"/>
    <mergeCell ref="BD99:BD100"/>
    <mergeCell ref="BD73:BD74"/>
    <mergeCell ref="AD73:AD74"/>
    <mergeCell ref="AE73:AE74"/>
    <mergeCell ref="AF73:AF74"/>
    <mergeCell ref="AN73:AN74"/>
    <mergeCell ref="AO73:AO74"/>
    <mergeCell ref="AP73:AP74"/>
    <mergeCell ref="F83:F108"/>
    <mergeCell ref="V83:AF83"/>
    <mergeCell ref="AG83:BC83"/>
    <mergeCell ref="G84:G95"/>
    <mergeCell ref="V84:AF84"/>
    <mergeCell ref="AG84:BC84"/>
    <mergeCell ref="H85:H95"/>
    <mergeCell ref="I85:I94"/>
    <mergeCell ref="P85:P94"/>
    <mergeCell ref="V85:AF85"/>
    <mergeCell ref="AG85:BC85"/>
    <mergeCell ref="J86:J89"/>
    <mergeCell ref="Q86:Q89"/>
    <mergeCell ref="V86:AF86"/>
    <mergeCell ref="AG86:BC86"/>
    <mergeCell ref="K87:K88"/>
    <mergeCell ref="AC87:AC88"/>
    <mergeCell ref="AD61:AD62"/>
    <mergeCell ref="AE61:AE62"/>
    <mergeCell ref="AF61:AF62"/>
    <mergeCell ref="AN61:AN62"/>
    <mergeCell ref="AO61:AO62"/>
    <mergeCell ref="AP61:AP62"/>
    <mergeCell ref="G70:G81"/>
    <mergeCell ref="V70:AF70"/>
    <mergeCell ref="AG70:BC70"/>
    <mergeCell ref="H71:H81"/>
    <mergeCell ref="I71:I80"/>
    <mergeCell ref="P71:P80"/>
    <mergeCell ref="V71:AF71"/>
    <mergeCell ref="AG71:BC71"/>
    <mergeCell ref="J72:J75"/>
    <mergeCell ref="Q72:Q75"/>
    <mergeCell ref="V72:AF72"/>
    <mergeCell ref="AG72:BC72"/>
    <mergeCell ref="K73:K74"/>
    <mergeCell ref="AC73:AC74"/>
    <mergeCell ref="AQ73:AQ74"/>
    <mergeCell ref="J64:J67"/>
    <mergeCell ref="Q64:Q67"/>
    <mergeCell ref="K65:K66"/>
    <mergeCell ref="BD47:BD48"/>
    <mergeCell ref="T286:BD286"/>
    <mergeCell ref="T288:BD288"/>
    <mergeCell ref="K47:K48"/>
    <mergeCell ref="AN47:AN48"/>
    <mergeCell ref="F57:F82"/>
    <mergeCell ref="V57:AF57"/>
    <mergeCell ref="AG57:BC57"/>
    <mergeCell ref="G58:G69"/>
    <mergeCell ref="V58:AF58"/>
    <mergeCell ref="AG58:BC58"/>
    <mergeCell ref="H59:H69"/>
    <mergeCell ref="I59:I68"/>
    <mergeCell ref="P59:P68"/>
    <mergeCell ref="V59:AF59"/>
    <mergeCell ref="AG59:BC59"/>
    <mergeCell ref="J60:J63"/>
    <mergeCell ref="Q60:Q63"/>
    <mergeCell ref="V60:AF60"/>
    <mergeCell ref="AG60:BC60"/>
    <mergeCell ref="K61:K62"/>
    <mergeCell ref="AC61:AC62"/>
    <mergeCell ref="AQ61:AQ62"/>
    <mergeCell ref="BD61:BD62"/>
    <mergeCell ref="V38:V40"/>
    <mergeCell ref="AD41:AE41"/>
    <mergeCell ref="AO41:AP41"/>
    <mergeCell ref="E42:E283"/>
    <mergeCell ref="V42:AF42"/>
    <mergeCell ref="AG42:BC42"/>
    <mergeCell ref="F43:F56"/>
    <mergeCell ref="V43:AF43"/>
    <mergeCell ref="AG43:BC43"/>
    <mergeCell ref="G44:G55"/>
    <mergeCell ref="V44:AF44"/>
    <mergeCell ref="AG44:BC44"/>
    <mergeCell ref="H45:H55"/>
    <mergeCell ref="I45:I54"/>
    <mergeCell ref="P45:P54"/>
    <mergeCell ref="V45:AF45"/>
    <mergeCell ref="AG45:BC45"/>
    <mergeCell ref="J46:J49"/>
    <mergeCell ref="Q46:Q49"/>
    <mergeCell ref="V46:AF46"/>
    <mergeCell ref="AG46:BC46"/>
    <mergeCell ref="AO47:AO48"/>
    <mergeCell ref="AP47:AP48"/>
    <mergeCell ref="AQ47:AQ48"/>
    <mergeCell ref="V28:AE28"/>
    <mergeCell ref="AG28:AP28"/>
    <mergeCell ref="BD36:BD40"/>
    <mergeCell ref="S37:S40"/>
    <mergeCell ref="T37:T40"/>
    <mergeCell ref="V37:AE37"/>
    <mergeCell ref="AF37:AF40"/>
    <mergeCell ref="AG37:AP37"/>
    <mergeCell ref="AQ37:AQ40"/>
    <mergeCell ref="S32:T32"/>
    <mergeCell ref="V32:AE32"/>
    <mergeCell ref="AG32:AP32"/>
    <mergeCell ref="S33:T33"/>
    <mergeCell ref="V33:AE33"/>
    <mergeCell ref="AG33:AP33"/>
    <mergeCell ref="BC37:BC40"/>
    <mergeCell ref="AD40:AE40"/>
    <mergeCell ref="AO40:AP40"/>
    <mergeCell ref="V35:AF35"/>
    <mergeCell ref="AG35:AQ35"/>
    <mergeCell ref="S36:BC36"/>
    <mergeCell ref="AN38:AP39"/>
    <mergeCell ref="AC38:AE39"/>
    <mergeCell ref="AL39:AM39"/>
    <mergeCell ref="S29:T29"/>
    <mergeCell ref="AG38:AG40"/>
    <mergeCell ref="BD7:BD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BC2"/>
    <mergeCell ref="F3:F12"/>
    <mergeCell ref="V3:AF3"/>
    <mergeCell ref="AG3:BC3"/>
    <mergeCell ref="G4:G11"/>
    <mergeCell ref="V4:AF4"/>
    <mergeCell ref="AG4:BC4"/>
    <mergeCell ref="H5:H11"/>
    <mergeCell ref="I5:I10"/>
    <mergeCell ref="P5:P10"/>
    <mergeCell ref="V5:AF5"/>
    <mergeCell ref="AG5:BC5"/>
    <mergeCell ref="J6:J9"/>
    <mergeCell ref="Q6:Q9"/>
    <mergeCell ref="V6:AF6"/>
    <mergeCell ref="AG6:BC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347:BD131353 S196883:BD196889 S262419:BD262425 S327955:BD327961 S393491:BD393497 S459027:BD459033 S524563:BD524569 S590099:BD590105 S655635:BD655641 S721171:BD721177 S786707:BD786713 S852243:BD852249 S917779:BD917785 S983315:BD983321 S65811:BD65817"/>
    <dataValidation type="list" allowBlank="1" showInputMessage="1" errorTitle="Ошибка" error="Выберите значение из списка" prompt="Выберите значение из списка" sqref="V983312:BC983312 V65808:BC65808 V131344:BC131344 V196880:BC196880 V262416:BC262416 V327952:BC327952 V393488:BC393488 V459024:BC459024 V524560:BC524560 V590096:BC590096 V655632:BC655632 V721168:BC721168 V786704:BC786704 V852240:BC852240 V917776:BC917776">
      <formula1>kind_of_cons</formula1>
    </dataValidation>
    <dataValidation type="list" allowBlank="1" showInputMessage="1" showErrorMessage="1" errorTitle="Ошибка" error="Выберите значение из списка" sqref="AG917775:AL917775 AG852239:AL852239 AG786703:AL786703 AG721167:AL721167 AG655631:AL655631 AG590095:AL590095 AG524559:AL524559 AG459023:AL459023 AG393487:AL393487 AG327951:AL327951 AG262415:AL262415 AG196879:AL196879 AG131343:AL131343 AG65807:AL65807 AG983311:AL983311 V983311:AB983311 V65807:AB65807 V131343:AB131343 V196879:AB196879 V262415:AB262415 V327951:AB327951 V393487:AB393487 V459023:AB459023 V524559:AB524559 V590095:AB590095 V655631:AB655631 V721167:AB721167 V786703:AB786703 V852239:AB852239 V917775:AB917775">
      <formula1>kind_of_scheme_in</formula1>
    </dataValidation>
    <dataValidation type="textLength" operator="lessThanOrEqual" allowBlank="1" showInputMessage="1" showErrorMessage="1" errorTitle="Ошибка" error="Допускается ввод не более 900 символов!" sqref="BD65803:BD65810 BD131339:BD131346 BD196875:BD196882 BD262411:BD262418 BD327947:BD327954 BD393483:BD393490 BD459019:BD459026 BD524555:BD524562 BD590091:BD590098 BD655627:BD655634 BD721163:BD721170 BD786699:BD786706 BD852235:BD852242 BD917771:BD917778 BD983307:BD983314 T47 T7 AG45:AQ45 BC45 AG5:AQ5 BC5 AG59 AH59 AI59 AJ59 AK59 AL59 AM59 AN59 AO59 AP59 AQ59 BC59 T61 AG71 AH71 AI71 AJ71 AK71 AL71 AM71 AN71 AO71 AP71 AQ71 BC71 T73 AG85 AH85 AI85 AJ85 AK85 AL85 AM85 AN85 AO85 AP85 AQ85 BC85 T87 AG97 AH97 AI97 AJ97 AK97 AL97 AM97 AN97 AO97 AP97 AQ97 BC97 T99 AG111 AH111 AI111 AJ111 AK111 AL111 AM111 AN111 AO111 AP111 AQ111 BC111 T113 AG123 AH123 AI123 AJ123 AK123 AL123 AM123 AN123 AO123 AP123 AQ123 BC123 T125 AG135 AH135 AI135 AJ135 AK135 AL135 AM135 AN135 AO135 AP135 AQ135 BC135 T137 AG147 AH147 AI147 AJ147 AK147 AL147 AM147 AN147 AO147 AP147 AQ147 BC147 T149 AG159 AH159 AI159 AJ159 AK159 AL159 AM159 AN159 AO159 AP159 AQ159 BC159 T161 AG171 AH171 AI171 AJ171 AK171 AL171 AM171 AN171 AO171 AP171 AQ171 BC171 T173 AG183 AH183 AI183 AJ183 AK183 AL183 AM183 AN183 AO183 AP183 AQ183 BC183 T185 AG209 AH209 AI209 AJ209 AK209 AL209 AM209 AN209 AO209 AP209 AQ209 BC209 T211 AG223 AH223 AI223 AJ223 AK223 AL223 AM223 AN223 AO223 AP223 AQ223 BC223 T225 AG235 AH235 AI235 AJ235 AK235 AL235 AM235 AN235 AO235 AP235 AQ235 BC235 T237 AG247 AH247 AI247 AJ247 AK247 AL247 AM247 AN247 AO247 AP247 AQ247 BC247 T249 AG259 AH259 AI259 AJ259 AK259 AL259 AM259 AN259 AO259 AP259 AQ259 BC259 T261 AG271 AH271 AI271 AJ271 AK271 AL271 AM271 AN271 AO271 AP271 AQ271 BC271 T273 T153 T141 T253 T265 T91 T103 T215 T65 T77 T51 T229 T241 T277 T117 T129 T165 T177 T189 AG195 AH195 AI195 AJ195 AK195 AL195 AM195 AN195 AO195 AP195 AQ195 BC195 T197 T201">
      <formula1>900</formula1>
    </dataValidation>
    <dataValidation type="list" allowBlank="1" showInputMessage="1" showErrorMessage="1" errorTitle="Ошибка" error="Выберите значение из списка" sqref="T65809 T131345 T196881 T262417 T327953 T393489 T459025 T524561 T590097 T655633 T721169 T786705 T852241 T917777 T98331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809 AC131345 AC196881 AC262417 AC327953 AC393489 AC459025 AC524561 AC590097 AC655633 AC721169 AC786705 AC852241 AC917777 AC983313 AE65809 AE131345 AE196881 AE262417 AE327953 AE393489 AE459025 AE524561 AE590097 AE655633 AE721169 AE786705 AE852241 AE917777 AE983313 AN15 AN65809 AN131345 AN196881 AN262417 AN327953 AN393489 AN459025 AN524561 AN590097 AN655633 AN721169 AN786705 AN852241 AN917777 AN983313 AP65809 AP131345 AP196881 AP262417 AP327953 AP393489 AP459025 AP524561 AP590097 AP655633 AP721169 AP786705 AP852241 AP917777 AP983313 AP47 AN47 AP15 AP7 AN7 AC7 AE7 AC47 AE47 AC61 AE61 AN61 AP61 AC73 AE73 AN73 AP73 AC87 AE87 AN87 AP87 AC99 AE99 AN99 AP99 AC113 AE113 AN113 AP113 AC125 AE125 AN125 AP125 AC137 AE137 AN137 AP137 AC149 AE149 AN149 AP149 AC161 AE161 AN161 AP161 AC173 AE173 AN173 AP173 AC185 AE185 AN185 AP185 AC211 AE211 AN211 AP211 AC225 AE225 AN225 AP225 AC237 AE237 AN237 AP237 AC249 AE249 AN249 AP249 AC261 AE261 AN261 AP261 AC273 AE273 AN273 AP273 AY7 BA7 AY47 BA47 AY61 BA61 AY73 BA73 AY87 BA87 AY99 BA99 AY113 BA113 AY125 BA125 AY137 BA137 AY149 BA149 AY161 BA161 AY173 BA173 AY185 BA185 AY211 BA211 AY225 BA225 AY237 BA237 AY249 BA249 AY261 BA261 AY273 BA273 AC153 AE153 AN153 AP153 AY153 BA153 AC141 AE141 AN141 AP141 AY141 BA141 AC253 AE253 AN253 AP253 AY253 BA253 AC265 AE265 AN265 AP265 AY265 BA265 AC91 AE91 AN91 AP91 AY91 BA91 AC103 AE103 AN103 AP103 AY103 BA103 AC215 AE215 AN215 AP215 AY215 BA215 AC65 AE65 AN65 AP65 AY65 BA65 AC77 AE77 AN77 AP77 AY77 BA77 AC51 AE51 AN51 AP51 AY51 BA51 AC229 AE229 AN229 AP229 AY229 BA229 AC241 AE241 AN241 AP241 AY241 BA241 AC277 AE277 AN277 AP277 AY277 BA277 AC117 AE117 AN117 AP117 AY117 BA117 AC129 AE129 AN129 AP129 AY129 BA129 AC165 AE165 AN165 AP165 AY165 BA165 AC177 AE177 AN177 AP177 AY177 BA177 AC189 AE189 AN189 AP189 AY189 BA189 AC197 AE197 AN197 AP197 AY197 BA197 AC201 AE201 AN201 AP201 AY201 BA201"/>
    <dataValidation allowBlank="1" showInputMessage="1" showErrorMessage="1" prompt="Для выбора выполните двойной щелчок левой клавиши мыши по соответствующей ячейке." sqref="AD65809 AD131345 AD196881 AD262417 AD327953 AD393489 AD459025 AD524561 AD590097 AD655633 AD721169 AD786705 AD852241 AD917777 AD983313 AF131345 AF459025 AF196881 AF262417 AF327953 AF393489 AF524561 AF590097 AF655633 AF721169 AF786705 AF852241 AF917777 AF983313 AF65809 AO65809 AO131345 AO196881 AO262417 AO327953 AO393489 AO459025 AO524561 AO590097 AO655633 AO721169 AO786705 AO852241 AO917777 AO983313 AQ524561:BB524561 AQ196881:BB196881 AQ590097:BB590097 AQ655633:BB655633 AQ15 AQ721169:BB721169 AQ786705:BB786705 AQ852241:BB852241 AQ917777:BB917777 AQ983313:BB983313 AQ65809:BB65809 AQ131345:BB131345 AQ459025:BB459025 AQ262417:BB262417 AQ7 AZ7 BB7 AO47 AQ327953:BB327953 AO15 AO7 AD7 AF7 AQ393489:BB393489 AQ47 AZ47 BB47 AD47 AF47 AD61 AF61 AO61 AQ61 AZ61 BB61 AD73 AF73 AO73 AQ73 AZ73 BB73 AD87 AF87 AO87 AQ87 AZ87 BB87 AD99 AF99 AO99 AQ99 AZ99 BB99 AD113 AF113 AO113 AQ113 AZ113 BB113 AD125 AF125 AO125 AQ125 AZ125 BB125 AD137 AF137 AO137 AQ137 AZ137 BB137 AD149 AF149 AO149 AQ149 AZ149 BB149 AD161 AF161 AO161 AQ161 AZ161 BB161 AD173 AF173 AO173 AQ173 AZ173 BB173 AD185 AF185 AO185 AQ185 AZ185 BB185 AD211 AF211 AO211 AQ211 AZ211 BB211 AD225 AF225 AO225 AQ225 AZ225 BB225 AD237 AF237 AO237 AQ237 AZ237 BB237 AD249 AF249 AO249 AQ249 AZ249 BB249 AD261 AF261 AO261 AQ261 AZ261 BB261 AD273 AF273 AO273 AQ273 AZ273 BB273 AD153 AF153 AO153 AQ153 AZ153 BB153 AD141 AF141 AO141 AQ141 AZ141 BB141 AD253 AF253 AO253 AQ253 AZ253 BB253 AD265 AF265 AO265 AQ265 AZ265 BB265 AD91 AF91 AO91 AQ91 AZ91 BB91 AD103 AF103 AO103 AQ103 AZ103 BB103 AD215 AF215 AO215 AQ215 AZ215 BB215 AD65 AF65 AO65 AQ65 AZ65 BB65 AD77 AF77 AO77 AQ77 AZ77 BB77 AD51 AF51 AO51 AQ51 AZ51 BB51 AD229 AF229 AO229 AQ229 AZ229 BB229 AD241 AF241 AO241 AQ241 AZ241 BB241 AD277 AF277 AO277 AQ277 AZ277 BB277 AD117 AF117 AO117 AQ117 AZ117 BB117 AD129 AF129 AO129 AQ129 AZ129 BB129 AD165 AF165 AO165 AQ165 AZ165 BB165 AD177 AF177 AO177 AQ177 AZ177 BB177 AD189 AF189 AO189 AQ189 AZ189 BB189 AD197 AF197 AO197 AQ197 AZ197 BB197 AD201 AF201 AO201 AQ201 AZ201 BB20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4.140625" style="4854" hidden="1" customWidth="1"/>
    <col min="10" max="10" width="9.85546875" style="4854" hidden="1" customWidth="1"/>
    <col min="11" max="11" width="14.7109375" style="4854" hidden="1" customWidth="1"/>
    <col min="12" max="12" width="19.140625" style="4880" hidden="1" customWidth="1"/>
    <col min="13" max="14" width="12.28515625" style="4858" hidden="1" customWidth="1"/>
    <col min="15" max="15" width="23.42578125" style="4858" hidden="1" customWidth="1"/>
    <col min="16" max="16" width="3.7109375" style="4881" customWidth="1"/>
    <col min="17" max="18" width="3.7109375" style="4860" customWidth="1"/>
    <col min="19" max="19" width="12.7109375" style="4861" customWidth="1"/>
    <col min="20" max="20" width="35.7109375" style="4862" customWidth="1"/>
    <col min="21" max="21" width="0.140625" style="4862" customWidth="1"/>
    <col min="22" max="22" width="19.7109375" style="4862" hidden="1" customWidth="1"/>
    <col min="23" max="27" width="19.7109375" style="4868" hidden="1" customWidth="1"/>
    <col min="28" max="28" width="19.7109375" style="4862" hidden="1" customWidth="1"/>
    <col min="29" max="29" width="11.7109375" style="4862" hidden="1" customWidth="1"/>
    <col min="30" max="30" width="3.7109375" style="4862" hidden="1" customWidth="1"/>
    <col min="31" max="31" width="11.7109375" style="4862" hidden="1" customWidth="1"/>
    <col min="32" max="32" width="8.5703125" style="4862" hidden="1" customWidth="1"/>
    <col min="33" max="33" width="19.7109375" style="4862" customWidth="1"/>
    <col min="34" max="38" width="19.7109375" style="4868" customWidth="1"/>
    <col min="39" max="39" width="19.7109375" style="4862" customWidth="1"/>
    <col min="40" max="40" width="11.7109375" style="4862" customWidth="1"/>
    <col min="41" max="41" width="3.7109375" style="4862" customWidth="1"/>
    <col min="42" max="42" width="11.7109375" style="4862" customWidth="1"/>
    <col min="43" max="43" width="8.5703125" style="4862" hidden="1" customWidth="1"/>
    <col min="44" max="44" width="4.7109375" style="4862" customWidth="1"/>
    <col min="45" max="45" width="115.7109375" style="4862" customWidth="1"/>
    <col min="46" max="47" width="10.5703125" style="4856"/>
    <col min="48" max="48" width="11.140625" style="4856" customWidth="1"/>
    <col min="49" max="50" width="10.5703125" style="4856"/>
  </cols>
  <sheetData>
    <row r="1" spans="1:50" ht="14.25" hidden="1" customHeight="1">
      <c r="AB1" s="245"/>
      <c r="AC1" s="245"/>
      <c r="AM1" s="245"/>
      <c r="AN1" s="245"/>
    </row>
    <row r="2" spans="1:50" ht="23.25" hidden="1" customHeight="1">
      <c r="A2" s="1241"/>
      <c r="B2" s="1241"/>
      <c r="C2" s="1241"/>
      <c r="D2" s="1241"/>
      <c r="E2" s="5376">
        <v>1</v>
      </c>
      <c r="F2" s="1241"/>
      <c r="G2" s="1241"/>
      <c r="H2" s="1241"/>
      <c r="I2" s="1241"/>
      <c r="J2" s="1241"/>
      <c r="K2" s="1241"/>
      <c r="L2" s="1242"/>
      <c r="M2" s="1243"/>
      <c r="N2" s="1243"/>
      <c r="O2" s="1243"/>
      <c r="P2" s="278"/>
      <c r="Q2" s="277"/>
      <c r="R2" s="272"/>
      <c r="S2" s="1365" t="e">
        <f>INDEX(PT_DIFFERENTIATION_NUM_NTAR,MATCH(A2,PT_DIFFERENTIATION_NTAR_ID,0))</f>
        <v>#N/A</v>
      </c>
      <c r="T2" s="216" t="s">
        <v>141</v>
      </c>
      <c r="U2" s="218"/>
      <c r="V2" s="5362"/>
      <c r="W2" s="5363"/>
      <c r="X2" s="5363"/>
      <c r="Y2" s="5363"/>
      <c r="Z2" s="5363"/>
      <c r="AA2" s="5363"/>
      <c r="AB2" s="5363"/>
      <c r="AC2" s="5363"/>
      <c r="AD2" s="5363"/>
      <c r="AE2" s="5363"/>
      <c r="AF2" s="5364"/>
      <c r="AG2" s="5362" t="e">
        <f>INDEX(PT_DIFFERENTIATION_NTAR,MATCH(A2,PT_DIFFERENTIATION_NTAR_ID,0))</f>
        <v>#N/A</v>
      </c>
      <c r="AH2" s="5363"/>
      <c r="AI2" s="5363"/>
      <c r="AJ2" s="5363"/>
      <c r="AK2" s="5363"/>
      <c r="AL2" s="5363"/>
      <c r="AM2" s="5363"/>
      <c r="AN2" s="5363"/>
      <c r="AO2" s="5363"/>
      <c r="AP2" s="5363"/>
      <c r="AQ2" s="5363"/>
      <c r="AR2" s="5364"/>
      <c r="AS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08"/>
      <c r="AV2" s="408" t="str">
        <f t="shared" ref="AV2:AV13" si="0">IF(T2="","",T2)</f>
        <v>Наименование тарифа</v>
      </c>
      <c r="AW2" s="408"/>
      <c r="AX2" s="408"/>
    </row>
    <row r="3" spans="1:50" ht="23.25" hidden="1" customHeight="1">
      <c r="A3" s="1241"/>
      <c r="B3" s="1241"/>
      <c r="C3" s="1241"/>
      <c r="D3" s="1241"/>
      <c r="E3" s="5377"/>
      <c r="F3" s="5376">
        <v>1</v>
      </c>
      <c r="G3" s="1241"/>
      <c r="H3" s="1241"/>
      <c r="I3" s="1241"/>
      <c r="J3" s="1241"/>
      <c r="K3" s="1241"/>
      <c r="L3" s="1242"/>
      <c r="M3" s="1243"/>
      <c r="N3" s="1243"/>
      <c r="O3" s="1243"/>
      <c r="P3" s="1359"/>
      <c r="Q3" s="269"/>
      <c r="R3" s="270"/>
      <c r="S3" s="1365" t="e">
        <f>INDEX(PT_DIFFERENTIATION_NUM_TER,MATCH(B3,PT_DIFFERENTIATION_TER_ID,0))</f>
        <v>#N/A</v>
      </c>
      <c r="T3" s="226" t="s">
        <v>475</v>
      </c>
      <c r="U3" s="218"/>
      <c r="V3" s="5362"/>
      <c r="W3" s="5363"/>
      <c r="X3" s="5363"/>
      <c r="Y3" s="5363"/>
      <c r="Z3" s="5363"/>
      <c r="AA3" s="5363"/>
      <c r="AB3" s="5363"/>
      <c r="AC3" s="5363"/>
      <c r="AD3" s="5363"/>
      <c r="AE3" s="5363"/>
      <c r="AF3" s="5364"/>
      <c r="AG3" s="5362" t="e">
        <f>INDEX(PT_DIFFERENTIATION_TER,MATCH(B3,PT_DIFFERENTIATION_TER_ID,0))</f>
        <v>#N/A</v>
      </c>
      <c r="AH3" s="5363"/>
      <c r="AI3" s="5363"/>
      <c r="AJ3" s="5363"/>
      <c r="AK3" s="5363"/>
      <c r="AL3" s="5363"/>
      <c r="AM3" s="5363"/>
      <c r="AN3" s="5363"/>
      <c r="AO3" s="5363"/>
      <c r="AP3" s="5363"/>
      <c r="AQ3" s="5363"/>
      <c r="AR3" s="5364"/>
      <c r="AS3" s="1141" t="s">
        <v>476</v>
      </c>
      <c r="AU3" s="408"/>
      <c r="AV3" s="408" t="str">
        <f t="shared" si="0"/>
        <v>Территория действия тарифа</v>
      </c>
      <c r="AW3" s="408"/>
      <c r="AX3" s="408"/>
    </row>
    <row r="4" spans="1:50" ht="23.25" hidden="1" customHeight="1">
      <c r="A4" s="1241"/>
      <c r="B4" s="1241"/>
      <c r="C4" s="1241"/>
      <c r="D4" s="1241"/>
      <c r="E4" s="5377"/>
      <c r="F4" s="5377"/>
      <c r="G4" s="5376">
        <v>1</v>
      </c>
      <c r="H4" s="1241"/>
      <c r="I4" s="1241"/>
      <c r="J4" s="1241"/>
      <c r="K4" s="1241"/>
      <c r="L4" s="1242"/>
      <c r="M4" s="1243"/>
      <c r="N4" s="1243"/>
      <c r="O4" s="1243"/>
      <c r="P4" s="271"/>
      <c r="Q4" s="269"/>
      <c r="R4" s="270"/>
      <c r="S4" s="1365" t="e">
        <f>INDEX(PT_DIFFERENTIATION_NUM_CS,MATCH(C4,PT_DIFFERENTIATION_CS_ID,0))</f>
        <v>#N/A</v>
      </c>
      <c r="T4" s="227" t="s">
        <v>606</v>
      </c>
      <c r="U4" s="218"/>
      <c r="V4" s="5362"/>
      <c r="W4" s="5363"/>
      <c r="X4" s="5363"/>
      <c r="Y4" s="5363"/>
      <c r="Z4" s="5363"/>
      <c r="AA4" s="5363"/>
      <c r="AB4" s="5363"/>
      <c r="AC4" s="5363"/>
      <c r="AD4" s="5363"/>
      <c r="AE4" s="5363"/>
      <c r="AF4" s="5364"/>
      <c r="AG4" s="5362" t="e">
        <f>INDEX(PT_DIFFERENTIATION_CS,MATCH(C4,PT_DIFFERENTIATION_CS_ID,0))</f>
        <v>#N/A</v>
      </c>
      <c r="AH4" s="5363"/>
      <c r="AI4" s="5363"/>
      <c r="AJ4" s="5363"/>
      <c r="AK4" s="5363"/>
      <c r="AL4" s="5363"/>
      <c r="AM4" s="5363"/>
      <c r="AN4" s="5363"/>
      <c r="AO4" s="5363"/>
      <c r="AP4" s="5363"/>
      <c r="AQ4" s="5363"/>
      <c r="AR4" s="5364"/>
      <c r="AS4" s="1141" t="s">
        <v>607</v>
      </c>
      <c r="AU4" s="408"/>
      <c r="AV4" s="408" t="str">
        <f t="shared" si="0"/>
        <v>Наименование централизованной системы горячего водоснабжения</v>
      </c>
      <c r="AW4" s="408"/>
      <c r="AX4" s="408"/>
    </row>
    <row r="5" spans="1:50" ht="23.25" hidden="1" customHeight="1">
      <c r="A5" s="1241"/>
      <c r="B5" s="1241"/>
      <c r="C5" s="1241"/>
      <c r="D5" s="1241"/>
      <c r="E5" s="5377"/>
      <c r="F5" s="5377"/>
      <c r="G5" s="5377"/>
      <c r="H5" s="5377"/>
      <c r="I5" s="5374" t="e">
        <f>S4&amp;".1"</f>
        <v>#N/A</v>
      </c>
      <c r="J5" s="1241"/>
      <c r="K5" s="1241"/>
      <c r="L5" s="1242"/>
      <c r="P5" s="5375">
        <v>1</v>
      </c>
      <c r="Q5" s="1353"/>
      <c r="R5" s="273"/>
      <c r="S5" s="1365" t="e">
        <f>$I5</f>
        <v>#N/A</v>
      </c>
      <c r="T5" s="203" t="s">
        <v>559</v>
      </c>
      <c r="U5" s="218"/>
      <c r="V5" s="5435"/>
      <c r="W5" s="5436"/>
      <c r="X5" s="5436"/>
      <c r="Y5" s="5436"/>
      <c r="Z5" s="5436"/>
      <c r="AA5" s="5436"/>
      <c r="AB5" s="5436"/>
      <c r="AC5" s="5436"/>
      <c r="AD5" s="5436"/>
      <c r="AE5" s="5436"/>
      <c r="AF5" s="5437"/>
      <c r="AG5" s="5438"/>
      <c r="AH5" s="5439"/>
      <c r="AI5" s="5439"/>
      <c r="AJ5" s="5439"/>
      <c r="AK5" s="5439"/>
      <c r="AL5" s="5439"/>
      <c r="AM5" s="5439"/>
      <c r="AN5" s="5439"/>
      <c r="AO5" s="5439"/>
      <c r="AP5" s="5439"/>
      <c r="AQ5" s="5439"/>
      <c r="AR5" s="5440"/>
      <c r="AS5" s="1141" t="s">
        <v>560</v>
      </c>
      <c r="AU5" s="408"/>
      <c r="AV5" s="408" t="str">
        <f t="shared" si="0"/>
        <v>Наименование признака дифференциации</v>
      </c>
      <c r="AW5" s="408"/>
      <c r="AX5" s="408"/>
    </row>
    <row r="6" spans="1:50" ht="23.25" hidden="1" customHeight="1">
      <c r="A6" s="1241"/>
      <c r="B6" s="1241"/>
      <c r="C6" s="1241"/>
      <c r="D6" s="1241"/>
      <c r="E6" s="5377"/>
      <c r="F6" s="5377"/>
      <c r="G6" s="5377"/>
      <c r="H6" s="5377"/>
      <c r="I6" s="5397"/>
      <c r="J6" s="5374" t="e">
        <f>I5&amp;".1"</f>
        <v>#N/A</v>
      </c>
      <c r="K6" s="1241"/>
      <c r="L6" s="1242" t="s">
        <v>484</v>
      </c>
      <c r="P6" s="5375"/>
      <c r="Q6" s="5375">
        <v>1</v>
      </c>
      <c r="R6" s="274"/>
      <c r="S6" s="1365" t="e">
        <f>$J6</f>
        <v>#N/A</v>
      </c>
      <c r="T6" s="204" t="s">
        <v>485</v>
      </c>
      <c r="U6" s="218"/>
      <c r="V6" s="5365"/>
      <c r="W6" s="5366"/>
      <c r="X6" s="5366"/>
      <c r="Y6" s="5366"/>
      <c r="Z6" s="5366"/>
      <c r="AA6" s="5366"/>
      <c r="AB6" s="5366"/>
      <c r="AC6" s="5366"/>
      <c r="AD6" s="5366"/>
      <c r="AE6" s="5366"/>
      <c r="AF6" s="5367"/>
      <c r="AG6" s="5365"/>
      <c r="AH6" s="5366"/>
      <c r="AI6" s="5366"/>
      <c r="AJ6" s="5366"/>
      <c r="AK6" s="5366"/>
      <c r="AL6" s="5366"/>
      <c r="AM6" s="5366"/>
      <c r="AN6" s="5366"/>
      <c r="AO6" s="5366"/>
      <c r="AP6" s="5366"/>
      <c r="AQ6" s="5366"/>
      <c r="AR6" s="5367"/>
      <c r="AS6" s="1188" t="s">
        <v>561</v>
      </c>
      <c r="AU6" s="408"/>
      <c r="AV6" s="408" t="str">
        <f t="shared" si="0"/>
        <v>Группа потребителей</v>
      </c>
      <c r="AW6" s="408"/>
      <c r="AX6" s="408"/>
    </row>
    <row r="7" spans="1:50" ht="23.25" hidden="1" customHeight="1">
      <c r="A7" s="1241"/>
      <c r="B7" s="1241"/>
      <c r="C7" s="1241"/>
      <c r="D7" s="1241"/>
      <c r="E7" s="5377"/>
      <c r="F7" s="5377"/>
      <c r="G7" s="5377"/>
      <c r="H7" s="5377"/>
      <c r="I7" s="5397"/>
      <c r="J7" s="5397"/>
      <c r="K7" s="5374" t="e">
        <f>J6&amp;".1"</f>
        <v>#N/A</v>
      </c>
      <c r="L7" s="1242"/>
      <c r="P7" s="5375"/>
      <c r="Q7" s="5375"/>
      <c r="R7" s="274">
        <v>1</v>
      </c>
      <c r="S7" s="1365" t="e">
        <f>$K7</f>
        <v>#N/A</v>
      </c>
      <c r="T7" s="1314"/>
      <c r="U7" s="218"/>
      <c r="V7" s="650"/>
      <c r="W7" s="650"/>
      <c r="X7" s="650"/>
      <c r="Y7" s="650"/>
      <c r="Z7" s="650"/>
      <c r="AA7" s="650"/>
      <c r="AB7" s="1140"/>
      <c r="AC7" s="5379"/>
      <c r="AD7" s="5225" t="s">
        <v>64</v>
      </c>
      <c r="AE7" s="5379"/>
      <c r="AF7" s="5225" t="s">
        <v>64</v>
      </c>
      <c r="AG7" s="650"/>
      <c r="AH7" s="650"/>
      <c r="AI7" s="650"/>
      <c r="AJ7" s="650"/>
      <c r="AK7" s="650"/>
      <c r="AL7" s="650"/>
      <c r="AM7" s="1140"/>
      <c r="AN7" s="5379"/>
      <c r="AO7" s="5225" t="s">
        <v>64</v>
      </c>
      <c r="AP7" s="5398"/>
      <c r="AQ7" s="5225" t="s">
        <v>64</v>
      </c>
      <c r="AR7" s="1315"/>
      <c r="AS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9" t="e">
        <f ca="1">STRCHECKDATE(V8:AR8)</f>
        <v>#NAME?</v>
      </c>
      <c r="AU7" s="408"/>
      <c r="AV7" s="408" t="str">
        <f t="shared" si="0"/>
        <v/>
      </c>
      <c r="AW7" s="408"/>
      <c r="AX7" s="408"/>
    </row>
    <row r="8" spans="1:50" ht="14.25" hidden="1" customHeight="1">
      <c r="A8" s="1241"/>
      <c r="B8" s="1241"/>
      <c r="C8" s="1241"/>
      <c r="D8" s="1241"/>
      <c r="E8" s="5377"/>
      <c r="F8" s="5377"/>
      <c r="G8" s="5377"/>
      <c r="H8" s="5377"/>
      <c r="I8" s="5397"/>
      <c r="J8" s="5397"/>
      <c r="K8" s="5374"/>
      <c r="L8" s="1242"/>
      <c r="P8" s="5375"/>
      <c r="Q8" s="5375"/>
      <c r="R8" s="274"/>
      <c r="S8" s="1362"/>
      <c r="T8" s="218"/>
      <c r="U8" s="218"/>
      <c r="V8" s="243"/>
      <c r="W8" s="243"/>
      <c r="X8" s="243"/>
      <c r="Y8" s="243"/>
      <c r="Z8" s="243"/>
      <c r="AA8" s="243"/>
      <c r="AB8" s="246" t="str">
        <f>AC7&amp;"-"&amp;AE7</f>
        <v>-</v>
      </c>
      <c r="AC8" s="5380"/>
      <c r="AD8" s="5225"/>
      <c r="AE8" s="5380"/>
      <c r="AF8" s="5225"/>
      <c r="AG8" s="243"/>
      <c r="AH8" s="243"/>
      <c r="AI8" s="243"/>
      <c r="AJ8" s="243"/>
      <c r="AK8" s="243"/>
      <c r="AL8" s="243"/>
      <c r="AM8" s="246" t="str">
        <f>AN7&amp;"-"&amp;AP7</f>
        <v>-</v>
      </c>
      <c r="AN8" s="5380"/>
      <c r="AO8" s="5225"/>
      <c r="AP8" s="5399"/>
      <c r="AQ8" s="5225"/>
      <c r="AR8" s="1316"/>
      <c r="AS8" s="5434"/>
      <c r="AU8" s="408"/>
      <c r="AV8" s="408" t="str">
        <f t="shared" si="0"/>
        <v/>
      </c>
      <c r="AW8" s="408"/>
      <c r="AX8" s="408"/>
    </row>
    <row r="9" spans="1:50" ht="21" hidden="1" customHeight="1">
      <c r="A9" s="1241"/>
      <c r="B9" s="1241"/>
      <c r="C9" s="1241"/>
      <c r="D9" s="1241"/>
      <c r="E9" s="5377"/>
      <c r="F9" s="5377"/>
      <c r="G9" s="5377"/>
      <c r="H9" s="5377"/>
      <c r="I9" s="5397"/>
      <c r="J9" s="5374"/>
      <c r="K9" s="1241"/>
      <c r="L9" s="1242"/>
      <c r="P9" s="5375"/>
      <c r="Q9" s="5375"/>
      <c r="R9" s="273"/>
      <c r="S9" s="1161"/>
      <c r="T9" s="205" t="s">
        <v>562</v>
      </c>
      <c r="U9" s="283"/>
      <c r="V9" s="283"/>
      <c r="W9" s="504"/>
      <c r="X9" s="504"/>
      <c r="Y9" s="504"/>
      <c r="Z9" s="504"/>
      <c r="AA9" s="504"/>
      <c r="AB9" s="283"/>
      <c r="AC9" s="283"/>
      <c r="AD9" s="283"/>
      <c r="AE9" s="283"/>
      <c r="AF9" s="283"/>
      <c r="AG9" s="283"/>
      <c r="AH9" s="504"/>
      <c r="AI9" s="504"/>
      <c r="AJ9" s="504"/>
      <c r="AK9" s="504"/>
      <c r="AL9" s="504"/>
      <c r="AM9" s="283"/>
      <c r="AN9" s="283"/>
      <c r="AO9" s="283"/>
      <c r="AP9" s="283"/>
      <c r="AQ9" s="283"/>
      <c r="AR9" s="283"/>
      <c r="AS9" s="1141" t="s">
        <v>563</v>
      </c>
      <c r="AU9" s="408"/>
      <c r="AV9" s="408" t="str">
        <f t="shared" si="0"/>
        <v>Добавить значение признака дифференциации</v>
      </c>
      <c r="AW9" s="408"/>
      <c r="AX9" s="408"/>
    </row>
    <row r="10" spans="1:50" ht="21" hidden="1" customHeight="1">
      <c r="A10" s="1241"/>
      <c r="B10" s="1241"/>
      <c r="C10" s="1241"/>
      <c r="D10" s="1241"/>
      <c r="E10" s="5377"/>
      <c r="F10" s="5377"/>
      <c r="G10" s="5377"/>
      <c r="H10" s="5377"/>
      <c r="I10" s="5374"/>
      <c r="J10" s="1241"/>
      <c r="K10" s="1241"/>
      <c r="L10" s="1242"/>
      <c r="P10" s="5375"/>
      <c r="Q10" s="1353"/>
      <c r="R10" s="273"/>
      <c r="S10" s="1161"/>
      <c r="T10" s="281" t="s">
        <v>490</v>
      </c>
      <c r="U10" s="283"/>
      <c r="V10" s="283"/>
      <c r="W10" s="504"/>
      <c r="X10" s="504"/>
      <c r="Y10" s="504"/>
      <c r="Z10" s="504"/>
      <c r="AA10" s="504"/>
      <c r="AB10" s="283"/>
      <c r="AC10" s="283"/>
      <c r="AD10" s="283"/>
      <c r="AE10" s="283"/>
      <c r="AF10" s="282"/>
      <c r="AG10" s="283"/>
      <c r="AH10" s="504"/>
      <c r="AI10" s="504"/>
      <c r="AJ10" s="504"/>
      <c r="AK10" s="504"/>
      <c r="AL10" s="504"/>
      <c r="AM10" s="283"/>
      <c r="AN10" s="283"/>
      <c r="AO10" s="283"/>
      <c r="AP10" s="283"/>
      <c r="AQ10" s="282"/>
      <c r="AR10" s="283"/>
      <c r="AS10" s="1317"/>
      <c r="AU10" s="408"/>
      <c r="AV10" s="408" t="str">
        <f t="shared" si="0"/>
        <v>Добавить группу потребителей</v>
      </c>
      <c r="AW10" s="408"/>
      <c r="AX10" s="408"/>
    </row>
    <row r="11" spans="1:50" ht="21" hidden="1" customHeight="1">
      <c r="A11" s="1241"/>
      <c r="B11" s="1241"/>
      <c r="C11" s="1241"/>
      <c r="D11" s="1241"/>
      <c r="E11" s="5377"/>
      <c r="F11" s="5377"/>
      <c r="G11" s="5377"/>
      <c r="H11" s="5376"/>
      <c r="I11" s="1241"/>
      <c r="J11" s="1241"/>
      <c r="K11" s="1241"/>
      <c r="L11" s="1242"/>
      <c r="M11" s="1243"/>
      <c r="N11" s="1243"/>
      <c r="O11" s="444"/>
      <c r="P11" s="277"/>
      <c r="Q11" s="291"/>
      <c r="R11" s="272"/>
      <c r="S11" s="1161"/>
      <c r="T11" s="288" t="s">
        <v>564</v>
      </c>
      <c r="U11" s="283"/>
      <c r="V11" s="283"/>
      <c r="W11" s="504"/>
      <c r="X11" s="504"/>
      <c r="Y11" s="504"/>
      <c r="Z11" s="504"/>
      <c r="AA11" s="504"/>
      <c r="AB11" s="283"/>
      <c r="AC11" s="283"/>
      <c r="AD11" s="283"/>
      <c r="AE11" s="283"/>
      <c r="AF11" s="282"/>
      <c r="AG11" s="283"/>
      <c r="AH11" s="504"/>
      <c r="AI11" s="504"/>
      <c r="AJ11" s="504"/>
      <c r="AK11" s="504"/>
      <c r="AL11" s="504"/>
      <c r="AM11" s="283"/>
      <c r="AN11" s="283"/>
      <c r="AO11" s="283"/>
      <c r="AP11" s="283"/>
      <c r="AQ11" s="282"/>
      <c r="AR11" s="283"/>
      <c r="AS11" s="221"/>
      <c r="AU11" s="408"/>
      <c r="AV11" s="408" t="str">
        <f t="shared" si="0"/>
        <v>Добавить наименование признака дифференциации</v>
      </c>
      <c r="AW11" s="408"/>
      <c r="AX11" s="408"/>
    </row>
    <row r="12" spans="1:50" s="4853" customFormat="1" ht="14.25" hidden="1" customHeight="1">
      <c r="A12" s="1222"/>
      <c r="B12" s="1222"/>
      <c r="C12" s="1194"/>
      <c r="D12" s="1194"/>
      <c r="E12" s="5377"/>
      <c r="F12" s="5376"/>
      <c r="G12" s="1194"/>
      <c r="H12" s="1194"/>
      <c r="I12" s="1194"/>
      <c r="J12" s="1194"/>
      <c r="K12" s="1194"/>
      <c r="L12" s="1366"/>
      <c r="M12" s="1201"/>
      <c r="N12" s="1201"/>
      <c r="P12" s="1196"/>
      <c r="Q12" s="1197"/>
      <c r="R12" s="1196"/>
      <c r="S12" s="1202"/>
      <c r="T12" s="1205" t="s">
        <v>271</v>
      </c>
      <c r="U12" s="1204"/>
      <c r="V12" s="1204"/>
      <c r="W12" s="1204"/>
      <c r="X12" s="1204"/>
      <c r="Y12" s="1204"/>
      <c r="Z12" s="1204"/>
      <c r="AA12" s="1204"/>
      <c r="AB12" s="1204"/>
      <c r="AC12" s="1204"/>
      <c r="AD12" s="1204"/>
      <c r="AE12" s="1204"/>
      <c r="AF12" s="1204"/>
      <c r="AG12" s="1204"/>
      <c r="AH12" s="1204"/>
      <c r="AI12" s="1204"/>
      <c r="AJ12" s="1204"/>
      <c r="AK12" s="1204"/>
      <c r="AL12" s="1204"/>
      <c r="AM12" s="1204"/>
      <c r="AN12" s="1204"/>
      <c r="AO12" s="1204"/>
      <c r="AP12" s="1204"/>
      <c r="AQ12" s="1204"/>
      <c r="AR12" s="1204"/>
      <c r="AS12" s="1204"/>
      <c r="AU12" s="688"/>
      <c r="AV12" s="688" t="str">
        <f t="shared" si="0"/>
        <v>Добавить централизованную систему для дифференциации</v>
      </c>
      <c r="AW12" s="688"/>
      <c r="AX12" s="688"/>
    </row>
    <row r="13" spans="1:50" s="4856" customFormat="1" ht="14.25" hidden="1" customHeight="1">
      <c r="A13" s="1222"/>
      <c r="B13" s="1222"/>
      <c r="C13" s="1222"/>
      <c r="D13" s="1222"/>
      <c r="E13" s="5376"/>
      <c r="F13" s="1222"/>
      <c r="G13" s="1222"/>
      <c r="H13" s="1222"/>
      <c r="I13" s="1222"/>
      <c r="J13" s="1222"/>
      <c r="K13" s="1222"/>
      <c r="L13" s="1225"/>
      <c r="M13" s="1201"/>
      <c r="N13" s="1201"/>
      <c r="O13" s="426"/>
      <c r="P13" s="296"/>
      <c r="Q13" s="1223"/>
      <c r="R13" s="296"/>
      <c r="S13" s="1202"/>
      <c r="T13" s="1205" t="s">
        <v>330</v>
      </c>
      <c r="U13" s="1204"/>
      <c r="V13" s="1204"/>
      <c r="W13" s="1204"/>
      <c r="X13" s="1204"/>
      <c r="Y13" s="1204"/>
      <c r="Z13" s="1204"/>
      <c r="AA13" s="1204"/>
      <c r="AB13" s="1204"/>
      <c r="AC13" s="1204"/>
      <c r="AD13" s="1204"/>
      <c r="AE13" s="1204"/>
      <c r="AF13" s="1204"/>
      <c r="AG13" s="1204"/>
      <c r="AH13" s="1204"/>
      <c r="AI13" s="1204"/>
      <c r="AJ13" s="1204"/>
      <c r="AK13" s="1204"/>
      <c r="AL13" s="1204"/>
      <c r="AM13" s="1204"/>
      <c r="AN13" s="1204"/>
      <c r="AO13" s="1204"/>
      <c r="AP13" s="1204"/>
      <c r="AQ13" s="1204"/>
      <c r="AR13" s="1204"/>
      <c r="AS13" s="1204"/>
      <c r="AU13" s="408"/>
      <c r="AV13" s="408" t="str">
        <f t="shared" si="0"/>
        <v>Добавить территорию для дифференциации</v>
      </c>
      <c r="AW13" s="408"/>
      <c r="AX13" s="408"/>
    </row>
    <row r="14" spans="1:50" ht="14.25" hidden="1" customHeight="1">
      <c r="AF14" s="245"/>
      <c r="AQ14" s="245"/>
    </row>
    <row r="15" spans="1:50" ht="14.25" hidden="1" customHeight="1">
      <c r="AG15" s="1238"/>
      <c r="AH15" s="1238"/>
      <c r="AI15" s="1238"/>
      <c r="AJ15" s="1238"/>
      <c r="AK15" s="1238"/>
      <c r="AL15" s="1238"/>
      <c r="AM15" s="1239"/>
      <c r="AN15" s="5381"/>
      <c r="AO15" s="5382" t="s">
        <v>64</v>
      </c>
      <c r="AP15" s="5381"/>
      <c r="AQ15" s="5382" t="s">
        <v>64</v>
      </c>
    </row>
    <row r="16" spans="1:50" ht="14.25" hidden="1" customHeight="1">
      <c r="AG16" s="1238"/>
      <c r="AH16" s="1238"/>
      <c r="AI16" s="1238"/>
      <c r="AJ16" s="1238"/>
      <c r="AK16" s="1238"/>
      <c r="AL16" s="1238"/>
      <c r="AM16" s="246" t="str">
        <f>AN15&amp;"-"&amp;AP15</f>
        <v>-</v>
      </c>
      <c r="AN16" s="5382"/>
      <c r="AO16" s="5382"/>
      <c r="AP16" s="5382"/>
      <c r="AQ16" s="5382"/>
    </row>
    <row r="17" spans="1:50" ht="14.25" hidden="1" customHeight="1">
      <c r="AQ17" s="245"/>
    </row>
    <row r="18" spans="1:50" s="4854" customFormat="1" ht="22.5" hidden="1" customHeight="1">
      <c r="L18" s="1350"/>
      <c r="M18" s="1240"/>
      <c r="N18" s="1240"/>
      <c r="O18" s="1245" t="s">
        <v>493</v>
      </c>
      <c r="P18" s="1240"/>
      <c r="Q18" s="1249"/>
      <c r="R18" s="1249"/>
      <c r="S18" s="630"/>
      <c r="W18" s="1244"/>
      <c r="X18" s="1244"/>
      <c r="Y18" s="1244"/>
      <c r="Z18" s="1244"/>
      <c r="AA18" s="1244"/>
      <c r="AC18" s="1245"/>
      <c r="AE18" s="1245"/>
      <c r="AF18" s="1244"/>
      <c r="AH18" s="1244"/>
      <c r="AI18" s="1244"/>
      <c r="AJ18" s="1244"/>
      <c r="AK18" s="1244"/>
      <c r="AL18" s="1244"/>
      <c r="AN18" s="1245"/>
      <c r="AP18" s="1245"/>
      <c r="AQ18" s="1244"/>
      <c r="AT18" s="419"/>
      <c r="AU18" s="419"/>
      <c r="AV18" s="419"/>
      <c r="AW18" s="419"/>
      <c r="AX18" s="419"/>
    </row>
    <row r="19" spans="1:50" s="4854" customFormat="1" ht="14.25" hidden="1" customHeight="1">
      <c r="L19" s="1350"/>
      <c r="M19" s="1240"/>
      <c r="N19" s="1240"/>
      <c r="O19" s="1240"/>
      <c r="P19" s="1240"/>
      <c r="Q19" s="1249"/>
      <c r="R19" s="1249"/>
      <c r="S19" s="630"/>
      <c r="W19" s="1244"/>
      <c r="X19" s="1244"/>
      <c r="Y19" s="1244"/>
      <c r="Z19" s="1244"/>
      <c r="AA19" s="1244"/>
      <c r="AF19" s="1244"/>
      <c r="AH19" s="1244"/>
      <c r="AI19" s="1244"/>
      <c r="AJ19" s="1244"/>
      <c r="AK19" s="1244"/>
      <c r="AL19" s="1244"/>
      <c r="AQ19" s="1244"/>
      <c r="AT19" s="419"/>
      <c r="AU19" s="419"/>
      <c r="AV19" s="419"/>
      <c r="AW19" s="419"/>
      <c r="AX19" s="419"/>
    </row>
    <row r="20" spans="1:50" s="4854" customFormat="1" ht="12" hidden="1" customHeight="1">
      <c r="L20" s="1350"/>
      <c r="M20" s="1240"/>
      <c r="N20" s="1240"/>
      <c r="O20" s="1242" t="s">
        <v>494</v>
      </c>
      <c r="P20" s="1240"/>
      <c r="Q20" s="1318"/>
      <c r="R20" s="1318"/>
      <c r="S20" s="630"/>
      <c r="T20" s="1042" t="s">
        <v>495</v>
      </c>
      <c r="W20" s="1244"/>
      <c r="X20" s="1244"/>
      <c r="Y20" s="1244"/>
      <c r="Z20" s="1244"/>
      <c r="AA20" s="1244"/>
      <c r="AD20" s="108" t="s">
        <v>496</v>
      </c>
      <c r="AF20" s="108" t="s">
        <v>497</v>
      </c>
      <c r="AG20" s="1042" t="s">
        <v>495</v>
      </c>
      <c r="AH20" s="1244"/>
      <c r="AI20" s="1244"/>
      <c r="AJ20" s="1244"/>
      <c r="AK20" s="1244"/>
      <c r="AL20" s="1244"/>
      <c r="AO20" s="108" t="s">
        <v>498</v>
      </c>
      <c r="AQ20" s="108" t="s">
        <v>497</v>
      </c>
    </row>
    <row r="21" spans="1:50" ht="14.25" hidden="1" customHeight="1">
      <c r="O21" s="1242"/>
    </row>
    <row r="22" spans="1:50" ht="14.25" hidden="1" customHeight="1">
      <c r="O22" s="1242"/>
    </row>
    <row r="23" spans="1:50" ht="14.25" customHeight="1">
      <c r="Q23" s="292"/>
      <c r="R23" s="292"/>
      <c r="S23" s="1158"/>
      <c r="T23" s="280"/>
      <c r="U23" s="280"/>
      <c r="V23" s="417"/>
      <c r="W23" s="1499"/>
      <c r="X23" s="1499"/>
      <c r="Y23" s="1499"/>
      <c r="Z23" s="1499"/>
      <c r="AA23" s="1499"/>
      <c r="AB23" s="417"/>
      <c r="AC23" s="417"/>
      <c r="AD23" s="417"/>
      <c r="AE23" s="417"/>
      <c r="AF23" s="417"/>
      <c r="AG23" s="417"/>
      <c r="AH23" s="1499"/>
      <c r="AI23" s="1499"/>
      <c r="AJ23" s="1499"/>
      <c r="AK23" s="1499"/>
      <c r="AL23" s="1499"/>
      <c r="AM23" s="417"/>
      <c r="AN23" s="417"/>
      <c r="AO23" s="417"/>
      <c r="AP23" s="417"/>
      <c r="AQ23" s="417"/>
    </row>
    <row r="24" spans="1:50" ht="24.75" customHeight="1">
      <c r="Q24" s="292"/>
      <c r="R24" s="292"/>
      <c r="S24" s="5360"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360"/>
      <c r="U24" s="5360"/>
      <c r="V24" s="5360"/>
      <c r="W24" s="5360"/>
      <c r="X24" s="5360"/>
      <c r="Y24" s="5360"/>
      <c r="Z24" s="5360"/>
      <c r="AA24" s="5360"/>
      <c r="AB24" s="5360"/>
      <c r="AC24" s="5360"/>
      <c r="AD24" s="5360"/>
      <c r="AE24" s="5360"/>
      <c r="AF24" s="5360"/>
      <c r="AG24" s="5360"/>
      <c r="AH24" s="5360"/>
      <c r="AI24" s="5360"/>
      <c r="AJ24" s="5360"/>
      <c r="AK24" s="5360"/>
      <c r="AL24" s="5360"/>
      <c r="AM24" s="5360"/>
      <c r="AN24" s="5360"/>
      <c r="AO24" s="5360"/>
      <c r="AP24" s="5360"/>
      <c r="AQ24" s="1126"/>
    </row>
    <row r="25" spans="1:50" ht="14.25" customHeight="1">
      <c r="Q25" s="292"/>
      <c r="R25" s="292"/>
      <c r="S25" s="5308" t="str">
        <f>IF(org=0,"Не определено",org)</f>
        <v>ООО «Газпром теплоэнерго МО»</v>
      </c>
      <c r="T25" s="5308"/>
      <c r="U25" s="5308"/>
      <c r="V25" s="5308"/>
      <c r="W25" s="5308"/>
      <c r="X25" s="5308"/>
      <c r="Y25" s="5308"/>
      <c r="Z25" s="5308"/>
      <c r="AA25" s="5308"/>
      <c r="AB25" s="5308"/>
      <c r="AC25" s="5308"/>
      <c r="AD25" s="5308"/>
      <c r="AE25" s="5308"/>
      <c r="AF25" s="5308"/>
      <c r="AG25" s="5308"/>
      <c r="AH25" s="5308"/>
      <c r="AI25" s="5308"/>
      <c r="AJ25" s="5308"/>
      <c r="AK25" s="5308"/>
      <c r="AL25" s="5308"/>
      <c r="AM25" s="5308"/>
      <c r="AN25" s="5308"/>
      <c r="AO25" s="5308"/>
      <c r="AP25" s="5308"/>
      <c r="AQ25" s="1126"/>
    </row>
    <row r="26" spans="1:50" ht="14.25" customHeight="1">
      <c r="Q26" s="292"/>
      <c r="R26" s="292"/>
      <c r="S26" s="1158"/>
      <c r="T26" s="280"/>
      <c r="U26" s="280"/>
      <c r="V26" s="240"/>
      <c r="W26" s="240"/>
      <c r="X26" s="240"/>
      <c r="Y26" s="240"/>
      <c r="Z26" s="240"/>
      <c r="AA26" s="240"/>
      <c r="AB26" s="240"/>
      <c r="AC26" s="240"/>
      <c r="AD26" s="240"/>
      <c r="AE26" s="240"/>
      <c r="AF26" s="240"/>
      <c r="AG26" s="240"/>
      <c r="AH26" s="240"/>
      <c r="AI26" s="240"/>
      <c r="AJ26" s="240"/>
      <c r="AK26" s="240"/>
      <c r="AL26" s="240"/>
      <c r="AM26" s="240"/>
      <c r="AN26" s="240"/>
      <c r="AO26" s="240"/>
      <c r="AP26" s="240"/>
      <c r="AQ26" s="240"/>
      <c r="AR26" s="417"/>
    </row>
    <row r="27" spans="1:50" s="4855" customFormat="1" ht="25.5" customHeight="1">
      <c r="A27" s="1246"/>
      <c r="B27" s="1246"/>
      <c r="C27" s="1246"/>
      <c r="D27" s="1246"/>
      <c r="E27" s="1246"/>
      <c r="F27" s="1246"/>
      <c r="G27" s="1246"/>
      <c r="H27" s="1246"/>
      <c r="I27" s="1246"/>
      <c r="J27" s="1246"/>
      <c r="K27" s="1246"/>
      <c r="L27" s="1247"/>
      <c r="M27" s="1246"/>
      <c r="N27" s="1246"/>
      <c r="O27" s="1246"/>
      <c r="S27" s="5368" t="s">
        <v>38</v>
      </c>
      <c r="T27" s="5368"/>
      <c r="U27" s="1250"/>
      <c r="V27" s="5369" t="str">
        <f>IF(TITLE_NAME_OR_PR_CHANGE="",IF(TITLE_NAME_OR_PR="","",TITLE_NAME_OR_PR),TITLE_NAME_OR_PR_CHANGE)</f>
        <v>Комитет по ценам и тарифам Московской области</v>
      </c>
      <c r="W27" s="5369"/>
      <c r="X27" s="5369"/>
      <c r="Y27" s="5369"/>
      <c r="Z27" s="5369"/>
      <c r="AA27" s="5369"/>
      <c r="AB27" s="5369"/>
      <c r="AC27" s="5369"/>
      <c r="AD27" s="5369"/>
      <c r="AE27" s="5369"/>
      <c r="AF27" s="244"/>
      <c r="AG27" s="5369" t="str">
        <f>IF(TITLE_NAME_OR_PR_CHANGE="",IF(TITLE_NAME_OR_PR="","",TITLE_NAME_OR_PR),TITLE_NAME_OR_PR_CHANGE)</f>
        <v>Комитет по ценам и тарифам Московской области</v>
      </c>
      <c r="AH27" s="5369"/>
      <c r="AI27" s="5369"/>
      <c r="AJ27" s="5369"/>
      <c r="AK27" s="5369"/>
      <c r="AL27" s="5369"/>
      <c r="AM27" s="5369"/>
      <c r="AN27" s="5369"/>
      <c r="AO27" s="5369"/>
      <c r="AP27" s="5369"/>
      <c r="AQ27" s="244"/>
      <c r="AR27" s="244"/>
      <c r="AS27" s="199"/>
      <c r="AT27" s="284"/>
      <c r="AU27" s="284"/>
      <c r="AV27" s="284"/>
      <c r="AW27" s="284"/>
      <c r="AX27" s="284"/>
    </row>
    <row r="28" spans="1:50" s="4855" customFormat="1" ht="18.75" customHeight="1">
      <c r="A28" s="1246"/>
      <c r="B28" s="1246"/>
      <c r="C28" s="1246"/>
      <c r="D28" s="1246"/>
      <c r="E28" s="1246"/>
      <c r="F28" s="1246"/>
      <c r="G28" s="1246"/>
      <c r="H28" s="1246"/>
      <c r="I28" s="1246"/>
      <c r="J28" s="1246"/>
      <c r="K28" s="1246"/>
      <c r="L28" s="1247"/>
      <c r="M28" s="1246"/>
      <c r="N28" s="1246"/>
      <c r="O28" s="1246"/>
      <c r="S28" s="5368" t="s">
        <v>499</v>
      </c>
      <c r="T28" s="5368"/>
      <c r="U28" s="1250"/>
      <c r="V28" s="5378">
        <f>IF(TITLE_DATE_PR_CHANGE="",IF(TITLE_DATE_PR="","",TITLE_DATE_PR),TITLE_DATE_PR_CHANGE)</f>
        <v>45280</v>
      </c>
      <c r="W28" s="5378"/>
      <c r="X28" s="5378"/>
      <c r="Y28" s="5378"/>
      <c r="Z28" s="5378"/>
      <c r="AA28" s="5378"/>
      <c r="AB28" s="5378"/>
      <c r="AC28" s="5378"/>
      <c r="AD28" s="5378"/>
      <c r="AE28" s="5378"/>
      <c r="AF28" s="244"/>
      <c r="AG28" s="5378">
        <f>IF(TITLE_DATE_PR_CHANGE="",IF(TITLE_DATE_PR="","",TITLE_DATE_PR),TITLE_DATE_PR_CHANGE)</f>
        <v>45280</v>
      </c>
      <c r="AH28" s="5378"/>
      <c r="AI28" s="5378"/>
      <c r="AJ28" s="5378"/>
      <c r="AK28" s="5378"/>
      <c r="AL28" s="5378"/>
      <c r="AM28" s="5378"/>
      <c r="AN28" s="5378"/>
      <c r="AO28" s="5378"/>
      <c r="AP28" s="5378"/>
      <c r="AQ28" s="244"/>
      <c r="AR28" s="244"/>
      <c r="AS28" s="199"/>
      <c r="AT28" s="284"/>
      <c r="AU28" s="284"/>
      <c r="AV28" s="284"/>
      <c r="AW28" s="284"/>
      <c r="AX28" s="284"/>
    </row>
    <row r="29" spans="1:50" s="4855" customFormat="1" ht="18.75" customHeight="1">
      <c r="A29" s="1246"/>
      <c r="B29" s="1246"/>
      <c r="C29" s="1246"/>
      <c r="D29" s="1246"/>
      <c r="E29" s="1246"/>
      <c r="F29" s="1246"/>
      <c r="G29" s="1246"/>
      <c r="H29" s="1246"/>
      <c r="I29" s="1246"/>
      <c r="J29" s="1246"/>
      <c r="K29" s="1246"/>
      <c r="L29" s="1247"/>
      <c r="M29" s="1246"/>
      <c r="N29" s="1246"/>
      <c r="O29" s="1246"/>
      <c r="S29" s="5368" t="s">
        <v>500</v>
      </c>
      <c r="T29" s="5368"/>
      <c r="U29" s="1250"/>
      <c r="V29" s="5369" t="str">
        <f>IF(TITLE_NUMBER_PR_CHANGE="",IF(TITLE_NUMBER_PR="","",TITLE_NUMBER_PR),TITLE_NUMBER_PR_CHANGE)</f>
        <v>317-Р</v>
      </c>
      <c r="W29" s="5369"/>
      <c r="X29" s="5369"/>
      <c r="Y29" s="5369"/>
      <c r="Z29" s="5369"/>
      <c r="AA29" s="5369"/>
      <c r="AB29" s="5369"/>
      <c r="AC29" s="5369"/>
      <c r="AD29" s="5369"/>
      <c r="AE29" s="5369"/>
      <c r="AF29" s="244"/>
      <c r="AG29" s="5369" t="str">
        <f>IF(TITLE_NUMBER_PR_CHANGE="",IF(TITLE_NUMBER_PR="","",TITLE_NUMBER_PR),TITLE_NUMBER_PR_CHANGE)</f>
        <v>317-Р</v>
      </c>
      <c r="AH29" s="5369"/>
      <c r="AI29" s="5369"/>
      <c r="AJ29" s="5369"/>
      <c r="AK29" s="5369"/>
      <c r="AL29" s="5369"/>
      <c r="AM29" s="5369"/>
      <c r="AN29" s="5369"/>
      <c r="AO29" s="5369"/>
      <c r="AP29" s="5369"/>
      <c r="AQ29" s="244"/>
      <c r="AR29" s="244"/>
      <c r="AS29" s="199"/>
      <c r="AT29" s="284"/>
      <c r="AU29" s="284"/>
      <c r="AV29" s="284"/>
      <c r="AW29" s="284"/>
      <c r="AX29" s="284"/>
    </row>
    <row r="30" spans="1:50" s="4855" customFormat="1" ht="18.75" customHeight="1">
      <c r="A30" s="1246"/>
      <c r="B30" s="1246"/>
      <c r="C30" s="1246"/>
      <c r="D30" s="1246"/>
      <c r="E30" s="1246"/>
      <c r="F30" s="1246"/>
      <c r="G30" s="1246"/>
      <c r="H30" s="1246"/>
      <c r="I30" s="1246"/>
      <c r="J30" s="1246"/>
      <c r="K30" s="1246"/>
      <c r="L30" s="1247"/>
      <c r="M30" s="1246"/>
      <c r="N30" s="1246"/>
      <c r="O30" s="1246"/>
      <c r="S30" s="5368" t="s">
        <v>40</v>
      </c>
      <c r="T30" s="5368"/>
      <c r="U30" s="1250"/>
      <c r="V30" s="5369" t="str">
        <f>IF(TITLE_IST_PUB_CHANGE="",IF(TITLE_IST_PUB="","",TITLE_IST_PUB),TITLE_IST_PUB_CHANGE)</f>
        <v>https://ktc.mosreg.ru/dokumenty/normotvorchestvo/rasporyazheniya/gosudarstvennoe-regulirovanie-tarifov-na-teplovuyu-energiyu-raspor/29-12-2023-16-47-50-rasporyazhenie-komiteta-po-tsenam-i-tarifam-moskov</v>
      </c>
      <c r="W30" s="5369"/>
      <c r="X30" s="5369"/>
      <c r="Y30" s="5369"/>
      <c r="Z30" s="5369"/>
      <c r="AA30" s="5369"/>
      <c r="AB30" s="5369"/>
      <c r="AC30" s="5369"/>
      <c r="AD30" s="5369"/>
      <c r="AE30" s="5369"/>
      <c r="AF30" s="244"/>
      <c r="AG30" s="5369" t="str">
        <f>IF(TITLE_IST_PUB_CHANGE="",IF(TITLE_IST_PUB="","",TITLE_IST_PUB),TITLE_IST_PUB_CHANGE)</f>
        <v>https://ktc.mosreg.ru/dokumenty/normotvorchestvo/rasporyazheniya/gosudarstvennoe-regulirovanie-tarifov-na-teplovuyu-energiyu-raspor/29-12-2023-16-47-50-rasporyazhenie-komiteta-po-tsenam-i-tarifam-moskov</v>
      </c>
      <c r="AH30" s="5369"/>
      <c r="AI30" s="5369"/>
      <c r="AJ30" s="5369"/>
      <c r="AK30" s="5369"/>
      <c r="AL30" s="5369"/>
      <c r="AM30" s="5369"/>
      <c r="AN30" s="5369"/>
      <c r="AO30" s="5369"/>
      <c r="AP30" s="5369"/>
      <c r="AQ30" s="244"/>
      <c r="AR30" s="244"/>
      <c r="AS30" s="199"/>
      <c r="AT30" s="284"/>
      <c r="AU30" s="284"/>
      <c r="AV30" s="284"/>
      <c r="AW30" s="284"/>
      <c r="AX30" s="284"/>
    </row>
    <row r="31" spans="1:50" ht="14.25" hidden="1" customHeight="1">
      <c r="Q31" s="292"/>
      <c r="R31" s="292"/>
      <c r="S31" s="1158"/>
      <c r="T31" s="280"/>
      <c r="U31" s="280"/>
      <c r="V31" s="240"/>
      <c r="W31" s="240"/>
      <c r="X31" s="240"/>
      <c r="Y31" s="240"/>
      <c r="Z31" s="240"/>
      <c r="AA31" s="240"/>
      <c r="AB31" s="240"/>
      <c r="AC31" s="240"/>
      <c r="AD31" s="240"/>
      <c r="AE31" s="240"/>
      <c r="AF31" s="240"/>
      <c r="AG31" s="240"/>
      <c r="AH31" s="240"/>
      <c r="AI31" s="240"/>
      <c r="AJ31" s="240"/>
      <c r="AK31" s="240"/>
      <c r="AL31" s="240"/>
      <c r="AM31" s="240"/>
      <c r="AN31" s="240"/>
      <c r="AO31" s="240"/>
      <c r="AP31" s="240"/>
      <c r="AQ31" s="240"/>
      <c r="AR31" s="417"/>
    </row>
    <row r="32" spans="1:50" s="4855" customFormat="1" ht="18.75" hidden="1" customHeight="1">
      <c r="A32" s="1246"/>
      <c r="B32" s="1246"/>
      <c r="C32" s="1246"/>
      <c r="D32" s="1246"/>
      <c r="E32" s="1246"/>
      <c r="F32" s="1246"/>
      <c r="G32" s="1246"/>
      <c r="H32" s="1246"/>
      <c r="I32" s="1246"/>
      <c r="J32" s="1246"/>
      <c r="K32" s="1246"/>
      <c r="L32" s="1247"/>
      <c r="M32" s="1246"/>
      <c r="N32" s="1246"/>
      <c r="O32" s="1246"/>
      <c r="S32" s="5368" t="s">
        <v>501</v>
      </c>
      <c r="T32" s="5368"/>
      <c r="U32" s="1250"/>
      <c r="V32" s="5378">
        <f>IF(TITLE_DATE_PR_CHANGE="",IF(TITLE_DATE_PR="","",TITLE_DATE_PR),TITLE_DATE_PR_CHANGE)</f>
        <v>45280</v>
      </c>
      <c r="W32" s="5378"/>
      <c r="X32" s="5378"/>
      <c r="Y32" s="5378"/>
      <c r="Z32" s="5378"/>
      <c r="AA32" s="5378"/>
      <c r="AB32" s="5378"/>
      <c r="AC32" s="5378"/>
      <c r="AD32" s="5378"/>
      <c r="AE32" s="5378"/>
      <c r="AF32" s="244"/>
      <c r="AG32" s="5378">
        <f>IF(TITLE_DATE_PR_CHANGE="",IF(TITLE_DATE_PR="","",TITLE_DATE_PR),TITLE_DATE_PR_CHANGE)</f>
        <v>45280</v>
      </c>
      <c r="AH32" s="5378"/>
      <c r="AI32" s="5378"/>
      <c r="AJ32" s="5378"/>
      <c r="AK32" s="5378"/>
      <c r="AL32" s="5378"/>
      <c r="AM32" s="5378"/>
      <c r="AN32" s="5378"/>
      <c r="AO32" s="5378"/>
      <c r="AP32" s="5378"/>
      <c r="AQ32" s="244"/>
      <c r="AR32" s="244"/>
      <c r="AS32" s="199"/>
      <c r="AT32" s="284"/>
      <c r="AU32" s="284"/>
      <c r="AV32" s="284"/>
      <c r="AW32" s="284"/>
      <c r="AX32" s="284"/>
    </row>
    <row r="33" spans="1:50" s="4855" customFormat="1" ht="18.75" hidden="1" customHeight="1">
      <c r="A33" s="1246"/>
      <c r="B33" s="1246"/>
      <c r="C33" s="1246"/>
      <c r="D33" s="1246"/>
      <c r="E33" s="1246"/>
      <c r="F33" s="1246"/>
      <c r="G33" s="1246"/>
      <c r="H33" s="1246"/>
      <c r="I33" s="1246"/>
      <c r="J33" s="1246"/>
      <c r="K33" s="1246"/>
      <c r="L33" s="1247"/>
      <c r="M33" s="1246"/>
      <c r="N33" s="1246"/>
      <c r="O33" s="1246"/>
      <c r="S33" s="5368" t="s">
        <v>502</v>
      </c>
      <c r="T33" s="5368"/>
      <c r="U33" s="1250"/>
      <c r="V33" s="5369" t="str">
        <f>IF(TITLE_NUMBER_PR_CHANGE="",IF(TITLE_NUMBER_PR="","",TITLE_NUMBER_PR),TITLE_NUMBER_PR_CHANGE)</f>
        <v>317-Р</v>
      </c>
      <c r="W33" s="5369"/>
      <c r="X33" s="5369"/>
      <c r="Y33" s="5369"/>
      <c r="Z33" s="5369"/>
      <c r="AA33" s="5369"/>
      <c r="AB33" s="5369"/>
      <c r="AC33" s="5369"/>
      <c r="AD33" s="5369"/>
      <c r="AE33" s="5369"/>
      <c r="AF33" s="244"/>
      <c r="AG33" s="5369" t="str">
        <f>IF(TITLE_NUMBER_PR_CHANGE="",IF(TITLE_NUMBER_PR="","",TITLE_NUMBER_PR),TITLE_NUMBER_PR_CHANGE)</f>
        <v>317-Р</v>
      </c>
      <c r="AH33" s="5369"/>
      <c r="AI33" s="5369"/>
      <c r="AJ33" s="5369"/>
      <c r="AK33" s="5369"/>
      <c r="AL33" s="5369"/>
      <c r="AM33" s="5369"/>
      <c r="AN33" s="5369"/>
      <c r="AO33" s="5369"/>
      <c r="AP33" s="5369"/>
      <c r="AQ33" s="244"/>
      <c r="AR33" s="244"/>
      <c r="AS33" s="199"/>
      <c r="AT33" s="284"/>
      <c r="AU33" s="284"/>
      <c r="AV33" s="284"/>
      <c r="AW33" s="284"/>
      <c r="AX33" s="284"/>
    </row>
    <row r="34" spans="1:50" s="4855" customFormat="1" ht="0.75" customHeight="1">
      <c r="A34" s="1246"/>
      <c r="B34" s="1246"/>
      <c r="C34" s="1246"/>
      <c r="D34" s="1246"/>
      <c r="E34" s="1246"/>
      <c r="F34" s="1246"/>
      <c r="G34" s="1246"/>
      <c r="H34" s="1246"/>
      <c r="I34" s="1246"/>
      <c r="J34" s="1246"/>
      <c r="K34" s="1246"/>
      <c r="L34" s="1247"/>
      <c r="M34" s="1246"/>
      <c r="N34" s="1246"/>
      <c r="O34" s="1246"/>
      <c r="S34" s="241"/>
      <c r="T34" s="241"/>
      <c r="U34" s="1360"/>
      <c r="V34" s="244"/>
      <c r="W34" s="1499"/>
      <c r="X34" s="1499"/>
      <c r="Y34" s="1499"/>
      <c r="Z34" s="1499"/>
      <c r="AA34" s="1499"/>
      <c r="AB34" s="244"/>
      <c r="AC34" s="244"/>
      <c r="AD34" s="244"/>
      <c r="AE34" s="244"/>
      <c r="AF34" s="197" t="s">
        <v>503</v>
      </c>
      <c r="AG34" s="244"/>
      <c r="AH34" s="1499"/>
      <c r="AI34" s="1499"/>
      <c r="AJ34" s="1499"/>
      <c r="AK34" s="1499"/>
      <c r="AL34" s="1499"/>
      <c r="AM34" s="244"/>
      <c r="AN34" s="244"/>
      <c r="AO34" s="244"/>
      <c r="AP34" s="244"/>
      <c r="AQ34" s="197" t="s">
        <v>503</v>
      </c>
      <c r="AT34" s="284"/>
      <c r="AU34" s="284"/>
      <c r="AV34" s="284"/>
      <c r="AW34" s="284"/>
      <c r="AX34" s="284"/>
    </row>
    <row r="35" spans="1:50" ht="14.25" customHeight="1">
      <c r="Q35" s="292"/>
      <c r="R35" s="292"/>
      <c r="S35" s="1158"/>
      <c r="T35" s="280"/>
      <c r="U35" s="1127"/>
      <c r="V35" s="5370"/>
      <c r="W35" s="5370"/>
      <c r="X35" s="5370"/>
      <c r="Y35" s="5370"/>
      <c r="Z35" s="5370"/>
      <c r="AA35" s="5370"/>
      <c r="AB35" s="5370"/>
      <c r="AC35" s="5370"/>
      <c r="AD35" s="5370"/>
      <c r="AE35" s="5370"/>
      <c r="AF35" s="5370"/>
      <c r="AG35" s="5370"/>
      <c r="AH35" s="5370"/>
      <c r="AI35" s="5370"/>
      <c r="AJ35" s="5370"/>
      <c r="AK35" s="5370"/>
      <c r="AL35" s="5370"/>
      <c r="AM35" s="5370"/>
      <c r="AN35" s="5370"/>
      <c r="AO35" s="5370"/>
      <c r="AP35" s="5370"/>
      <c r="AQ35" s="5370"/>
    </row>
    <row r="36" spans="1:50" ht="14.25" customHeight="1">
      <c r="Q36" s="292"/>
      <c r="R36" s="292"/>
      <c r="S36" s="5244" t="s">
        <v>378</v>
      </c>
      <c r="T36" s="5244"/>
      <c r="U36" s="5244"/>
      <c r="V36" s="5244"/>
      <c r="W36" s="5244"/>
      <c r="X36" s="5244"/>
      <c r="Y36" s="5244"/>
      <c r="Z36" s="5244"/>
      <c r="AA36" s="5244"/>
      <c r="AB36" s="5244"/>
      <c r="AC36" s="5244"/>
      <c r="AD36" s="5244"/>
      <c r="AE36" s="5244"/>
      <c r="AF36" s="5244"/>
      <c r="AG36" s="5244"/>
      <c r="AH36" s="5244"/>
      <c r="AI36" s="5244"/>
      <c r="AJ36" s="5244"/>
      <c r="AK36" s="5244"/>
      <c r="AL36" s="5244"/>
      <c r="AM36" s="5244"/>
      <c r="AN36" s="5244"/>
      <c r="AO36" s="5244"/>
      <c r="AP36" s="5244"/>
      <c r="AQ36" s="5244"/>
      <c r="AR36" s="5244"/>
      <c r="AS36" s="5244" t="s">
        <v>379</v>
      </c>
    </row>
    <row r="37" spans="1:50" ht="14.25" customHeight="1">
      <c r="Q37" s="292"/>
      <c r="R37" s="292"/>
      <c r="S37" s="5384" t="s">
        <v>85</v>
      </c>
      <c r="T37" s="5336" t="s">
        <v>504</v>
      </c>
      <c r="U37" s="219"/>
      <c r="V37" s="5385" t="s">
        <v>505</v>
      </c>
      <c r="W37" s="5386"/>
      <c r="X37" s="5386"/>
      <c r="Y37" s="5386"/>
      <c r="Z37" s="5386"/>
      <c r="AA37" s="5386"/>
      <c r="AB37" s="5386"/>
      <c r="AC37" s="5386"/>
      <c r="AD37" s="5386"/>
      <c r="AE37" s="5387"/>
      <c r="AF37" s="5388" t="s">
        <v>506</v>
      </c>
      <c r="AG37" s="5385" t="s">
        <v>505</v>
      </c>
      <c r="AH37" s="5386"/>
      <c r="AI37" s="5386"/>
      <c r="AJ37" s="5386"/>
      <c r="AK37" s="5386"/>
      <c r="AL37" s="5386"/>
      <c r="AM37" s="5386"/>
      <c r="AN37" s="5386"/>
      <c r="AO37" s="5386"/>
      <c r="AP37" s="5387"/>
      <c r="AQ37" s="5388" t="s">
        <v>507</v>
      </c>
      <c r="AR37" s="5391" t="s">
        <v>508</v>
      </c>
      <c r="AS37" s="5244"/>
    </row>
    <row r="38" spans="1:50" s="4868" customFormat="1" ht="18.75" customHeight="1">
      <c r="A38" s="1244"/>
      <c r="B38" s="1244"/>
      <c r="C38" s="1244"/>
      <c r="D38" s="1244"/>
      <c r="E38" s="1244"/>
      <c r="F38" s="1244"/>
      <c r="G38" s="1244"/>
      <c r="H38" s="1244"/>
      <c r="I38" s="1244"/>
      <c r="J38" s="1244"/>
      <c r="K38" s="1244"/>
      <c r="L38" s="1842"/>
      <c r="M38" s="1240"/>
      <c r="N38" s="1240"/>
      <c r="O38" s="1240"/>
      <c r="P38" s="1843"/>
      <c r="Q38" s="292"/>
      <c r="R38" s="292"/>
      <c r="S38" s="5384"/>
      <c r="T38" s="5336"/>
      <c r="U38" s="920"/>
      <c r="V38" s="5244" t="s">
        <v>608</v>
      </c>
      <c r="W38" s="5332" t="s">
        <v>609</v>
      </c>
      <c r="X38" s="5332"/>
      <c r="Y38" s="5332"/>
      <c r="Z38" s="5332" t="s">
        <v>610</v>
      </c>
      <c r="AA38" s="5332"/>
      <c r="AB38" s="5332"/>
      <c r="AC38" s="5322" t="s">
        <v>512</v>
      </c>
      <c r="AD38" s="5409"/>
      <c r="AE38" s="5323"/>
      <c r="AF38" s="5389"/>
      <c r="AG38" s="5244" t="s">
        <v>608</v>
      </c>
      <c r="AH38" s="5332" t="s">
        <v>609</v>
      </c>
      <c r="AI38" s="5332"/>
      <c r="AJ38" s="5332"/>
      <c r="AK38" s="5332" t="s">
        <v>610</v>
      </c>
      <c r="AL38" s="5332"/>
      <c r="AM38" s="5332"/>
      <c r="AN38" s="5322" t="s">
        <v>512</v>
      </c>
      <c r="AO38" s="5409"/>
      <c r="AP38" s="5323"/>
      <c r="AQ38" s="5389"/>
      <c r="AR38" s="5392"/>
      <c r="AS38" s="5244"/>
      <c r="AT38" s="1500"/>
      <c r="AU38" s="1500"/>
      <c r="AV38" s="1500"/>
      <c r="AW38" s="1500"/>
      <c r="AX38" s="1500"/>
    </row>
    <row r="39" spans="1:50" ht="18.75" customHeight="1">
      <c r="Q39" s="292"/>
      <c r="R39" s="292"/>
      <c r="S39" s="5384"/>
      <c r="T39" s="5336"/>
      <c r="U39" s="920"/>
      <c r="V39" s="5244"/>
      <c r="W39" s="5332" t="s">
        <v>611</v>
      </c>
      <c r="X39" s="5332" t="s">
        <v>612</v>
      </c>
      <c r="Y39" s="5332"/>
      <c r="Z39" s="5332" t="s">
        <v>613</v>
      </c>
      <c r="AA39" s="5332" t="s">
        <v>612</v>
      </c>
      <c r="AB39" s="5332"/>
      <c r="AC39" s="5327"/>
      <c r="AD39" s="5410"/>
      <c r="AE39" s="5328"/>
      <c r="AF39" s="5389"/>
      <c r="AG39" s="5244"/>
      <c r="AH39" s="5332" t="s">
        <v>611</v>
      </c>
      <c r="AI39" s="5332" t="s">
        <v>612</v>
      </c>
      <c r="AJ39" s="5332"/>
      <c r="AK39" s="5332" t="s">
        <v>613</v>
      </c>
      <c r="AL39" s="5332" t="s">
        <v>612</v>
      </c>
      <c r="AM39" s="5332"/>
      <c r="AN39" s="5327"/>
      <c r="AO39" s="5410"/>
      <c r="AP39" s="5328"/>
      <c r="AQ39" s="5389"/>
      <c r="AR39" s="5392"/>
      <c r="AS39" s="5244"/>
    </row>
    <row r="40" spans="1:50" ht="59.25" customHeight="1">
      <c r="A40" s="1248"/>
      <c r="B40" s="1248" t="s">
        <v>153</v>
      </c>
      <c r="C40" s="1248" t="s">
        <v>154</v>
      </c>
      <c r="D40" s="1248" t="s">
        <v>155</v>
      </c>
      <c r="E40" s="1242" t="s">
        <v>513</v>
      </c>
      <c r="F40" s="1242" t="s">
        <v>514</v>
      </c>
      <c r="G40" s="1242" t="s">
        <v>515</v>
      </c>
      <c r="H40" s="1242"/>
      <c r="I40" s="1242" t="s">
        <v>566</v>
      </c>
      <c r="J40" s="1242" t="s">
        <v>518</v>
      </c>
      <c r="K40" s="1242" t="s">
        <v>567</v>
      </c>
      <c r="L40" s="1242" t="s">
        <v>494</v>
      </c>
      <c r="Q40" s="292"/>
      <c r="R40" s="292"/>
      <c r="S40" s="5384"/>
      <c r="T40" s="5336"/>
      <c r="U40" s="220"/>
      <c r="V40" s="5244"/>
      <c r="W40" s="5332"/>
      <c r="X40" s="1845" t="s">
        <v>614</v>
      </c>
      <c r="Y40" s="1845" t="s">
        <v>615</v>
      </c>
      <c r="Z40" s="5332"/>
      <c r="AA40" s="1845" t="s">
        <v>616</v>
      </c>
      <c r="AB40" s="1845" t="s">
        <v>617</v>
      </c>
      <c r="AC40" s="1361" t="s">
        <v>522</v>
      </c>
      <c r="AD40" s="5344" t="s">
        <v>523</v>
      </c>
      <c r="AE40" s="5346"/>
      <c r="AF40" s="5390"/>
      <c r="AG40" s="5244"/>
      <c r="AH40" s="5332"/>
      <c r="AI40" s="1845" t="s">
        <v>614</v>
      </c>
      <c r="AJ40" s="1845" t="s">
        <v>615</v>
      </c>
      <c r="AK40" s="5332"/>
      <c r="AL40" s="1845" t="s">
        <v>616</v>
      </c>
      <c r="AM40" s="1845" t="s">
        <v>617</v>
      </c>
      <c r="AN40" s="1361" t="s">
        <v>522</v>
      </c>
      <c r="AO40" s="5344" t="s">
        <v>523</v>
      </c>
      <c r="AP40" s="5346"/>
      <c r="AQ40" s="5390"/>
      <c r="AR40" s="5393"/>
      <c r="AS40" s="5244"/>
    </row>
    <row r="41" spans="1:50" s="4840" customFormat="1" ht="11.25" hidden="1" customHeight="1">
      <c r="A41" s="1248"/>
      <c r="B41" s="1248"/>
      <c r="C41" s="1248"/>
      <c r="D41" s="1248"/>
      <c r="E41" s="1248"/>
      <c r="F41" s="1248"/>
      <c r="G41" s="1248"/>
      <c r="H41" s="1248"/>
      <c r="I41" s="1248"/>
      <c r="J41" s="1248"/>
      <c r="K41" s="1248"/>
      <c r="L41" s="1242"/>
      <c r="M41" s="1240"/>
      <c r="N41" s="1240"/>
      <c r="O41" s="1240"/>
      <c r="P41" s="1129"/>
      <c r="Q41" s="1130"/>
      <c r="R41" s="1137">
        <v>1</v>
      </c>
      <c r="S41" s="1160" t="s">
        <v>129</v>
      </c>
      <c r="T41" s="1138" t="s">
        <v>100</v>
      </c>
      <c r="U41" s="1128" t="str">
        <f ca="1">OFFSET(U41,0,-1)</f>
        <v>2</v>
      </c>
      <c r="V41" s="1354">
        <f ca="1">OFFSET(V41,0,-1)+1</f>
        <v>3</v>
      </c>
      <c r="W41" s="1841"/>
      <c r="X41" s="1841"/>
      <c r="Y41" s="1841"/>
      <c r="Z41" s="1841"/>
      <c r="AA41" s="1841"/>
      <c r="AB41" s="1354">
        <f ca="1">OFFSET(AB41,0,-1)+1</f>
        <v>1</v>
      </c>
      <c r="AC41" s="1354">
        <f ca="1">OFFSET(AC41,0,-1)+1</f>
        <v>2</v>
      </c>
      <c r="AD41" s="5383">
        <f ca="1">OFFSET(AD41,0,-1)+1</f>
        <v>3</v>
      </c>
      <c r="AE41" s="5383"/>
      <c r="AF41" s="1354">
        <f ca="1">OFFSET(AF41,0,-2)+1</f>
        <v>4</v>
      </c>
      <c r="AG41" s="1354">
        <f ca="1">OFFSET(AG41,0,-1)+1</f>
        <v>5</v>
      </c>
      <c r="AH41" s="1841"/>
      <c r="AI41" s="1841"/>
      <c r="AJ41" s="1841"/>
      <c r="AK41" s="1841"/>
      <c r="AL41" s="1841"/>
      <c r="AM41" s="1354">
        <f ca="1">OFFSET(AM41,0,-1)+1</f>
        <v>1</v>
      </c>
      <c r="AN41" s="1354">
        <f ca="1">OFFSET(AN41,0,-1)+1</f>
        <v>2</v>
      </c>
      <c r="AO41" s="5383">
        <f ca="1">OFFSET(AO41,0,-1)+1</f>
        <v>3</v>
      </c>
      <c r="AP41" s="5383"/>
      <c r="AQ41" s="1354">
        <f ca="1">OFFSET(AQ41,0,-2)+1</f>
        <v>4</v>
      </c>
      <c r="AR41" s="1128">
        <f ca="1">OFFSET(AR41,0,-1)</f>
        <v>4</v>
      </c>
      <c r="AS41" s="1354">
        <f ca="1">OFFSET(AS41,0,-1)+1</f>
        <v>5</v>
      </c>
      <c r="AT41" s="419"/>
      <c r="AU41" s="419"/>
      <c r="AV41" s="419"/>
      <c r="AW41" s="419"/>
      <c r="AX41" s="419"/>
    </row>
    <row r="42" spans="1:50" ht="23.25" customHeight="1">
      <c r="A42" s="1241" t="s">
        <v>334</v>
      </c>
      <c r="B42" s="1241"/>
      <c r="C42" s="1241"/>
      <c r="D42" s="1241"/>
      <c r="E42" s="5376">
        <v>1</v>
      </c>
      <c r="F42" s="1241"/>
      <c r="G42" s="1241"/>
      <c r="H42" s="1241"/>
      <c r="I42" s="1241"/>
      <c r="J42" s="1241"/>
      <c r="K42" s="1241"/>
      <c r="L42" s="1242"/>
      <c r="M42" s="1243"/>
      <c r="N42" s="1243"/>
      <c r="O42" s="1243"/>
      <c r="P42" s="278"/>
      <c r="Q42" s="277"/>
      <c r="R42" s="272"/>
      <c r="S42" s="1365">
        <f>INDEX(PT_DIFFERENTIATION_NUM_NTAR,MATCH(A42,PT_DIFFERENTIATION_NTAR_ID,0))</f>
        <v>0</v>
      </c>
      <c r="T42" s="216" t="s">
        <v>141</v>
      </c>
      <c r="U42" s="218"/>
      <c r="V42" s="5362"/>
      <c r="W42" s="5363"/>
      <c r="X42" s="5363"/>
      <c r="Y42" s="5363"/>
      <c r="Z42" s="5363"/>
      <c r="AA42" s="5363"/>
      <c r="AB42" s="5363"/>
      <c r="AC42" s="5363"/>
      <c r="AD42" s="5363"/>
      <c r="AE42" s="5363"/>
      <c r="AF42" s="5364"/>
      <c r="AG42" s="5362" t="str">
        <f>INDEX(PT_DIFFERENTIATION_NTAR,MATCH(A42,PT_DIFFERENTIATION_NTAR_ID,0))</f>
        <v/>
      </c>
      <c r="AH42" s="5363"/>
      <c r="AI42" s="5363"/>
      <c r="AJ42" s="5363"/>
      <c r="AK42" s="5363"/>
      <c r="AL42" s="5363"/>
      <c r="AM42" s="5363"/>
      <c r="AN42" s="5363"/>
      <c r="AO42" s="5363"/>
      <c r="AP42" s="5363"/>
      <c r="AQ42" s="5363"/>
      <c r="AR42" s="5364"/>
      <c r="AS4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08"/>
      <c r="AV42" s="408" t="str">
        <f t="shared" ref="AV42:AV54" si="1">IF(T42="","",T42)</f>
        <v>Наименование тарифа</v>
      </c>
      <c r="AW42" s="408"/>
      <c r="AX42" s="408"/>
    </row>
    <row r="43" spans="1:50" ht="23.25" customHeight="1">
      <c r="A43" s="1241" t="s">
        <v>334</v>
      </c>
      <c r="B43" s="1241" t="s">
        <v>335</v>
      </c>
      <c r="C43" s="1241"/>
      <c r="D43" s="1241"/>
      <c r="E43" s="5377"/>
      <c r="F43" s="5376">
        <v>1</v>
      </c>
      <c r="G43" s="1241"/>
      <c r="H43" s="1241"/>
      <c r="I43" s="1241"/>
      <c r="J43" s="1241"/>
      <c r="K43" s="1241"/>
      <c r="L43" s="1242"/>
      <c r="M43" s="1243"/>
      <c r="N43" s="1243"/>
      <c r="O43" s="1243"/>
      <c r="P43" s="1359"/>
      <c r="Q43" s="269"/>
      <c r="R43" s="270"/>
      <c r="S43" s="1365" t="str">
        <f>INDEX(PT_DIFFERENTIATION_NUM_TER,MATCH(B43,PT_DIFFERENTIATION_TER_ID,0))</f>
        <v>.</v>
      </c>
      <c r="T43" s="226" t="s">
        <v>475</v>
      </c>
      <c r="U43" s="218"/>
      <c r="V43" s="5362"/>
      <c r="W43" s="5363"/>
      <c r="X43" s="5363"/>
      <c r="Y43" s="5363"/>
      <c r="Z43" s="5363"/>
      <c r="AA43" s="5363"/>
      <c r="AB43" s="5363"/>
      <c r="AC43" s="5363"/>
      <c r="AD43" s="5363"/>
      <c r="AE43" s="5363"/>
      <c r="AF43" s="5364"/>
      <c r="AG43" s="5362" t="str">
        <f>INDEX(PT_DIFFERENTIATION_TER,MATCH(B43,PT_DIFFERENTIATION_TER_ID,0))</f>
        <v/>
      </c>
      <c r="AH43" s="5363"/>
      <c r="AI43" s="5363"/>
      <c r="AJ43" s="5363"/>
      <c r="AK43" s="5363"/>
      <c r="AL43" s="5363"/>
      <c r="AM43" s="5363"/>
      <c r="AN43" s="5363"/>
      <c r="AO43" s="5363"/>
      <c r="AP43" s="5363"/>
      <c r="AQ43" s="5363"/>
      <c r="AR43" s="5364"/>
      <c r="AS43" s="1141" t="s">
        <v>476</v>
      </c>
      <c r="AU43" s="408"/>
      <c r="AV43" s="408" t="str">
        <f t="shared" si="1"/>
        <v>Территория действия тарифа</v>
      </c>
      <c r="AW43" s="408"/>
      <c r="AX43" s="408"/>
    </row>
    <row r="44" spans="1:50" ht="23.25" customHeight="1">
      <c r="A44" s="1241" t="s">
        <v>334</v>
      </c>
      <c r="B44" s="1241" t="s">
        <v>335</v>
      </c>
      <c r="C44" s="1241" t="s">
        <v>336</v>
      </c>
      <c r="D44" s="1241"/>
      <c r="E44" s="5377"/>
      <c r="F44" s="5377"/>
      <c r="G44" s="5376">
        <v>1</v>
      </c>
      <c r="H44" s="1241"/>
      <c r="I44" s="1241"/>
      <c r="J44" s="1241"/>
      <c r="K44" s="1241"/>
      <c r="L44" s="1242"/>
      <c r="M44" s="1243"/>
      <c r="N44" s="1243"/>
      <c r="O44" s="1243"/>
      <c r="P44" s="271"/>
      <c r="Q44" s="269"/>
      <c r="R44" s="270"/>
      <c r="S44" s="1365" t="str">
        <f>INDEX(PT_DIFFERENTIATION_NUM_CS,MATCH(C44,PT_DIFFERENTIATION_CS_ID,0))</f>
        <v>..</v>
      </c>
      <c r="T44" s="227" t="s">
        <v>606</v>
      </c>
      <c r="U44" s="218"/>
      <c r="V44" s="5362"/>
      <c r="W44" s="5363"/>
      <c r="X44" s="5363"/>
      <c r="Y44" s="5363"/>
      <c r="Z44" s="5363"/>
      <c r="AA44" s="5363"/>
      <c r="AB44" s="5363"/>
      <c r="AC44" s="5363"/>
      <c r="AD44" s="5363"/>
      <c r="AE44" s="5363"/>
      <c r="AF44" s="5364"/>
      <c r="AG44" s="5362" t="str">
        <f>INDEX(PT_DIFFERENTIATION_CS,MATCH(C44,PT_DIFFERENTIATION_CS_ID,0))</f>
        <v/>
      </c>
      <c r="AH44" s="5363"/>
      <c r="AI44" s="5363"/>
      <c r="AJ44" s="5363"/>
      <c r="AK44" s="5363"/>
      <c r="AL44" s="5363"/>
      <c r="AM44" s="5363"/>
      <c r="AN44" s="5363"/>
      <c r="AO44" s="5363"/>
      <c r="AP44" s="5363"/>
      <c r="AQ44" s="5363"/>
      <c r="AR44" s="5364"/>
      <c r="AS44" s="1141" t="s">
        <v>607</v>
      </c>
      <c r="AU44" s="408"/>
      <c r="AV44" s="408" t="str">
        <f t="shared" si="1"/>
        <v>Наименование централизованной системы горячего водоснабжения</v>
      </c>
      <c r="AW44" s="408"/>
      <c r="AX44" s="408"/>
    </row>
    <row r="45" spans="1:50" ht="23.25" customHeight="1">
      <c r="A45" s="1241" t="s">
        <v>334</v>
      </c>
      <c r="B45" s="1241" t="s">
        <v>335</v>
      </c>
      <c r="C45" s="1241" t="s">
        <v>336</v>
      </c>
      <c r="D45" s="1241" t="s">
        <v>632</v>
      </c>
      <c r="E45" s="5377"/>
      <c r="F45" s="5377"/>
      <c r="G45" s="5377"/>
      <c r="H45" s="5377"/>
      <c r="I45" s="5374" t="str">
        <f>S44&amp;".1"</f>
        <v>...1</v>
      </c>
      <c r="J45" s="1241"/>
      <c r="K45" s="1241"/>
      <c r="L45" s="1242"/>
      <c r="P45" s="5375">
        <v>1</v>
      </c>
      <c r="Q45" s="1353"/>
      <c r="R45" s="273"/>
      <c r="S45" s="1365" t="str">
        <f>$I45</f>
        <v>...1</v>
      </c>
      <c r="T45" s="203" t="s">
        <v>559</v>
      </c>
      <c r="U45" s="218"/>
      <c r="V45" s="5435"/>
      <c r="W45" s="5436"/>
      <c r="X45" s="5436"/>
      <c r="Y45" s="5436"/>
      <c r="Z45" s="5436"/>
      <c r="AA45" s="5436"/>
      <c r="AB45" s="5436"/>
      <c r="AC45" s="5436"/>
      <c r="AD45" s="5436"/>
      <c r="AE45" s="5436"/>
      <c r="AF45" s="5437"/>
      <c r="AG45" s="5438"/>
      <c r="AH45" s="5439"/>
      <c r="AI45" s="5439"/>
      <c r="AJ45" s="5439"/>
      <c r="AK45" s="5439"/>
      <c r="AL45" s="5439"/>
      <c r="AM45" s="5439"/>
      <c r="AN45" s="5439"/>
      <c r="AO45" s="5439"/>
      <c r="AP45" s="5439"/>
      <c r="AQ45" s="5439"/>
      <c r="AR45" s="5440"/>
      <c r="AS45" s="1141" t="s">
        <v>560</v>
      </c>
      <c r="AU45" s="408"/>
      <c r="AV45" s="408" t="str">
        <f t="shared" si="1"/>
        <v>Наименование признака дифференциации</v>
      </c>
      <c r="AW45" s="408"/>
      <c r="AX45" s="408"/>
    </row>
    <row r="46" spans="1:50" ht="23.25" customHeight="1">
      <c r="A46" s="1241" t="s">
        <v>334</v>
      </c>
      <c r="B46" s="1241" t="s">
        <v>335</v>
      </c>
      <c r="C46" s="1241" t="s">
        <v>336</v>
      </c>
      <c r="D46" s="1241" t="s">
        <v>632</v>
      </c>
      <c r="E46" s="5377"/>
      <c r="F46" s="5377"/>
      <c r="G46" s="5377"/>
      <c r="H46" s="5377"/>
      <c r="I46" s="5397"/>
      <c r="J46" s="5374" t="str">
        <f>I45&amp;".1"</f>
        <v>...1.1</v>
      </c>
      <c r="K46" s="1241"/>
      <c r="L46" s="1242" t="s">
        <v>484</v>
      </c>
      <c r="P46" s="5375"/>
      <c r="Q46" s="5375">
        <v>1</v>
      </c>
      <c r="R46" s="274"/>
      <c r="S46" s="1365" t="str">
        <f>$J46</f>
        <v>...1.1</v>
      </c>
      <c r="T46" s="204" t="s">
        <v>485</v>
      </c>
      <c r="U46" s="218"/>
      <c r="V46" s="5365"/>
      <c r="W46" s="5366"/>
      <c r="X46" s="5366"/>
      <c r="Y46" s="5366"/>
      <c r="Z46" s="5366"/>
      <c r="AA46" s="5366"/>
      <c r="AB46" s="5366"/>
      <c r="AC46" s="5366"/>
      <c r="AD46" s="5366"/>
      <c r="AE46" s="5366"/>
      <c r="AF46" s="5367"/>
      <c r="AG46" s="5365"/>
      <c r="AH46" s="5366"/>
      <c r="AI46" s="5366"/>
      <c r="AJ46" s="5366"/>
      <c r="AK46" s="5366"/>
      <c r="AL46" s="5366"/>
      <c r="AM46" s="5366"/>
      <c r="AN46" s="5366"/>
      <c r="AO46" s="5366"/>
      <c r="AP46" s="5366"/>
      <c r="AQ46" s="5366"/>
      <c r="AR46" s="5367"/>
      <c r="AS46" s="1188" t="s">
        <v>561</v>
      </c>
      <c r="AU46" s="408"/>
      <c r="AV46" s="408" t="str">
        <f t="shared" si="1"/>
        <v>Группа потребителей</v>
      </c>
      <c r="AW46" s="408"/>
      <c r="AX46" s="408"/>
    </row>
    <row r="47" spans="1:50" ht="23.25" customHeight="1">
      <c r="A47" s="1241" t="s">
        <v>334</v>
      </c>
      <c r="B47" s="1241" t="s">
        <v>335</v>
      </c>
      <c r="C47" s="1241" t="s">
        <v>336</v>
      </c>
      <c r="D47" s="1241" t="s">
        <v>632</v>
      </c>
      <c r="E47" s="5377"/>
      <c r="F47" s="5377"/>
      <c r="G47" s="5377"/>
      <c r="H47" s="5377"/>
      <c r="I47" s="5397"/>
      <c r="J47" s="5397"/>
      <c r="K47" s="5374" t="str">
        <f>J46&amp;".1"</f>
        <v>...1.1.1</v>
      </c>
      <c r="L47" s="1242"/>
      <c r="P47" s="5375"/>
      <c r="Q47" s="5375"/>
      <c r="R47" s="274">
        <v>1</v>
      </c>
      <c r="S47" s="1365" t="str">
        <f>$K47</f>
        <v>...1.1.1</v>
      </c>
      <c r="T47" s="1314"/>
      <c r="U47" s="218"/>
      <c r="V47" s="1238"/>
      <c r="W47" s="1238"/>
      <c r="X47" s="1238"/>
      <c r="Y47" s="1238"/>
      <c r="Z47" s="1238"/>
      <c r="AA47" s="1238"/>
      <c r="AB47" s="1239"/>
      <c r="AC47" s="5381"/>
      <c r="AD47" s="5382" t="s">
        <v>64</v>
      </c>
      <c r="AE47" s="5381"/>
      <c r="AF47" s="5382" t="s">
        <v>64</v>
      </c>
      <c r="AG47" s="650"/>
      <c r="AH47" s="650"/>
      <c r="AI47" s="650"/>
      <c r="AJ47" s="650"/>
      <c r="AK47" s="650"/>
      <c r="AL47" s="650"/>
      <c r="AM47" s="1140"/>
      <c r="AN47" s="5379"/>
      <c r="AO47" s="5225" t="s">
        <v>64</v>
      </c>
      <c r="AP47" s="5398"/>
      <c r="AQ47" s="5225" t="s">
        <v>54</v>
      </c>
      <c r="AR47" s="1315"/>
      <c r="AS47" s="5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9" t="e">
        <f ca="1">STRCHECKDATE(V48:AR48)</f>
        <v>#NAME?</v>
      </c>
      <c r="AU47" s="408"/>
      <c r="AV47" s="408" t="str">
        <f t="shared" si="1"/>
        <v/>
      </c>
      <c r="AW47" s="408"/>
      <c r="AX47" s="408"/>
    </row>
    <row r="48" spans="1:50" ht="0" hidden="1" customHeight="1">
      <c r="A48" s="1241" t="s">
        <v>334</v>
      </c>
      <c r="B48" s="1241" t="s">
        <v>335</v>
      </c>
      <c r="C48" s="1241" t="s">
        <v>336</v>
      </c>
      <c r="D48" s="1241" t="s">
        <v>632</v>
      </c>
      <c r="E48" s="5377"/>
      <c r="F48" s="5377"/>
      <c r="G48" s="5377"/>
      <c r="H48" s="5377"/>
      <c r="I48" s="5397"/>
      <c r="J48" s="5397"/>
      <c r="K48" s="5374"/>
      <c r="L48" s="1242"/>
      <c r="P48" s="5375"/>
      <c r="Q48" s="5375"/>
      <c r="R48" s="274"/>
      <c r="S48" s="1362"/>
      <c r="T48" s="218"/>
      <c r="U48" s="218"/>
      <c r="V48" s="1238"/>
      <c r="W48" s="1238"/>
      <c r="X48" s="1238"/>
      <c r="Y48" s="1238"/>
      <c r="Z48" s="1238"/>
      <c r="AA48" s="1238"/>
      <c r="AB48" s="246" t="str">
        <f>AC47&amp;"-"&amp;AE47</f>
        <v>-</v>
      </c>
      <c r="AC48" s="5382"/>
      <c r="AD48" s="5382"/>
      <c r="AE48" s="5382"/>
      <c r="AF48" s="5382"/>
      <c r="AG48" s="243"/>
      <c r="AH48" s="243"/>
      <c r="AI48" s="243"/>
      <c r="AJ48" s="243"/>
      <c r="AK48" s="243"/>
      <c r="AL48" s="243"/>
      <c r="AM48" s="246" t="str">
        <f>AN47&amp;"-"&amp;AP47</f>
        <v>-</v>
      </c>
      <c r="AN48" s="5380"/>
      <c r="AO48" s="5225"/>
      <c r="AP48" s="5399"/>
      <c r="AQ48" s="5225"/>
      <c r="AR48" s="1316"/>
      <c r="AS48" s="5434"/>
      <c r="AU48" s="408"/>
      <c r="AV48" s="408" t="str">
        <f t="shared" si="1"/>
        <v/>
      </c>
      <c r="AW48" s="408"/>
      <c r="AX48" s="408"/>
    </row>
    <row r="49" spans="1:50" ht="21" customHeight="1">
      <c r="A49" s="1241" t="s">
        <v>334</v>
      </c>
      <c r="B49" s="1241" t="s">
        <v>335</v>
      </c>
      <c r="C49" s="1241" t="s">
        <v>336</v>
      </c>
      <c r="D49" s="1241" t="s">
        <v>632</v>
      </c>
      <c r="E49" s="5377"/>
      <c r="F49" s="5377"/>
      <c r="G49" s="5377"/>
      <c r="H49" s="5377"/>
      <c r="I49" s="5397"/>
      <c r="J49" s="5374"/>
      <c r="K49" s="1241"/>
      <c r="L49" s="1242"/>
      <c r="P49" s="5375"/>
      <c r="Q49" s="5375"/>
      <c r="R49" s="273"/>
      <c r="S49" s="1161"/>
      <c r="T49" s="205" t="s">
        <v>562</v>
      </c>
      <c r="U49" s="283"/>
      <c r="V49" s="283"/>
      <c r="W49" s="504"/>
      <c r="X49" s="504"/>
      <c r="Y49" s="504"/>
      <c r="Z49" s="504"/>
      <c r="AA49" s="504"/>
      <c r="AB49" s="283"/>
      <c r="AC49" s="283"/>
      <c r="AD49" s="283"/>
      <c r="AE49" s="283"/>
      <c r="AF49" s="283"/>
      <c r="AG49" s="283"/>
      <c r="AH49" s="504"/>
      <c r="AI49" s="504"/>
      <c r="AJ49" s="504"/>
      <c r="AK49" s="504"/>
      <c r="AL49" s="504"/>
      <c r="AM49" s="283"/>
      <c r="AN49" s="283"/>
      <c r="AO49" s="283"/>
      <c r="AP49" s="283"/>
      <c r="AQ49" s="283"/>
      <c r="AR49" s="283"/>
      <c r="AS49" s="1141" t="s">
        <v>563</v>
      </c>
      <c r="AU49" s="408"/>
      <c r="AV49" s="408" t="str">
        <f t="shared" si="1"/>
        <v>Добавить значение признака дифференциации</v>
      </c>
      <c r="AW49" s="408"/>
      <c r="AX49" s="408"/>
    </row>
    <row r="50" spans="1:50" ht="21" customHeight="1">
      <c r="A50" s="1241" t="s">
        <v>334</v>
      </c>
      <c r="B50" s="1241" t="s">
        <v>335</v>
      </c>
      <c r="C50" s="1241" t="s">
        <v>336</v>
      </c>
      <c r="D50" s="1241" t="s">
        <v>632</v>
      </c>
      <c r="E50" s="5377"/>
      <c r="F50" s="5377"/>
      <c r="G50" s="5377"/>
      <c r="H50" s="5377"/>
      <c r="I50" s="5374"/>
      <c r="J50" s="1241"/>
      <c r="K50" s="1241"/>
      <c r="L50" s="1242"/>
      <c r="P50" s="5375"/>
      <c r="Q50" s="1353"/>
      <c r="R50" s="273"/>
      <c r="S50" s="1161"/>
      <c r="T50" s="281" t="s">
        <v>490</v>
      </c>
      <c r="U50" s="283"/>
      <c r="V50" s="283"/>
      <c r="W50" s="504"/>
      <c r="X50" s="504"/>
      <c r="Y50" s="504"/>
      <c r="Z50" s="504"/>
      <c r="AA50" s="504"/>
      <c r="AB50" s="283"/>
      <c r="AC50" s="283"/>
      <c r="AD50" s="283"/>
      <c r="AE50" s="283"/>
      <c r="AF50" s="282"/>
      <c r="AG50" s="283"/>
      <c r="AH50" s="504"/>
      <c r="AI50" s="504"/>
      <c r="AJ50" s="504"/>
      <c r="AK50" s="504"/>
      <c r="AL50" s="504"/>
      <c r="AM50" s="283"/>
      <c r="AN50" s="283"/>
      <c r="AO50" s="283"/>
      <c r="AP50" s="283"/>
      <c r="AQ50" s="282"/>
      <c r="AR50" s="283"/>
      <c r="AS50" s="1317"/>
      <c r="AU50" s="408"/>
      <c r="AV50" s="408" t="str">
        <f t="shared" si="1"/>
        <v>Добавить группу потребителей</v>
      </c>
      <c r="AW50" s="408"/>
      <c r="AX50" s="408"/>
    </row>
    <row r="51" spans="1:50" ht="21" customHeight="1">
      <c r="A51" s="1241" t="s">
        <v>334</v>
      </c>
      <c r="B51" s="1241" t="s">
        <v>335</v>
      </c>
      <c r="C51" s="1241" t="s">
        <v>336</v>
      </c>
      <c r="D51" s="1241" t="s">
        <v>632</v>
      </c>
      <c r="E51" s="5377"/>
      <c r="F51" s="5377"/>
      <c r="G51" s="5377"/>
      <c r="H51" s="5376"/>
      <c r="I51" s="1241"/>
      <c r="J51" s="1241"/>
      <c r="K51" s="1241"/>
      <c r="L51" s="1242"/>
      <c r="M51" s="1243"/>
      <c r="N51" s="1243"/>
      <c r="O51" s="444"/>
      <c r="P51" s="277"/>
      <c r="Q51" s="291"/>
      <c r="R51" s="272"/>
      <c r="S51" s="1161"/>
      <c r="T51" s="288" t="s">
        <v>564</v>
      </c>
      <c r="U51" s="283"/>
      <c r="V51" s="283"/>
      <c r="W51" s="504"/>
      <c r="X51" s="504"/>
      <c r="Y51" s="504"/>
      <c r="Z51" s="504"/>
      <c r="AA51" s="504"/>
      <c r="AB51" s="283"/>
      <c r="AC51" s="283"/>
      <c r="AD51" s="283"/>
      <c r="AE51" s="283"/>
      <c r="AF51" s="282"/>
      <c r="AG51" s="283"/>
      <c r="AH51" s="504"/>
      <c r="AI51" s="504"/>
      <c r="AJ51" s="504"/>
      <c r="AK51" s="504"/>
      <c r="AL51" s="504"/>
      <c r="AM51" s="283"/>
      <c r="AN51" s="283"/>
      <c r="AO51" s="283"/>
      <c r="AP51" s="283"/>
      <c r="AQ51" s="282"/>
      <c r="AR51" s="283"/>
      <c r="AS51" s="221"/>
      <c r="AU51" s="408"/>
      <c r="AV51" s="408" t="str">
        <f t="shared" si="1"/>
        <v>Добавить наименование признака дифференциации</v>
      </c>
      <c r="AW51" s="408"/>
      <c r="AX51" s="408"/>
    </row>
    <row r="52" spans="1:50" s="4853" customFormat="1" ht="0" hidden="1" customHeight="1">
      <c r="A52" s="1222" t="s">
        <v>334</v>
      </c>
      <c r="B52" s="1222" t="s">
        <v>335</v>
      </c>
      <c r="C52" s="1194"/>
      <c r="D52" s="1194"/>
      <c r="E52" s="5377"/>
      <c r="F52" s="5376"/>
      <c r="G52" s="1194"/>
      <c r="H52" s="1194"/>
      <c r="I52" s="1194"/>
      <c r="J52" s="1194"/>
      <c r="K52" s="1194"/>
      <c r="L52" s="1366"/>
      <c r="M52" s="1201"/>
      <c r="N52" s="1201"/>
      <c r="P52" s="1196"/>
      <c r="Q52" s="1197"/>
      <c r="R52" s="1196"/>
      <c r="S52" s="1202"/>
      <c r="T52" s="1205" t="s">
        <v>271</v>
      </c>
      <c r="U52" s="1204"/>
      <c r="V52" s="1204"/>
      <c r="W52" s="1204"/>
      <c r="X52" s="1204"/>
      <c r="Y52" s="1204"/>
      <c r="Z52" s="1204"/>
      <c r="AA52" s="1204"/>
      <c r="AB52" s="1204"/>
      <c r="AC52" s="1204"/>
      <c r="AD52" s="1204"/>
      <c r="AE52" s="1204"/>
      <c r="AF52" s="1204"/>
      <c r="AG52" s="1204"/>
      <c r="AH52" s="1204"/>
      <c r="AI52" s="1204"/>
      <c r="AJ52" s="1204"/>
      <c r="AK52" s="1204"/>
      <c r="AL52" s="1204"/>
      <c r="AM52" s="1204"/>
      <c r="AN52" s="1204"/>
      <c r="AO52" s="1204"/>
      <c r="AP52" s="1204"/>
      <c r="AQ52" s="1204"/>
      <c r="AR52" s="1204"/>
      <c r="AS52" s="1204"/>
      <c r="AU52" s="688"/>
      <c r="AV52" s="688" t="str">
        <f t="shared" si="1"/>
        <v>Добавить централизованную систему для дифференциации</v>
      </c>
      <c r="AW52" s="688"/>
      <c r="AX52" s="688"/>
    </row>
    <row r="53" spans="1:50" s="4856" customFormat="1" ht="0" hidden="1" customHeight="1">
      <c r="A53" s="1222" t="s">
        <v>334</v>
      </c>
      <c r="B53" s="1222"/>
      <c r="C53" s="1222"/>
      <c r="D53" s="1222"/>
      <c r="E53" s="5376"/>
      <c r="F53" s="1222"/>
      <c r="G53" s="1222"/>
      <c r="H53" s="1222"/>
      <c r="I53" s="1222"/>
      <c r="J53" s="1222"/>
      <c r="K53" s="1222"/>
      <c r="L53" s="1225"/>
      <c r="M53" s="1201"/>
      <c r="N53" s="1201"/>
      <c r="O53" s="426"/>
      <c r="P53" s="296"/>
      <c r="Q53" s="1223"/>
      <c r="R53" s="296"/>
      <c r="S53" s="1202"/>
      <c r="T53" s="1205" t="s">
        <v>330</v>
      </c>
      <c r="U53" s="1204"/>
      <c r="V53" s="1204"/>
      <c r="W53" s="1204"/>
      <c r="X53" s="1204"/>
      <c r="Y53" s="1204"/>
      <c r="Z53" s="1204"/>
      <c r="AA53" s="1204"/>
      <c r="AB53" s="1204"/>
      <c r="AC53" s="1204"/>
      <c r="AD53" s="1204"/>
      <c r="AE53" s="1204"/>
      <c r="AF53" s="1204"/>
      <c r="AG53" s="1204"/>
      <c r="AH53" s="1204"/>
      <c r="AI53" s="1204"/>
      <c r="AJ53" s="1204"/>
      <c r="AK53" s="1204"/>
      <c r="AL53" s="1204"/>
      <c r="AM53" s="1204"/>
      <c r="AN53" s="1204"/>
      <c r="AO53" s="1204"/>
      <c r="AP53" s="1204"/>
      <c r="AQ53" s="1204"/>
      <c r="AR53" s="1204"/>
      <c r="AS53" s="1204"/>
      <c r="AU53" s="408"/>
      <c r="AV53" s="408" t="str">
        <f t="shared" si="1"/>
        <v>Добавить территорию для дифференциации</v>
      </c>
      <c r="AW53" s="408"/>
      <c r="AX53" s="408"/>
    </row>
    <row r="54" spans="1:50" s="4853" customFormat="1" ht="0" hidden="1" customHeight="1">
      <c r="A54" s="1194"/>
      <c r="B54" s="1194"/>
      <c r="C54" s="1194"/>
      <c r="D54" s="1194"/>
      <c r="E54" s="1222"/>
      <c r="F54" s="1194"/>
      <c r="G54" s="1194"/>
      <c r="H54" s="1194"/>
      <c r="I54" s="1194"/>
      <c r="J54" s="1194"/>
      <c r="K54" s="1194"/>
      <c r="L54" s="1366"/>
      <c r="M54" s="1201"/>
      <c r="N54" s="1201"/>
      <c r="P54" s="1196"/>
      <c r="Q54" s="1197"/>
      <c r="R54" s="1196"/>
      <c r="S54" s="1202"/>
      <c r="T54" s="1205" t="s">
        <v>331</v>
      </c>
      <c r="U54" s="1204"/>
      <c r="V54" s="1204"/>
      <c r="W54" s="1204"/>
      <c r="X54" s="1204"/>
      <c r="Y54" s="1204"/>
      <c r="Z54" s="1204"/>
      <c r="AA54" s="1204"/>
      <c r="AB54" s="1204"/>
      <c r="AC54" s="1204"/>
      <c r="AD54" s="1204"/>
      <c r="AE54" s="1204"/>
      <c r="AF54" s="1204"/>
      <c r="AG54" s="1204"/>
      <c r="AH54" s="1204"/>
      <c r="AI54" s="1204"/>
      <c r="AJ54" s="1204"/>
      <c r="AK54" s="1204"/>
      <c r="AL54" s="1204"/>
      <c r="AM54" s="1204"/>
      <c r="AN54" s="1204"/>
      <c r="AO54" s="1204"/>
      <c r="AP54" s="1204"/>
      <c r="AQ54" s="1204"/>
      <c r="AR54" s="1204"/>
      <c r="AS54" s="1204"/>
      <c r="AU54" s="688"/>
      <c r="AV54" s="688" t="str">
        <f t="shared" si="1"/>
        <v>Добавить наименование тарифа</v>
      </c>
      <c r="AW54" s="688"/>
      <c r="AX54" s="688"/>
    </row>
    <row r="55" spans="1:50" ht="11.25" customHeight="1">
      <c r="M55" s="1042"/>
      <c r="N55" s="1042"/>
      <c r="O55" s="444"/>
      <c r="P55" s="1037"/>
      <c r="Q55" s="1037"/>
      <c r="R55" s="1037"/>
      <c r="S55" s="1037"/>
      <c r="AT55" s="1037"/>
      <c r="AU55" s="1037"/>
      <c r="AV55" s="1037"/>
      <c r="AW55" s="1037"/>
      <c r="AX55" s="1037"/>
    </row>
    <row r="56" spans="1:50" ht="14.25" customHeight="1">
      <c r="O56" s="444"/>
      <c r="S56" s="1136"/>
      <c r="T56" s="5396"/>
      <c r="U56" s="5396"/>
      <c r="V56" s="5396"/>
      <c r="W56" s="5396"/>
      <c r="X56" s="5396"/>
      <c r="Y56" s="5396"/>
      <c r="Z56" s="5396"/>
      <c r="AA56" s="5396"/>
      <c r="AB56" s="5396"/>
      <c r="AC56" s="5396"/>
      <c r="AD56" s="5396"/>
      <c r="AE56" s="5396"/>
      <c r="AF56" s="5396"/>
      <c r="AG56" s="5396"/>
      <c r="AH56" s="5396"/>
      <c r="AI56" s="5396"/>
      <c r="AJ56" s="5396"/>
      <c r="AK56" s="5396"/>
      <c r="AL56" s="5396"/>
      <c r="AM56" s="5396"/>
      <c r="AN56" s="5396"/>
      <c r="AO56" s="5396"/>
      <c r="AP56" s="5396"/>
      <c r="AQ56" s="5396"/>
      <c r="AR56" s="5396"/>
      <c r="AS56" s="5396"/>
    </row>
    <row r="57" spans="1:50" ht="14.25" customHeight="1">
      <c r="O57" s="444"/>
    </row>
    <row r="58" spans="1:50" ht="14.25" customHeight="1">
      <c r="O58" s="444"/>
      <c r="S58" s="1136"/>
      <c r="T58" s="5396"/>
      <c r="U58" s="5396"/>
      <c r="V58" s="5396"/>
      <c r="W58" s="5396"/>
      <c r="X58" s="5396"/>
      <c r="Y58" s="5396"/>
      <c r="Z58" s="5396"/>
      <c r="AA58" s="5396"/>
      <c r="AB58" s="5396"/>
      <c r="AC58" s="5396"/>
      <c r="AD58" s="5396"/>
      <c r="AE58" s="5396"/>
      <c r="AF58" s="5396"/>
      <c r="AG58" s="5396"/>
      <c r="AH58" s="5396"/>
      <c r="AI58" s="5396"/>
      <c r="AJ58" s="5396"/>
      <c r="AK58" s="5396"/>
      <c r="AL58" s="5396"/>
      <c r="AM58" s="5396"/>
      <c r="AN58" s="5396"/>
      <c r="AO58" s="5396"/>
      <c r="AP58" s="5396"/>
      <c r="AQ58" s="5396"/>
      <c r="AR58" s="5396"/>
      <c r="AS58" s="5396"/>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4854" hidden="1" customWidth="1"/>
    <col min="2" max="2" width="11" style="4854" hidden="1" customWidth="1"/>
    <col min="3" max="3" width="10.5703125" style="4854" hidden="1"/>
    <col min="4" max="4" width="12.85546875" style="4854" hidden="1" customWidth="1"/>
    <col min="5" max="5" width="10" style="4854" hidden="1" customWidth="1"/>
    <col min="6" max="6" width="8.7109375" style="4854" hidden="1" customWidth="1"/>
    <col min="7" max="7" width="7.5703125" style="4854" hidden="1" customWidth="1"/>
    <col min="8" max="8" width="11.42578125" style="4854" hidden="1" customWidth="1"/>
    <col min="9" max="9" width="12" style="4854" hidden="1" customWidth="1"/>
    <col min="10" max="10" width="9.85546875" style="4854" hidden="1" customWidth="1"/>
    <col min="11" max="11" width="11.42578125" style="4854" hidden="1" customWidth="1"/>
    <col min="12" max="12" width="19.140625" style="4880" hidden="1" customWidth="1"/>
    <col min="13" max="14" width="12.28515625" style="4858" hidden="1" customWidth="1"/>
    <col min="15" max="15" width="23.42578125" style="4858" hidden="1" customWidth="1"/>
    <col min="16" max="16" width="3.7109375" style="4858" hidden="1" customWidth="1"/>
    <col min="17" max="17" width="3.7109375" style="4874" hidden="1" customWidth="1"/>
    <col min="18" max="18" width="3.7109375" style="4860" customWidth="1"/>
    <col min="19" max="19" width="12.7109375" style="4861" customWidth="1"/>
    <col min="20" max="20" width="32" style="4862" customWidth="1"/>
    <col min="21" max="21" width="0.140625" style="4862" customWidth="1"/>
    <col min="22" max="25" width="21.7109375" style="4862" hidden="1" customWidth="1"/>
    <col min="26" max="26" width="11.7109375" style="4862" hidden="1" customWidth="1"/>
    <col min="27" max="27" width="3.7109375" style="4862" hidden="1" customWidth="1"/>
    <col min="28" max="28" width="11.7109375" style="4862" hidden="1" customWidth="1"/>
    <col min="29" max="29" width="8.5703125" style="4862" hidden="1" customWidth="1"/>
    <col min="30" max="32" width="3.7109375" style="4862" customWidth="1"/>
    <col min="33" max="33" width="24.7109375" style="4862" customWidth="1"/>
    <col min="34" max="36" width="3.7109375" style="4862" customWidth="1"/>
    <col min="37" max="37" width="24.7109375" style="4862" customWidth="1"/>
    <col min="38" max="40" width="3.7109375" style="4862" customWidth="1"/>
    <col min="41" max="41" width="18.85546875" style="4862" customWidth="1"/>
    <col min="42" max="44" width="3.7109375" style="4862" customWidth="1"/>
    <col min="45" max="45" width="18.85546875" style="4862" customWidth="1"/>
    <col min="46" max="49" width="21.7109375" style="4862" customWidth="1"/>
    <col min="50" max="50" width="11.7109375" style="4862" customWidth="1"/>
    <col min="51" max="51" width="3.7109375" style="4862" customWidth="1"/>
    <col min="52" max="52" width="11.7109375" style="4862" customWidth="1"/>
    <col min="53" max="53" width="8.5703125" style="4862" hidden="1" customWidth="1"/>
    <col min="54" max="54" width="4.7109375" style="4862" customWidth="1"/>
    <col min="55" max="55" width="115.7109375" style="4862" customWidth="1"/>
    <col min="56" max="57" width="10.5703125" style="4856"/>
    <col min="58" max="58" width="11.140625" style="4856" customWidth="1"/>
    <col min="59" max="60" width="10.5703125" style="4856"/>
  </cols>
  <sheetData>
    <row r="1" spans="1:60" ht="14.25" hidden="1" customHeight="1">
      <c r="W1" s="245"/>
      <c r="Y1" s="245"/>
      <c r="Z1" s="245"/>
      <c r="AW1" s="245"/>
      <c r="AX1" s="245"/>
    </row>
    <row r="2" spans="1:60" ht="21" hidden="1" customHeight="1">
      <c r="A2" s="1241"/>
      <c r="B2" s="1241"/>
      <c r="C2" s="1241"/>
      <c r="D2" s="1241"/>
      <c r="E2" s="5376">
        <v>1</v>
      </c>
      <c r="F2" s="1241"/>
      <c r="G2" s="1241"/>
      <c r="H2" s="1241"/>
      <c r="I2" s="1241"/>
      <c r="J2" s="1241"/>
      <c r="K2" s="1241"/>
      <c r="L2" s="1242"/>
      <c r="M2" s="1243"/>
      <c r="N2" s="1243"/>
      <c r="O2" s="1243"/>
      <c r="P2" s="1287"/>
      <c r="Q2" s="768"/>
      <c r="R2" s="272"/>
      <c r="S2" s="1365" t="e">
        <f>INDEX(PT_DIFFERENTIATION_NUM_NTAR,MATCH(A2,PT_DIFFERENTIATION_NTAR_ID,0))</f>
        <v>#N/A</v>
      </c>
      <c r="T2" s="216" t="s">
        <v>141</v>
      </c>
      <c r="U2" s="218"/>
      <c r="V2" s="5363"/>
      <c r="W2" s="5363"/>
      <c r="X2" s="5363"/>
      <c r="Y2" s="5363"/>
      <c r="Z2" s="5363"/>
      <c r="AA2" s="5363"/>
      <c r="AB2" s="5363"/>
      <c r="AC2" s="5364"/>
      <c r="AD2" s="5362" t="e">
        <f>INDEX(PT_DIFFERENTIATION_NTAR,MATCH(A2,PT_DIFFERENTIATION_NTAR_ID,0))</f>
        <v>#N/A</v>
      </c>
      <c r="AE2" s="5363"/>
      <c r="AF2" s="5363"/>
      <c r="AG2" s="5363"/>
      <c r="AH2" s="5363"/>
      <c r="AI2" s="5363"/>
      <c r="AJ2" s="5363"/>
      <c r="AK2" s="5363"/>
      <c r="AL2" s="5363"/>
      <c r="AM2" s="5363"/>
      <c r="AN2" s="5363"/>
      <c r="AO2" s="5363"/>
      <c r="AP2" s="5363"/>
      <c r="AQ2" s="5363"/>
      <c r="AR2" s="5363"/>
      <c r="AS2" s="5363"/>
      <c r="AT2" s="5363"/>
      <c r="AU2" s="5363"/>
      <c r="AV2" s="5363"/>
      <c r="AW2" s="5363"/>
      <c r="AX2" s="5363"/>
      <c r="AY2" s="5363"/>
      <c r="AZ2" s="5363"/>
      <c r="BA2" s="5363"/>
      <c r="BB2" s="5364"/>
      <c r="BC2"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8"/>
      <c r="BF2" s="408" t="str">
        <f t="shared" ref="BF2:BF8" si="0">IF(T2="","",T2)</f>
        <v>Наименование тарифа</v>
      </c>
      <c r="BG2" s="408"/>
      <c r="BH2" s="408"/>
    </row>
    <row r="3" spans="1:60" ht="21" hidden="1" customHeight="1">
      <c r="A3" s="1241"/>
      <c r="B3" s="1241"/>
      <c r="C3" s="1241"/>
      <c r="D3" s="1241"/>
      <c r="E3" s="5377"/>
      <c r="F3" s="5376">
        <v>1</v>
      </c>
      <c r="G3" s="1241"/>
      <c r="H3" s="1241"/>
      <c r="I3" s="1241"/>
      <c r="J3" s="1241"/>
      <c r="K3" s="1241"/>
      <c r="L3" s="1242"/>
      <c r="M3" s="1243"/>
      <c r="N3" s="1243"/>
      <c r="O3" s="1243"/>
      <c r="P3" s="1288"/>
      <c r="Q3" s="1289"/>
      <c r="R3" s="270"/>
      <c r="S3" s="1365" t="e">
        <f>INDEX(PT_DIFFERENTIATION_NUM_TER,MATCH(B3,PT_DIFFERENTIATION_TER_ID,0))</f>
        <v>#N/A</v>
      </c>
      <c r="T3" s="226" t="s">
        <v>475</v>
      </c>
      <c r="U3" s="218"/>
      <c r="V3" s="5363"/>
      <c r="W3" s="5363"/>
      <c r="X3" s="5363"/>
      <c r="Y3" s="5363"/>
      <c r="Z3" s="5363"/>
      <c r="AA3" s="5363"/>
      <c r="AB3" s="5363"/>
      <c r="AC3" s="5364"/>
      <c r="AD3" s="5362" t="e">
        <f>INDEX(PT_DIFFERENTIATION_TER,MATCH(B3,PT_DIFFERENTIATION_TER_ID,0))</f>
        <v>#N/A</v>
      </c>
      <c r="AE3" s="5363"/>
      <c r="AF3" s="5363"/>
      <c r="AG3" s="5363"/>
      <c r="AH3" s="5363"/>
      <c r="AI3" s="5363"/>
      <c r="AJ3" s="5363"/>
      <c r="AK3" s="5363"/>
      <c r="AL3" s="5363"/>
      <c r="AM3" s="5363"/>
      <c r="AN3" s="5363"/>
      <c r="AO3" s="5363"/>
      <c r="AP3" s="5363"/>
      <c r="AQ3" s="5363"/>
      <c r="AR3" s="5363"/>
      <c r="AS3" s="5363"/>
      <c r="AT3" s="5363"/>
      <c r="AU3" s="5363"/>
      <c r="AV3" s="5363"/>
      <c r="AW3" s="5363"/>
      <c r="AX3" s="5363"/>
      <c r="AY3" s="5363"/>
      <c r="AZ3" s="5363"/>
      <c r="BA3" s="5363"/>
      <c r="BB3" s="5364"/>
      <c r="BC3" s="1141" t="s">
        <v>476</v>
      </c>
      <c r="BE3" s="408"/>
      <c r="BF3" s="408" t="str">
        <f t="shared" si="0"/>
        <v>Территория действия тарифа</v>
      </c>
      <c r="BG3" s="408"/>
      <c r="BH3" s="408"/>
    </row>
    <row r="4" spans="1:60" ht="33.75" hidden="1" customHeight="1">
      <c r="A4" s="1241"/>
      <c r="B4" s="1241"/>
      <c r="C4" s="1241"/>
      <c r="D4" s="1241"/>
      <c r="E4" s="5377"/>
      <c r="F4" s="5377"/>
      <c r="G4" s="5376">
        <v>1</v>
      </c>
      <c r="H4" s="1241"/>
      <c r="I4" s="1241"/>
      <c r="J4" s="1241"/>
      <c r="K4" s="1241"/>
      <c r="L4" s="1242"/>
      <c r="M4" s="1243"/>
      <c r="N4" s="1243"/>
      <c r="O4" s="1243"/>
      <c r="P4" s="1290"/>
      <c r="Q4" s="1289"/>
      <c r="R4" s="270"/>
      <c r="S4" s="1365" t="e">
        <f>INDEX(PT_DIFFERENTIATION_NUM_CS,MATCH(C4,PT_DIFFERENTIATION_CS_ID,0))</f>
        <v>#N/A</v>
      </c>
      <c r="T4" s="227" t="s">
        <v>606</v>
      </c>
      <c r="U4" s="218"/>
      <c r="V4" s="5363"/>
      <c r="W4" s="5363"/>
      <c r="X4" s="5363"/>
      <c r="Y4" s="5363"/>
      <c r="Z4" s="5363"/>
      <c r="AA4" s="5363"/>
      <c r="AB4" s="5363"/>
      <c r="AC4" s="5364"/>
      <c r="AD4" s="5362" t="e">
        <f>INDEX(PT_DIFFERENTIATION_CS,MATCH(C4,PT_DIFFERENTIATION_CS_ID,0))</f>
        <v>#N/A</v>
      </c>
      <c r="AE4" s="5363"/>
      <c r="AF4" s="5363"/>
      <c r="AG4" s="5363"/>
      <c r="AH4" s="5363"/>
      <c r="AI4" s="5363"/>
      <c r="AJ4" s="5363"/>
      <c r="AK4" s="5363"/>
      <c r="AL4" s="5363"/>
      <c r="AM4" s="5363"/>
      <c r="AN4" s="5363"/>
      <c r="AO4" s="5363"/>
      <c r="AP4" s="5363"/>
      <c r="AQ4" s="5363"/>
      <c r="AR4" s="5363"/>
      <c r="AS4" s="5363"/>
      <c r="AT4" s="5363"/>
      <c r="AU4" s="5363"/>
      <c r="AV4" s="5363"/>
      <c r="AW4" s="5363"/>
      <c r="AX4" s="5363"/>
      <c r="AY4" s="5363"/>
      <c r="AZ4" s="5363"/>
      <c r="BA4" s="5363"/>
      <c r="BB4" s="5364"/>
      <c r="BC4" s="1141" t="s">
        <v>607</v>
      </c>
      <c r="BE4" s="408"/>
      <c r="BF4" s="408" t="str">
        <f t="shared" si="0"/>
        <v>Наименование централизованной системы горячего водоснабжения</v>
      </c>
      <c r="BG4" s="408"/>
      <c r="BH4" s="408"/>
    </row>
    <row r="5" spans="1:60" s="4856" customFormat="1" ht="14.25" hidden="1" customHeight="1">
      <c r="A5" s="1222"/>
      <c r="B5" s="1222"/>
      <c r="C5" s="1222"/>
      <c r="D5" s="1222"/>
      <c r="E5" s="5377"/>
      <c r="F5" s="5377"/>
      <c r="G5" s="5377"/>
      <c r="H5" s="5376">
        <v>1</v>
      </c>
      <c r="I5" s="1222"/>
      <c r="J5" s="1222"/>
      <c r="K5" s="1222"/>
      <c r="L5" s="1225"/>
      <c r="M5" s="1195"/>
      <c r="N5" s="1195"/>
      <c r="O5" s="1195"/>
      <c r="P5" s="1369"/>
      <c r="Q5" s="1370"/>
      <c r="R5" s="274"/>
      <c r="S5" s="931"/>
      <c r="T5" s="1371"/>
      <c r="U5" s="1262"/>
      <c r="V5" s="5406"/>
      <c r="W5" s="5406"/>
      <c r="X5" s="5406"/>
      <c r="Y5" s="5406"/>
      <c r="Z5" s="5406"/>
      <c r="AA5" s="5406"/>
      <c r="AB5" s="5406"/>
      <c r="AC5" s="5407"/>
      <c r="AD5" s="5405"/>
      <c r="AE5" s="5406"/>
      <c r="AF5" s="5406"/>
      <c r="AG5" s="5406"/>
      <c r="AH5" s="5406"/>
      <c r="AI5" s="5406"/>
      <c r="AJ5" s="5406"/>
      <c r="AK5" s="5406"/>
      <c r="AL5" s="5406"/>
      <c r="AM5" s="5406"/>
      <c r="AN5" s="5406"/>
      <c r="AO5" s="5406"/>
      <c r="AP5" s="5406"/>
      <c r="AQ5" s="5406"/>
      <c r="AR5" s="5406"/>
      <c r="AS5" s="5406"/>
      <c r="AT5" s="5406"/>
      <c r="AU5" s="5406"/>
      <c r="AV5" s="5406"/>
      <c r="AW5" s="5406"/>
      <c r="AX5" s="5406"/>
      <c r="AY5" s="5406"/>
      <c r="AZ5" s="5406"/>
      <c r="BA5" s="5406"/>
      <c r="BB5" s="5407"/>
      <c r="BC5" s="1263" t="s">
        <v>480</v>
      </c>
      <c r="BE5" s="408"/>
      <c r="BF5" s="408" t="str">
        <f t="shared" si="0"/>
        <v/>
      </c>
      <c r="BG5" s="408"/>
      <c r="BH5" s="408"/>
    </row>
    <row r="6" spans="1:60" s="4856" customFormat="1" ht="14.25" hidden="1" customHeight="1">
      <c r="A6" s="1222"/>
      <c r="B6" s="1222"/>
      <c r="C6" s="1222"/>
      <c r="D6" s="1222"/>
      <c r="E6" s="5377"/>
      <c r="F6" s="5377"/>
      <c r="G6" s="5377"/>
      <c r="H6" s="5377"/>
      <c r="I6" s="5374" t="str">
        <f>S5&amp;".1"</f>
        <v>.1</v>
      </c>
      <c r="J6" s="1222"/>
      <c r="K6" s="1222"/>
      <c r="L6" s="1225" t="s">
        <v>481</v>
      </c>
      <c r="M6" s="418"/>
      <c r="N6" s="418"/>
      <c r="O6" s="418"/>
      <c r="P6" s="5375">
        <v>1</v>
      </c>
      <c r="Q6" s="1353"/>
      <c r="R6" s="273"/>
      <c r="S6" s="931"/>
      <c r="T6" s="1261"/>
      <c r="U6" s="1262"/>
      <c r="V6" s="5406"/>
      <c r="W6" s="5406"/>
      <c r="X6" s="5406"/>
      <c r="Y6" s="5406"/>
      <c r="Z6" s="5406"/>
      <c r="AA6" s="5406"/>
      <c r="AB6" s="5406"/>
      <c r="AC6" s="5407"/>
      <c r="AD6" s="5405"/>
      <c r="AE6" s="5406"/>
      <c r="AF6" s="5406"/>
      <c r="AG6" s="5406"/>
      <c r="AH6" s="5406"/>
      <c r="AI6" s="5406"/>
      <c r="AJ6" s="5406"/>
      <c r="AK6" s="5406"/>
      <c r="AL6" s="5406"/>
      <c r="AM6" s="5406"/>
      <c r="AN6" s="5406"/>
      <c r="AO6" s="5406"/>
      <c r="AP6" s="5406"/>
      <c r="AQ6" s="5406"/>
      <c r="AR6" s="5406"/>
      <c r="AS6" s="5406"/>
      <c r="AT6" s="5406"/>
      <c r="AU6" s="5406"/>
      <c r="AV6" s="5406"/>
      <c r="AW6" s="5406"/>
      <c r="AX6" s="5406"/>
      <c r="AY6" s="5406"/>
      <c r="AZ6" s="5406"/>
      <c r="BA6" s="5406"/>
      <c r="BB6" s="5407"/>
      <c r="BC6" s="1263"/>
      <c r="BE6" s="408"/>
      <c r="BF6" s="408" t="str">
        <f t="shared" si="0"/>
        <v/>
      </c>
      <c r="BG6" s="408"/>
      <c r="BH6" s="408"/>
    </row>
    <row r="7" spans="1:60" s="4856" customFormat="1" ht="14.25" hidden="1" customHeight="1">
      <c r="A7" s="1222"/>
      <c r="B7" s="1222"/>
      <c r="C7" s="1222"/>
      <c r="D7" s="1222"/>
      <c r="E7" s="5377"/>
      <c r="F7" s="5377"/>
      <c r="G7" s="5377"/>
      <c r="H7" s="5377"/>
      <c r="I7" s="5397"/>
      <c r="J7" s="5374" t="str">
        <f>S5&amp;".1"</f>
        <v>.1</v>
      </c>
      <c r="K7" s="1222"/>
      <c r="L7" s="1225"/>
      <c r="M7" s="418"/>
      <c r="N7" s="418"/>
      <c r="O7" s="418"/>
      <c r="P7" s="5375"/>
      <c r="Q7" s="5375">
        <v>1</v>
      </c>
      <c r="R7" s="274"/>
      <c r="S7" s="931"/>
      <c r="T7" s="1277"/>
      <c r="U7" s="1262"/>
      <c r="V7" s="5406"/>
      <c r="W7" s="5406"/>
      <c r="X7" s="5406"/>
      <c r="Y7" s="5406"/>
      <c r="Z7" s="5406"/>
      <c r="AA7" s="5406"/>
      <c r="AB7" s="5406"/>
      <c r="AC7" s="5407"/>
      <c r="AD7" s="5405"/>
      <c r="AE7" s="5406"/>
      <c r="AF7" s="5406"/>
      <c r="AG7" s="5406"/>
      <c r="AH7" s="5406"/>
      <c r="AI7" s="5406"/>
      <c r="AJ7" s="5406"/>
      <c r="AK7" s="5406"/>
      <c r="AL7" s="5406"/>
      <c r="AM7" s="5406"/>
      <c r="AN7" s="5406"/>
      <c r="AO7" s="5406"/>
      <c r="AP7" s="5406"/>
      <c r="AQ7" s="5406"/>
      <c r="AR7" s="5406"/>
      <c r="AS7" s="5406"/>
      <c r="AT7" s="5406"/>
      <c r="AU7" s="5406"/>
      <c r="AV7" s="5406"/>
      <c r="AW7" s="5406"/>
      <c r="AX7" s="5406"/>
      <c r="AY7" s="5406"/>
      <c r="AZ7" s="5406"/>
      <c r="BA7" s="5406"/>
      <c r="BB7" s="5407"/>
      <c r="BC7" s="1263"/>
      <c r="BE7" s="408"/>
      <c r="BF7" s="408" t="str">
        <f t="shared" si="0"/>
        <v/>
      </c>
      <c r="BG7" s="408"/>
      <c r="BH7" s="408"/>
    </row>
    <row r="8" spans="1:60" ht="11.25" hidden="1" customHeight="1">
      <c r="A8" s="1241"/>
      <c r="B8" s="1241"/>
      <c r="C8" s="1241"/>
      <c r="D8" s="1241"/>
      <c r="E8" s="5377"/>
      <c r="F8" s="5377"/>
      <c r="G8" s="5377"/>
      <c r="H8" s="5377"/>
      <c r="I8" s="5397"/>
      <c r="J8" s="5397"/>
      <c r="K8" s="5374" t="e">
        <f>S4&amp;".1"</f>
        <v>#N/A</v>
      </c>
      <c r="L8" s="1242"/>
      <c r="P8" s="5375"/>
      <c r="Q8" s="5375"/>
      <c r="R8" s="5432">
        <v>1</v>
      </c>
      <c r="S8" s="5426" t="e">
        <f>$K8</f>
        <v>#N/A</v>
      </c>
      <c r="T8" s="5445"/>
      <c r="U8" s="218"/>
      <c r="V8" s="650"/>
      <c r="W8" s="1140"/>
      <c r="X8" s="650"/>
      <c r="Y8" s="1140"/>
      <c r="Z8" s="1597"/>
      <c r="AA8" s="1342" t="s">
        <v>64</v>
      </c>
      <c r="AB8" s="1597"/>
      <c r="AC8" s="1342" t="s">
        <v>64</v>
      </c>
      <c r="AD8" s="5296" t="s">
        <v>64</v>
      </c>
      <c r="AE8" s="5412"/>
      <c r="AF8" s="5332">
        <v>1</v>
      </c>
      <c r="AG8" s="5449"/>
      <c r="AH8" s="5225" t="s">
        <v>64</v>
      </c>
      <c r="AI8" s="5412"/>
      <c r="AJ8" s="5332">
        <v>1</v>
      </c>
      <c r="AK8" s="5448" t="s">
        <v>24</v>
      </c>
      <c r="AL8" s="5225" t="s">
        <v>64</v>
      </c>
      <c r="AM8" s="5322"/>
      <c r="AN8" s="5332">
        <v>1</v>
      </c>
      <c r="AO8" s="5442"/>
      <c r="AP8" s="5443" t="s">
        <v>64</v>
      </c>
      <c r="AQ8" s="229"/>
      <c r="AR8" s="1358">
        <v>1</v>
      </c>
      <c r="AS8" s="1364" t="s">
        <v>24</v>
      </c>
      <c r="AT8" s="650"/>
      <c r="AU8" s="1140"/>
      <c r="AV8" s="650"/>
      <c r="AW8" s="1140"/>
      <c r="AX8" s="1597"/>
      <c r="AY8" s="1342" t="s">
        <v>64</v>
      </c>
      <c r="AZ8" s="1597"/>
      <c r="BA8" s="1342" t="s">
        <v>64</v>
      </c>
      <c r="BB8" s="1227"/>
      <c r="BC8" s="5371" t="s">
        <v>577</v>
      </c>
      <c r="BE8" s="408"/>
      <c r="BF8" s="408" t="str">
        <f t="shared" si="0"/>
        <v/>
      </c>
      <c r="BG8" s="408"/>
      <c r="BH8" s="408"/>
    </row>
    <row r="9" spans="1:60" ht="11.25" hidden="1" customHeight="1">
      <c r="A9" s="1241"/>
      <c r="B9" s="1241"/>
      <c r="C9" s="1241"/>
      <c r="D9" s="1241"/>
      <c r="E9" s="5377"/>
      <c r="F9" s="5377"/>
      <c r="G9" s="5377"/>
      <c r="H9" s="5377"/>
      <c r="I9" s="5397"/>
      <c r="J9" s="5397"/>
      <c r="K9" s="5374"/>
      <c r="L9" s="1242"/>
      <c r="P9" s="5375"/>
      <c r="Q9" s="5375"/>
      <c r="R9" s="5432"/>
      <c r="S9" s="5427"/>
      <c r="T9" s="5446"/>
      <c r="U9" s="218"/>
      <c r="V9" s="1271"/>
      <c r="W9" s="1368"/>
      <c r="X9" s="1271"/>
      <c r="Y9" s="1368"/>
      <c r="Z9" s="1271"/>
      <c r="AA9" s="1271"/>
      <c r="AB9" s="1271"/>
      <c r="AC9" s="1271"/>
      <c r="AD9" s="5297"/>
      <c r="AE9" s="5412"/>
      <c r="AF9" s="5332"/>
      <c r="AG9" s="5449"/>
      <c r="AH9" s="5225"/>
      <c r="AI9" s="5412"/>
      <c r="AJ9" s="5332"/>
      <c r="AK9" s="5448"/>
      <c r="AL9" s="5225"/>
      <c r="AM9" s="5327"/>
      <c r="AN9" s="5332"/>
      <c r="AO9" s="5442"/>
      <c r="AP9" s="5444"/>
      <c r="AQ9" s="234"/>
      <c r="AR9" s="332"/>
      <c r="AS9" s="332" t="s">
        <v>578</v>
      </c>
      <c r="AT9" s="1271"/>
      <c r="AU9" s="1368"/>
      <c r="AV9" s="1271"/>
      <c r="AW9" s="1368"/>
      <c r="AX9" s="1271"/>
      <c r="AY9" s="1271"/>
      <c r="AZ9" s="1271"/>
      <c r="BA9" s="1271"/>
      <c r="BB9" s="1275"/>
      <c r="BC9" s="5372"/>
      <c r="BE9" s="408"/>
      <c r="BF9" s="408"/>
      <c r="BG9" s="408"/>
      <c r="BH9" s="408"/>
    </row>
    <row r="10" spans="1:60" ht="11.25" hidden="1" customHeight="1">
      <c r="A10" s="1241"/>
      <c r="B10" s="1241"/>
      <c r="C10" s="1241"/>
      <c r="D10" s="1241"/>
      <c r="E10" s="5377"/>
      <c r="F10" s="5377"/>
      <c r="G10" s="5377"/>
      <c r="H10" s="5377"/>
      <c r="I10" s="5397"/>
      <c r="J10" s="5397"/>
      <c r="K10" s="5374"/>
      <c r="L10" s="1242"/>
      <c r="P10" s="5375"/>
      <c r="Q10" s="5375"/>
      <c r="R10" s="5432"/>
      <c r="S10" s="5427"/>
      <c r="T10" s="5446"/>
      <c r="U10" s="218"/>
      <c r="V10" s="1271"/>
      <c r="W10" s="1368"/>
      <c r="X10" s="1271"/>
      <c r="Y10" s="1368"/>
      <c r="Z10" s="1271"/>
      <c r="AA10" s="1271"/>
      <c r="AB10" s="1271"/>
      <c r="AC10" s="1271"/>
      <c r="AD10" s="5297"/>
      <c r="AE10" s="5412"/>
      <c r="AF10" s="5332"/>
      <c r="AG10" s="5449"/>
      <c r="AH10" s="5225"/>
      <c r="AI10" s="5412"/>
      <c r="AJ10" s="5332"/>
      <c r="AK10" s="5448"/>
      <c r="AL10" s="5225"/>
      <c r="AM10" s="234"/>
      <c r="AN10" s="1372"/>
      <c r="AO10" s="1372" t="s">
        <v>579</v>
      </c>
      <c r="AP10" s="332"/>
      <c r="AQ10" s="332"/>
      <c r="AR10" s="332"/>
      <c r="AS10" s="1271"/>
      <c r="AT10" s="1271"/>
      <c r="AU10" s="1368"/>
      <c r="AV10" s="1271"/>
      <c r="AW10" s="1368"/>
      <c r="AX10" s="1271"/>
      <c r="AY10" s="1271"/>
      <c r="AZ10" s="1271"/>
      <c r="BA10" s="1271"/>
      <c r="BB10" s="1275"/>
      <c r="BC10" s="5372"/>
      <c r="BE10" s="408"/>
      <c r="BF10" s="408"/>
      <c r="BG10" s="408"/>
      <c r="BH10" s="408"/>
    </row>
    <row r="11" spans="1:60" ht="11.25" hidden="1" customHeight="1">
      <c r="A11" s="1241"/>
      <c r="B11" s="1241"/>
      <c r="C11" s="1241"/>
      <c r="D11" s="1241"/>
      <c r="E11" s="5377"/>
      <c r="F11" s="5377"/>
      <c r="G11" s="5377"/>
      <c r="H11" s="5377"/>
      <c r="I11" s="5397"/>
      <c r="J11" s="5397"/>
      <c r="K11" s="5374"/>
      <c r="L11" s="1242"/>
      <c r="P11" s="5375"/>
      <c r="Q11" s="5375"/>
      <c r="R11" s="5432"/>
      <c r="S11" s="5427"/>
      <c r="T11" s="5446"/>
      <c r="U11" s="218"/>
      <c r="V11" s="1271"/>
      <c r="W11" s="1368"/>
      <c r="X11" s="1271"/>
      <c r="Y11" s="1368"/>
      <c r="Z11" s="1271"/>
      <c r="AA11" s="1271"/>
      <c r="AB11" s="1271"/>
      <c r="AC11" s="1271"/>
      <c r="AD11" s="5297"/>
      <c r="AE11" s="5412"/>
      <c r="AF11" s="5332"/>
      <c r="AG11" s="5449"/>
      <c r="AH11" s="5225"/>
      <c r="AI11" s="212"/>
      <c r="AJ11" s="331"/>
      <c r="AK11" s="231" t="s">
        <v>580</v>
      </c>
      <c r="AL11" s="1271"/>
      <c r="AM11" s="1271"/>
      <c r="AN11" s="1271"/>
      <c r="AO11" s="1271"/>
      <c r="AP11" s="1271"/>
      <c r="AQ11" s="1271"/>
      <c r="AR11" s="1271"/>
      <c r="AS11" s="1271"/>
      <c r="AT11" s="1271"/>
      <c r="AU11" s="1368"/>
      <c r="AV11" s="1271"/>
      <c r="AW11" s="1368"/>
      <c r="AX11" s="1271"/>
      <c r="AY11" s="1271"/>
      <c r="AZ11" s="1271"/>
      <c r="BA11" s="1271"/>
      <c r="BB11" s="1275"/>
      <c r="BC11" s="5372"/>
      <c r="BE11" s="408"/>
      <c r="BF11" s="408"/>
      <c r="BG11" s="408"/>
      <c r="BH11" s="408"/>
    </row>
    <row r="12" spans="1:60" ht="11.25" hidden="1" customHeight="1">
      <c r="A12" s="1241"/>
      <c r="B12" s="1241"/>
      <c r="C12" s="1241"/>
      <c r="D12" s="1241"/>
      <c r="E12" s="5377"/>
      <c r="F12" s="5377"/>
      <c r="G12" s="5377"/>
      <c r="H12" s="5377"/>
      <c r="I12" s="5397"/>
      <c r="J12" s="5397"/>
      <c r="K12" s="5374"/>
      <c r="L12" s="1242"/>
      <c r="P12" s="5375"/>
      <c r="Q12" s="5375"/>
      <c r="R12" s="5432"/>
      <c r="S12" s="5428"/>
      <c r="T12" s="5447"/>
      <c r="U12" s="218"/>
      <c r="V12" s="1271"/>
      <c r="W12" s="1272" t="str">
        <f>Z8&amp;"-"&amp;AB8</f>
        <v>-</v>
      </c>
      <c r="X12" s="1271"/>
      <c r="Y12" s="1272" t="str">
        <f>AB8&amp;"-"&amp;AD8</f>
        <v>-да</v>
      </c>
      <c r="Z12" s="1271"/>
      <c r="AA12" s="1271"/>
      <c r="AB12" s="1271"/>
      <c r="AC12" s="1271"/>
      <c r="AD12" s="5230"/>
      <c r="AE12" s="230"/>
      <c r="AF12" s="232"/>
      <c r="AG12" s="332" t="s">
        <v>581</v>
      </c>
      <c r="AH12" s="1271"/>
      <c r="AI12" s="1271"/>
      <c r="AJ12" s="1271"/>
      <c r="AK12" s="1271"/>
      <c r="AL12" s="1271"/>
      <c r="AM12" s="1271"/>
      <c r="AN12" s="1271"/>
      <c r="AO12" s="1271"/>
      <c r="AP12" s="1271"/>
      <c r="AQ12" s="1271"/>
      <c r="AR12" s="1271"/>
      <c r="AS12" s="1271"/>
      <c r="AT12" s="1271"/>
      <c r="AU12" s="1272" t="str">
        <f>AX8&amp;"-"&amp;AZ8</f>
        <v>-</v>
      </c>
      <c r="AV12" s="1271"/>
      <c r="AW12" s="1272" t="str">
        <f>AZ8&amp;"-"&amp;BB8</f>
        <v>-</v>
      </c>
      <c r="AX12" s="1271"/>
      <c r="AY12" s="1271"/>
      <c r="AZ12" s="1271"/>
      <c r="BA12" s="1271"/>
      <c r="BB12" s="1274" t="str">
        <f>BE8&amp;"-"&amp;BG8</f>
        <v>-</v>
      </c>
      <c r="BC12" s="5372"/>
      <c r="BE12" s="408"/>
      <c r="BF12" s="408" t="str">
        <f t="shared" ref="BF12:BF18" si="1">IF(T12="","",T12)</f>
        <v/>
      </c>
      <c r="BG12" s="408"/>
      <c r="BH12" s="408"/>
    </row>
    <row r="13" spans="1:60" ht="11.25" hidden="1" customHeight="1">
      <c r="A13" s="1241"/>
      <c r="B13" s="1241"/>
      <c r="C13" s="1241"/>
      <c r="D13" s="1241"/>
      <c r="E13" s="5377"/>
      <c r="F13" s="5377"/>
      <c r="G13" s="5377"/>
      <c r="H13" s="5377"/>
      <c r="I13" s="5397"/>
      <c r="J13" s="5374"/>
      <c r="K13" s="1241"/>
      <c r="L13" s="1242"/>
      <c r="P13" s="5375"/>
      <c r="Q13" s="5375"/>
      <c r="R13" s="273"/>
      <c r="S13" s="1161"/>
      <c r="T13" s="205" t="s">
        <v>543</v>
      </c>
      <c r="U13" s="283"/>
      <c r="V13" s="283"/>
      <c r="W13" s="283"/>
      <c r="X13" s="283"/>
      <c r="Y13" s="283"/>
      <c r="Z13" s="283"/>
      <c r="AA13" s="283"/>
      <c r="AB13" s="283"/>
      <c r="AC13" s="283"/>
      <c r="AD13" s="1377"/>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42"/>
      <c r="BC13" s="5373"/>
      <c r="BE13" s="408"/>
      <c r="BF13" s="408" t="str">
        <f t="shared" si="1"/>
        <v>Добавить строку</v>
      </c>
      <c r="BG13" s="408"/>
      <c r="BH13" s="408"/>
    </row>
    <row r="14" spans="1:60" s="4856" customFormat="1" ht="14.25" hidden="1" customHeight="1">
      <c r="A14" s="1222"/>
      <c r="B14" s="1222"/>
      <c r="C14" s="1222"/>
      <c r="D14" s="1222"/>
      <c r="E14" s="5377"/>
      <c r="F14" s="5377"/>
      <c r="G14" s="5377"/>
      <c r="H14" s="5377"/>
      <c r="I14" s="5374"/>
      <c r="J14" s="1222"/>
      <c r="K14" s="1222"/>
      <c r="L14" s="1225"/>
      <c r="M14" s="418"/>
      <c r="N14" s="418"/>
      <c r="O14" s="418"/>
      <c r="P14" s="5375"/>
      <c r="Q14" s="1353"/>
      <c r="R14" s="273"/>
      <c r="S14" s="1264"/>
      <c r="T14" s="1265"/>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1266"/>
      <c r="AV14" s="1266"/>
      <c r="AW14" s="1266"/>
      <c r="AX14" s="1266"/>
      <c r="AY14" s="1266"/>
      <c r="AZ14" s="1266"/>
      <c r="BA14" s="1266"/>
      <c r="BB14" s="1266"/>
      <c r="BC14" s="1267"/>
      <c r="BE14" s="408"/>
      <c r="BF14" s="408" t="str">
        <f t="shared" si="1"/>
        <v/>
      </c>
      <c r="BG14" s="408"/>
      <c r="BH14" s="408"/>
    </row>
    <row r="15" spans="1:60" s="4856" customFormat="1" ht="14.25" hidden="1" customHeight="1">
      <c r="A15" s="1222"/>
      <c r="B15" s="1222"/>
      <c r="C15" s="1222"/>
      <c r="D15" s="1222"/>
      <c r="E15" s="5377"/>
      <c r="F15" s="5377"/>
      <c r="G15" s="5377"/>
      <c r="H15" s="5376"/>
      <c r="I15" s="1222"/>
      <c r="J15" s="1222"/>
      <c r="K15" s="1222"/>
      <c r="L15" s="1225"/>
      <c r="M15" s="1195"/>
      <c r="N15" s="1195"/>
      <c r="O15" s="426"/>
      <c r="P15" s="296"/>
      <c r="Q15" s="1223"/>
      <c r="R15" s="1279"/>
      <c r="S15" s="1264"/>
      <c r="T15" s="1265"/>
      <c r="U15" s="1266"/>
      <c r="V15" s="1266"/>
      <c r="W15" s="1266"/>
      <c r="X15" s="1266"/>
      <c r="Y15" s="1266"/>
      <c r="Z15" s="1266"/>
      <c r="AA15" s="1266"/>
      <c r="AB15" s="1266"/>
      <c r="AC15" s="1266"/>
      <c r="AD15" s="1266"/>
      <c r="AE15" s="1266"/>
      <c r="AF15" s="1266"/>
      <c r="AG15" s="1266"/>
      <c r="AH15" s="1266"/>
      <c r="AI15" s="1266"/>
      <c r="AJ15" s="1266"/>
      <c r="AK15" s="1266"/>
      <c r="AL15" s="1266"/>
      <c r="AM15" s="1266"/>
      <c r="AN15" s="1266"/>
      <c r="AO15" s="1266"/>
      <c r="AP15" s="1266"/>
      <c r="AQ15" s="1266"/>
      <c r="AR15" s="1266"/>
      <c r="AS15" s="1266"/>
      <c r="AT15" s="1266"/>
      <c r="AU15" s="1266"/>
      <c r="AV15" s="1266"/>
      <c r="AW15" s="1266"/>
      <c r="AX15" s="1266"/>
      <c r="AY15" s="1266"/>
      <c r="AZ15" s="1266"/>
      <c r="BA15" s="1266"/>
      <c r="BB15" s="1266"/>
      <c r="BC15" s="1267"/>
      <c r="BE15" s="408"/>
      <c r="BF15" s="408" t="str">
        <f t="shared" si="1"/>
        <v/>
      </c>
      <c r="BG15" s="408"/>
      <c r="BH15" s="408"/>
    </row>
    <row r="16" spans="1:60" s="4853" customFormat="1" ht="14.25" hidden="1" customHeight="1">
      <c r="A16" s="1222"/>
      <c r="B16" s="1222"/>
      <c r="C16" s="1222"/>
      <c r="D16" s="1194"/>
      <c r="E16" s="5377"/>
      <c r="F16" s="5377"/>
      <c r="G16" s="5376"/>
      <c r="H16" s="1194"/>
      <c r="I16" s="1194"/>
      <c r="J16" s="1194"/>
      <c r="K16" s="1194"/>
      <c r="L16" s="1366"/>
      <c r="M16" s="1195"/>
      <c r="N16" s="1195"/>
      <c r="P16" s="1196"/>
      <c r="Q16" s="1197"/>
      <c r="R16" s="1196"/>
      <c r="S16" s="1202"/>
      <c r="T16" s="1205"/>
      <c r="U16" s="1204"/>
      <c r="V16" s="1204"/>
      <c r="W16" s="1204"/>
      <c r="X16" s="1204"/>
      <c r="Y16" s="1204"/>
      <c r="Z16" s="1204"/>
      <c r="AA16" s="1204"/>
      <c r="AB16" s="1204"/>
      <c r="AC16" s="1204"/>
      <c r="AD16" s="1204"/>
      <c r="AE16" s="1204"/>
      <c r="AF16" s="1204"/>
      <c r="AG16" s="1204"/>
      <c r="AH16" s="1204"/>
      <c r="AI16" s="1204"/>
      <c r="AJ16" s="1204"/>
      <c r="AK16" s="1204"/>
      <c r="AL16" s="1204"/>
      <c r="AM16" s="1204"/>
      <c r="AN16" s="1204"/>
      <c r="AO16" s="1204"/>
      <c r="AP16" s="1204"/>
      <c r="AQ16" s="1204"/>
      <c r="AR16" s="1204"/>
      <c r="AS16" s="1204"/>
      <c r="AT16" s="1204"/>
      <c r="AU16" s="1204"/>
      <c r="AV16" s="1204"/>
      <c r="AW16" s="1204"/>
      <c r="AX16" s="1204"/>
      <c r="AY16" s="1204"/>
      <c r="AZ16" s="1204"/>
      <c r="BA16" s="1204"/>
      <c r="BB16" s="1204"/>
      <c r="BC16" s="1204"/>
      <c r="BE16" s="688"/>
      <c r="BF16" s="688" t="str">
        <f t="shared" si="1"/>
        <v/>
      </c>
      <c r="BG16" s="688"/>
      <c r="BH16" s="688"/>
    </row>
    <row r="17" spans="1:60" s="4853" customFormat="1" ht="14.25" hidden="1" customHeight="1">
      <c r="A17" s="1222"/>
      <c r="B17" s="1222"/>
      <c r="C17" s="1194"/>
      <c r="D17" s="1194"/>
      <c r="E17" s="5377"/>
      <c r="F17" s="5376"/>
      <c r="G17" s="1194"/>
      <c r="H17" s="1194"/>
      <c r="I17" s="1194"/>
      <c r="J17" s="1194"/>
      <c r="K17" s="1194"/>
      <c r="L17" s="1366"/>
      <c r="M17" s="1201"/>
      <c r="N17" s="1201"/>
      <c r="P17" s="1196"/>
      <c r="Q17" s="1197"/>
      <c r="R17" s="1196"/>
      <c r="S17" s="1202"/>
      <c r="T17" s="1205" t="s">
        <v>271</v>
      </c>
      <c r="U17" s="1204"/>
      <c r="V17" s="1204"/>
      <c r="W17" s="1204"/>
      <c r="X17" s="1204"/>
      <c r="Y17" s="1204"/>
      <c r="Z17" s="1204"/>
      <c r="AA17" s="1204"/>
      <c r="AB17" s="1204"/>
      <c r="AC17" s="1204"/>
      <c r="AD17" s="1204"/>
      <c r="AE17" s="1204"/>
      <c r="AF17" s="1204"/>
      <c r="AG17" s="1204"/>
      <c r="AH17" s="1204"/>
      <c r="AI17" s="1204"/>
      <c r="AJ17" s="1204"/>
      <c r="AK17" s="1204"/>
      <c r="AL17" s="1204"/>
      <c r="AM17" s="1204"/>
      <c r="AN17" s="1204"/>
      <c r="AO17" s="1204"/>
      <c r="AP17" s="1204"/>
      <c r="AQ17" s="1204"/>
      <c r="AR17" s="1204"/>
      <c r="AS17" s="1204"/>
      <c r="AT17" s="1204"/>
      <c r="AU17" s="1204"/>
      <c r="AV17" s="1204"/>
      <c r="AW17" s="1204"/>
      <c r="AX17" s="1204"/>
      <c r="AY17" s="1204"/>
      <c r="AZ17" s="1204"/>
      <c r="BA17" s="1204"/>
      <c r="BB17" s="1204"/>
      <c r="BC17" s="1204"/>
      <c r="BE17" s="688"/>
      <c r="BF17" s="688" t="str">
        <f t="shared" si="1"/>
        <v>Добавить централизованную систему для дифференциации</v>
      </c>
      <c r="BG17" s="688"/>
      <c r="BH17" s="688"/>
    </row>
    <row r="18" spans="1:60" s="4856" customFormat="1" ht="14.25" hidden="1" customHeight="1">
      <c r="A18" s="1222"/>
      <c r="B18" s="1222"/>
      <c r="C18" s="1222"/>
      <c r="D18" s="1222"/>
      <c r="E18" s="5376"/>
      <c r="F18" s="1222"/>
      <c r="G18" s="1222"/>
      <c r="H18" s="1222"/>
      <c r="I18" s="1222"/>
      <c r="J18" s="1222"/>
      <c r="K18" s="1222"/>
      <c r="L18" s="1225"/>
      <c r="M18" s="1201"/>
      <c r="N18" s="1201"/>
      <c r="O18" s="426"/>
      <c r="P18" s="296"/>
      <c r="Q18" s="1223"/>
      <c r="R18" s="296"/>
      <c r="S18" s="1202"/>
      <c r="T18" s="1205" t="s">
        <v>330</v>
      </c>
      <c r="U18" s="1204"/>
      <c r="V18" s="1204"/>
      <c r="W18" s="1204"/>
      <c r="X18" s="1204"/>
      <c r="Y18" s="1204"/>
      <c r="Z18" s="1204"/>
      <c r="AA18" s="1204"/>
      <c r="AB18" s="1204"/>
      <c r="AC18" s="1204"/>
      <c r="AD18" s="1204"/>
      <c r="AE18" s="1204"/>
      <c r="AF18" s="1204"/>
      <c r="AG18" s="1204"/>
      <c r="AH18" s="1204"/>
      <c r="AI18" s="1204"/>
      <c r="AJ18" s="1204"/>
      <c r="AK18" s="1204"/>
      <c r="AL18" s="1204"/>
      <c r="AM18" s="1204"/>
      <c r="AN18" s="1204"/>
      <c r="AO18" s="1204"/>
      <c r="AP18" s="1204"/>
      <c r="AQ18" s="1204"/>
      <c r="AR18" s="1204"/>
      <c r="AS18" s="1204"/>
      <c r="AT18" s="1204"/>
      <c r="AU18" s="1204"/>
      <c r="AV18" s="1204"/>
      <c r="AW18" s="1204"/>
      <c r="AX18" s="1204"/>
      <c r="AY18" s="1204"/>
      <c r="AZ18" s="1204"/>
      <c r="BA18" s="1204"/>
      <c r="BB18" s="1204"/>
      <c r="BC18" s="1204"/>
      <c r="BE18" s="408"/>
      <c r="BF18" s="408" t="str">
        <f t="shared" si="1"/>
        <v>Добавить территорию для дифференциации</v>
      </c>
      <c r="BG18" s="408"/>
      <c r="BH18" s="408"/>
    </row>
    <row r="19" spans="1:60" ht="14.25" hidden="1" customHeight="1">
      <c r="AC19" s="245"/>
      <c r="BA19" s="245"/>
    </row>
    <row r="20" spans="1:60" ht="14.25" hidden="1" customHeight="1">
      <c r="AD20" s="1204" t="s">
        <v>54</v>
      </c>
      <c r="AE20" s="1373"/>
      <c r="AF20" s="455">
        <v>1</v>
      </c>
      <c r="AG20" s="1374"/>
      <c r="AH20" s="1204" t="s">
        <v>54</v>
      </c>
      <c r="AI20" s="1373"/>
      <c r="AJ20" s="455">
        <v>1</v>
      </c>
      <c r="AK20" s="1374"/>
      <c r="AL20" s="1204" t="s">
        <v>54</v>
      </c>
      <c r="AM20" s="1375"/>
      <c r="AN20" s="455">
        <v>1</v>
      </c>
      <c r="AO20" s="1376"/>
      <c r="AP20" s="1204" t="s">
        <v>54</v>
      </c>
      <c r="AQ20" s="1375"/>
      <c r="AR20" s="455">
        <v>1</v>
      </c>
      <c r="AS20" s="1376"/>
      <c r="AT20" s="243"/>
      <c r="AU20" s="300"/>
      <c r="AV20" s="243"/>
      <c r="AW20" s="300"/>
      <c r="AX20" s="1599"/>
      <c r="AY20" s="1357" t="s">
        <v>64</v>
      </c>
      <c r="AZ20" s="1599"/>
      <c r="BA20" s="1357" t="s">
        <v>64</v>
      </c>
    </row>
    <row r="21" spans="1:60" ht="14.25" hidden="1" customHeight="1">
      <c r="BD21" s="404"/>
      <c r="BE21" s="404"/>
      <c r="BF21" s="404"/>
      <c r="BG21" s="404"/>
      <c r="BH21" s="404"/>
    </row>
    <row r="22" spans="1:60" ht="14.25" hidden="1" customHeight="1">
      <c r="O22" s="1245" t="s">
        <v>493</v>
      </c>
      <c r="Z22" s="1224"/>
      <c r="AB22" s="1224"/>
      <c r="AC22" s="245"/>
      <c r="AX22" s="1224"/>
      <c r="AZ22" s="1224"/>
      <c r="BA22" s="245"/>
      <c r="BD22" s="404"/>
      <c r="BE22" s="404"/>
      <c r="BF22" s="404"/>
      <c r="BG22" s="404"/>
      <c r="BH22" s="404"/>
    </row>
    <row r="23" spans="1:60" ht="14.25" hidden="1" customHeight="1">
      <c r="AC23" s="245"/>
      <c r="BA23" s="245"/>
      <c r="BD23" s="404"/>
      <c r="BE23" s="404"/>
      <c r="BF23" s="404"/>
      <c r="BG23" s="404"/>
      <c r="BH23" s="404"/>
    </row>
    <row r="24" spans="1:60" s="4873" customFormat="1" ht="14.25" hidden="1" customHeight="1">
      <c r="M24" s="1380"/>
      <c r="N24" s="1380"/>
      <c r="O24" s="1381" t="s">
        <v>494</v>
      </c>
      <c r="P24" s="1380"/>
      <c r="Q24" s="1382"/>
      <c r="R24" s="1382"/>
      <c r="AA24" s="1379" t="s">
        <v>496</v>
      </c>
      <c r="AC24" s="1379" t="s">
        <v>497</v>
      </c>
      <c r="AD24" s="1379" t="s">
        <v>544</v>
      </c>
      <c r="AH24" s="1379" t="s">
        <v>544</v>
      </c>
      <c r="AK24" s="1379" t="s">
        <v>582</v>
      </c>
      <c r="AL24" s="1379" t="s">
        <v>544</v>
      </c>
      <c r="AP24" s="1379" t="s">
        <v>544</v>
      </c>
      <c r="AY24" s="1379" t="s">
        <v>496</v>
      </c>
      <c r="BA24" s="1379" t="s">
        <v>497</v>
      </c>
      <c r="BD24" s="1383"/>
      <c r="BE24" s="1383"/>
      <c r="BF24" s="1383"/>
      <c r="BG24" s="1383"/>
      <c r="BH24" s="1383"/>
    </row>
    <row r="25" spans="1:60" ht="14.25" hidden="1" customHeight="1">
      <c r="O25" s="1242"/>
      <c r="BD25" s="404"/>
      <c r="BE25" s="404"/>
      <c r="BF25" s="404"/>
      <c r="BG25" s="404"/>
      <c r="BH25" s="404"/>
    </row>
    <row r="26" spans="1:60" ht="14.25" hidden="1" customHeight="1">
      <c r="O26" s="1242"/>
      <c r="BD26" s="404"/>
      <c r="BE26" s="404"/>
      <c r="BF26" s="404"/>
      <c r="BG26" s="404"/>
      <c r="BH26" s="404"/>
    </row>
    <row r="27" spans="1:60" ht="14.25" customHeight="1">
      <c r="Q27" s="209"/>
      <c r="R27" s="292"/>
      <c r="S27" s="1158"/>
      <c r="T27" s="280"/>
      <c r="U27" s="280"/>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c r="AS27" s="417"/>
      <c r="AT27" s="417"/>
      <c r="AU27" s="417"/>
      <c r="AV27" s="417"/>
      <c r="AW27" s="417"/>
      <c r="AX27" s="417"/>
      <c r="AY27" s="417"/>
      <c r="AZ27" s="417"/>
      <c r="BA27" s="417"/>
    </row>
    <row r="28" spans="1:60" ht="14.25" customHeight="1">
      <c r="Q28" s="209"/>
      <c r="R28" s="292"/>
      <c r="S28" s="5360"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5360"/>
      <c r="U28" s="5360"/>
      <c r="V28" s="5360"/>
      <c r="W28" s="5360"/>
      <c r="X28" s="5360"/>
      <c r="Y28" s="5360"/>
      <c r="Z28" s="5360"/>
      <c r="AA28" s="5360"/>
      <c r="AB28" s="5360"/>
      <c r="AC28" s="5360"/>
      <c r="AD28" s="5360"/>
      <c r="AE28" s="5360"/>
      <c r="AF28" s="5360"/>
      <c r="AG28" s="5360"/>
      <c r="AH28" s="5360"/>
      <c r="AI28" s="5360"/>
      <c r="AJ28" s="5360"/>
      <c r="AK28" s="5360"/>
      <c r="AL28" s="5360"/>
      <c r="AM28" s="5360"/>
      <c r="AN28" s="5360"/>
      <c r="AO28" s="5360"/>
      <c r="AP28" s="5360"/>
      <c r="AQ28" s="5360"/>
      <c r="AR28" s="5360"/>
      <c r="AS28" s="5360"/>
      <c r="AT28" s="5360"/>
      <c r="AU28" s="5360"/>
      <c r="AV28" s="5360"/>
      <c r="AW28" s="5360"/>
      <c r="AX28" s="5360"/>
      <c r="AY28" s="5360"/>
      <c r="AZ28" s="5360"/>
      <c r="BA28" s="1126"/>
    </row>
    <row r="29" spans="1:60" ht="14.25" customHeight="1">
      <c r="Q29" s="209"/>
      <c r="R29" s="292"/>
      <c r="S29" s="5308" t="str">
        <f>IF(org=0,"Не определено",org)</f>
        <v>ООО «Газпром теплоэнерго МО»</v>
      </c>
      <c r="T29" s="5308"/>
      <c r="U29" s="5308"/>
      <c r="V29" s="5308"/>
      <c r="W29" s="5308"/>
      <c r="X29" s="5308"/>
      <c r="Y29" s="5308"/>
      <c r="Z29" s="5308"/>
      <c r="AA29" s="5308"/>
      <c r="AB29" s="5308"/>
      <c r="AC29" s="5308"/>
      <c r="AD29" s="5308"/>
      <c r="AE29" s="5308"/>
      <c r="AF29" s="5308"/>
      <c r="AG29" s="5308"/>
      <c r="AH29" s="5308"/>
      <c r="AI29" s="5308"/>
      <c r="AJ29" s="5308"/>
      <c r="AK29" s="5308"/>
      <c r="AL29" s="5308"/>
      <c r="AM29" s="5308"/>
      <c r="AN29" s="5308"/>
      <c r="AO29" s="5308"/>
      <c r="AP29" s="5308"/>
      <c r="AQ29" s="5308"/>
      <c r="AR29" s="5308"/>
      <c r="AS29" s="5308"/>
      <c r="AT29" s="5308"/>
      <c r="AU29" s="5308"/>
      <c r="AV29" s="5308"/>
      <c r="AW29" s="5308"/>
      <c r="AX29" s="5308"/>
      <c r="AY29" s="5308"/>
      <c r="AZ29" s="5308"/>
      <c r="BA29" s="1126"/>
    </row>
    <row r="30" spans="1:60" ht="14.25" customHeight="1">
      <c r="Q30" s="209"/>
      <c r="R30" s="292"/>
      <c r="S30" s="1158"/>
      <c r="T30" s="280"/>
      <c r="U30" s="28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417"/>
    </row>
    <row r="31" spans="1:60" s="4855" customFormat="1" ht="25.5" customHeight="1">
      <c r="A31" s="1246"/>
      <c r="B31" s="1246"/>
      <c r="C31" s="1246"/>
      <c r="D31" s="1246"/>
      <c r="E31" s="1246"/>
      <c r="F31" s="1246"/>
      <c r="G31" s="1246"/>
      <c r="H31" s="1246"/>
      <c r="I31" s="1246"/>
      <c r="J31" s="1246"/>
      <c r="K31" s="1246"/>
      <c r="L31" s="1247"/>
      <c r="M31" s="1246"/>
      <c r="N31" s="1246"/>
      <c r="O31" s="1246"/>
      <c r="P31" s="1246"/>
      <c r="Q31" s="1246"/>
      <c r="S31" s="5368" t="s">
        <v>38</v>
      </c>
      <c r="T31" s="5368"/>
      <c r="U31" s="1250"/>
      <c r="V31" s="5369" t="str">
        <f>IF(TITLE_NAME_OR_PR_CHANGE="",IF(TITLE_NAME_OR_PR="","",TITLE_NAME_OR_PR),TITLE_NAME_OR_PR_CHANGE)</f>
        <v>Комитет по ценам и тарифам Московской области</v>
      </c>
      <c r="W31" s="5369"/>
      <c r="X31" s="5369"/>
      <c r="Y31" s="5369"/>
      <c r="Z31" s="5369"/>
      <c r="AA31" s="5369"/>
      <c r="AB31" s="5369"/>
      <c r="AC31" s="244"/>
      <c r="AD31" s="5369" t="str">
        <f>IF(TITLE_NAME_OR_PR_CHANGE="",IF(TITLE_NAME_OR_PR="","",TITLE_NAME_OR_PR),TITLE_NAME_OR_PR_CHANGE)</f>
        <v>Комитет по ценам и тарифам Московской области</v>
      </c>
      <c r="AE31" s="5369"/>
      <c r="AF31" s="5369"/>
      <c r="AG31" s="5369"/>
      <c r="AH31" s="5369"/>
      <c r="AI31" s="5369"/>
      <c r="AJ31" s="5369"/>
      <c r="AK31" s="5369"/>
      <c r="AL31" s="5369"/>
      <c r="AM31" s="5369"/>
      <c r="AN31" s="5369"/>
      <c r="AO31" s="5369"/>
      <c r="AP31" s="5369"/>
      <c r="AQ31" s="5369"/>
      <c r="AR31" s="5369"/>
      <c r="AS31" s="5369"/>
      <c r="AT31" s="5369"/>
      <c r="AU31" s="5369"/>
      <c r="AV31" s="5369"/>
      <c r="AW31" s="5369"/>
      <c r="AX31" s="5369"/>
      <c r="AY31" s="5369"/>
      <c r="AZ31" s="5369"/>
      <c r="BA31" s="244"/>
      <c r="BB31" s="244"/>
      <c r="BC31" s="199"/>
      <c r="BD31" s="284"/>
      <c r="BE31" s="284"/>
      <c r="BF31" s="284"/>
      <c r="BG31" s="284"/>
      <c r="BH31" s="284"/>
    </row>
    <row r="32" spans="1:60" s="4855" customFormat="1" ht="18.75" customHeight="1">
      <c r="A32" s="1246"/>
      <c r="B32" s="1246"/>
      <c r="C32" s="1246"/>
      <c r="D32" s="1246"/>
      <c r="E32" s="1246"/>
      <c r="F32" s="1246"/>
      <c r="G32" s="1246"/>
      <c r="H32" s="1246"/>
      <c r="I32" s="1246"/>
      <c r="J32" s="1246"/>
      <c r="K32" s="1246"/>
      <c r="L32" s="1247"/>
      <c r="M32" s="1246"/>
      <c r="N32" s="1246"/>
      <c r="O32" s="1246"/>
      <c r="P32" s="1246"/>
      <c r="Q32" s="1246"/>
      <c r="S32" s="5368" t="s">
        <v>499</v>
      </c>
      <c r="T32" s="5368"/>
      <c r="U32" s="1250"/>
      <c r="V32" s="5378">
        <f>IF(TITLE_DATE_PR_CHANGE="",IF(TITLE_DATE_PR="","",TITLE_DATE_PR),TITLE_DATE_PR_CHANGE)</f>
        <v>45280</v>
      </c>
      <c r="W32" s="5378"/>
      <c r="X32" s="5378"/>
      <c r="Y32" s="5378"/>
      <c r="Z32" s="5378"/>
      <c r="AA32" s="5378"/>
      <c r="AB32" s="5378"/>
      <c r="AC32" s="244"/>
      <c r="AD32" s="5378">
        <f>IF(TITLE_DATE_PR_CHANGE="",IF(TITLE_DATE_PR="","",TITLE_DATE_PR),TITLE_DATE_PR_CHANGE)</f>
        <v>45280</v>
      </c>
      <c r="AE32" s="5378"/>
      <c r="AF32" s="5378"/>
      <c r="AG32" s="5378"/>
      <c r="AH32" s="5378"/>
      <c r="AI32" s="5378"/>
      <c r="AJ32" s="5378"/>
      <c r="AK32" s="5378"/>
      <c r="AL32" s="5378"/>
      <c r="AM32" s="5378"/>
      <c r="AN32" s="5378"/>
      <c r="AO32" s="5378"/>
      <c r="AP32" s="5378"/>
      <c r="AQ32" s="5378"/>
      <c r="AR32" s="5378"/>
      <c r="AS32" s="5378"/>
      <c r="AT32" s="5378"/>
      <c r="AU32" s="5378"/>
      <c r="AV32" s="5378"/>
      <c r="AW32" s="5378"/>
      <c r="AX32" s="5378"/>
      <c r="AY32" s="5378"/>
      <c r="AZ32" s="5378"/>
      <c r="BA32" s="244"/>
      <c r="BB32" s="244"/>
      <c r="BC32" s="199"/>
      <c r="BD32" s="284"/>
      <c r="BE32" s="284"/>
      <c r="BF32" s="284"/>
      <c r="BG32" s="284"/>
      <c r="BH32" s="284"/>
    </row>
    <row r="33" spans="1:60" s="4855" customFormat="1" ht="18.75" customHeight="1">
      <c r="A33" s="1246"/>
      <c r="B33" s="1246"/>
      <c r="C33" s="1246"/>
      <c r="D33" s="1246"/>
      <c r="E33" s="1246"/>
      <c r="F33" s="1246"/>
      <c r="G33" s="1246"/>
      <c r="H33" s="1246"/>
      <c r="I33" s="1246"/>
      <c r="J33" s="1246"/>
      <c r="K33" s="1246"/>
      <c r="L33" s="1247"/>
      <c r="M33" s="1246"/>
      <c r="N33" s="1246"/>
      <c r="O33" s="1246"/>
      <c r="P33" s="1246"/>
      <c r="Q33" s="1246"/>
      <c r="S33" s="5368" t="s">
        <v>500</v>
      </c>
      <c r="T33" s="5368"/>
      <c r="U33" s="1250"/>
      <c r="V33" s="5369" t="str">
        <f>IF(TITLE_NUMBER_PR_CHANGE="",IF(TITLE_NUMBER_PR="","",TITLE_NUMBER_PR),TITLE_NUMBER_PR_CHANGE)</f>
        <v>317-Р</v>
      </c>
      <c r="W33" s="5369"/>
      <c r="X33" s="5369"/>
      <c r="Y33" s="5369"/>
      <c r="Z33" s="5369"/>
      <c r="AA33" s="5369"/>
      <c r="AB33" s="5369"/>
      <c r="AC33" s="244"/>
      <c r="AD33" s="5369" t="str">
        <f>IF(TITLE_NUMBER_PR_CHANGE="",IF(TITLE_NUMBER_PR="","",TITLE_NUMBER_PR),TITLE_NUMBER_PR_CHANGE)</f>
        <v>317-Р</v>
      </c>
      <c r="AE33" s="5369"/>
      <c r="AF33" s="5369"/>
      <c r="AG33" s="5369"/>
      <c r="AH33" s="5369"/>
      <c r="AI33" s="5369"/>
      <c r="AJ33" s="5369"/>
      <c r="AK33" s="5369"/>
      <c r="AL33" s="5369"/>
      <c r="AM33" s="5369"/>
      <c r="AN33" s="5369"/>
      <c r="AO33" s="5369"/>
      <c r="AP33" s="5369"/>
      <c r="AQ33" s="5369"/>
      <c r="AR33" s="5369"/>
      <c r="AS33" s="5369"/>
      <c r="AT33" s="5369"/>
      <c r="AU33" s="5369"/>
      <c r="AV33" s="5369"/>
      <c r="AW33" s="5369"/>
      <c r="AX33" s="5369"/>
      <c r="AY33" s="5369"/>
      <c r="AZ33" s="5369"/>
      <c r="BA33" s="244"/>
      <c r="BB33" s="244"/>
      <c r="BC33" s="199"/>
      <c r="BD33" s="284"/>
      <c r="BE33" s="284"/>
      <c r="BF33" s="284"/>
      <c r="BG33" s="284"/>
      <c r="BH33" s="284"/>
    </row>
    <row r="34" spans="1:60" s="4855" customFormat="1" ht="18.75" customHeight="1">
      <c r="A34" s="1246"/>
      <c r="B34" s="1246"/>
      <c r="C34" s="1246"/>
      <c r="D34" s="1246"/>
      <c r="E34" s="1246"/>
      <c r="F34" s="1246"/>
      <c r="G34" s="1246"/>
      <c r="H34" s="1246"/>
      <c r="I34" s="1246"/>
      <c r="J34" s="1246"/>
      <c r="K34" s="1246"/>
      <c r="L34" s="1247"/>
      <c r="M34" s="1246"/>
      <c r="N34" s="1246"/>
      <c r="O34" s="1246"/>
      <c r="P34" s="1246"/>
      <c r="Q34" s="1246"/>
      <c r="S34" s="5368" t="s">
        <v>40</v>
      </c>
      <c r="T34" s="5368"/>
      <c r="U34" s="1250"/>
      <c r="V34" s="5369" t="str">
        <f>IF(TITLE_IST_PUB_CHANGE="",IF(TITLE_IST_PUB="","",TITLE_IST_PUB),TITLE_IST_PUB_CHANGE)</f>
        <v>https://ktc.mosreg.ru/dokumenty/normotvorchestvo/rasporyazheniya/gosudarstvennoe-regulirovanie-tarifov-na-teplovuyu-energiyu-raspor/29-12-2023-16-47-50-rasporyazhenie-komiteta-po-tsenam-i-tarifam-moskov</v>
      </c>
      <c r="W34" s="5369"/>
      <c r="X34" s="5369"/>
      <c r="Y34" s="5369"/>
      <c r="Z34" s="5369"/>
      <c r="AA34" s="5369"/>
      <c r="AB34" s="5369"/>
      <c r="AC34" s="244"/>
      <c r="AD34" s="5369" t="str">
        <f>IF(TITLE_IST_PUB_CHANGE="",IF(TITLE_IST_PUB="","",TITLE_IST_PUB),TITLE_IST_PUB_CHANGE)</f>
        <v>https://ktc.mosreg.ru/dokumenty/normotvorchestvo/rasporyazheniya/gosudarstvennoe-regulirovanie-tarifov-na-teplovuyu-energiyu-raspor/29-12-2023-16-47-50-rasporyazhenie-komiteta-po-tsenam-i-tarifam-moskov</v>
      </c>
      <c r="AE34" s="5369"/>
      <c r="AF34" s="5369"/>
      <c r="AG34" s="5369"/>
      <c r="AH34" s="5369"/>
      <c r="AI34" s="5369"/>
      <c r="AJ34" s="5369"/>
      <c r="AK34" s="5369"/>
      <c r="AL34" s="5369"/>
      <c r="AM34" s="5369"/>
      <c r="AN34" s="5369"/>
      <c r="AO34" s="5369"/>
      <c r="AP34" s="5369"/>
      <c r="AQ34" s="5369"/>
      <c r="AR34" s="5369"/>
      <c r="AS34" s="5369"/>
      <c r="AT34" s="5369"/>
      <c r="AU34" s="5369"/>
      <c r="AV34" s="5369"/>
      <c r="AW34" s="5369"/>
      <c r="AX34" s="5369"/>
      <c r="AY34" s="5369"/>
      <c r="AZ34" s="5369"/>
      <c r="BA34" s="244"/>
      <c r="BB34" s="244"/>
      <c r="BC34" s="199"/>
      <c r="BD34" s="284"/>
      <c r="BE34" s="284"/>
      <c r="BF34" s="284"/>
      <c r="BG34" s="284"/>
      <c r="BH34" s="284"/>
    </row>
    <row r="35" spans="1:60" ht="14.25" hidden="1" customHeight="1">
      <c r="Q35" s="209"/>
      <c r="R35" s="292"/>
      <c r="S35" s="1158"/>
      <c r="T35" s="280"/>
      <c r="U35" s="28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417"/>
    </row>
    <row r="36" spans="1:60" s="4855" customFormat="1" ht="18.75" hidden="1" customHeight="1">
      <c r="A36" s="1246"/>
      <c r="B36" s="1246"/>
      <c r="C36" s="1246"/>
      <c r="D36" s="1246"/>
      <c r="E36" s="1246"/>
      <c r="F36" s="1246"/>
      <c r="G36" s="1246"/>
      <c r="H36" s="1246"/>
      <c r="I36" s="1246"/>
      <c r="J36" s="1246"/>
      <c r="K36" s="1246"/>
      <c r="L36" s="1247"/>
      <c r="M36" s="1246"/>
      <c r="N36" s="1246"/>
      <c r="O36" s="1246"/>
      <c r="P36" s="1246"/>
      <c r="Q36" s="1246"/>
      <c r="S36" s="5368" t="s">
        <v>499</v>
      </c>
      <c r="T36" s="5368"/>
      <c r="U36" s="1250"/>
      <c r="V36" s="5378">
        <f>IF(TITLE_DATE_PR_CHANGE="",IF(TITLE_DATE_PR="","",TITLE_DATE_PR),TITLE_DATE_PR_CHANGE)</f>
        <v>45280</v>
      </c>
      <c r="W36" s="5378"/>
      <c r="X36" s="5378"/>
      <c r="Y36" s="5378"/>
      <c r="Z36" s="5378"/>
      <c r="AA36" s="5378"/>
      <c r="AB36" s="5378"/>
      <c r="AC36" s="244"/>
      <c r="AD36" s="5378">
        <f>IF(TITLE_DATE_PR_CHANGE="",IF(TITLE_DATE_PR="","",TITLE_DATE_PR),TITLE_DATE_PR_CHANGE)</f>
        <v>45280</v>
      </c>
      <c r="AE36" s="5378"/>
      <c r="AF36" s="5378"/>
      <c r="AG36" s="5378"/>
      <c r="AH36" s="5378"/>
      <c r="AI36" s="5378"/>
      <c r="AJ36" s="5378"/>
      <c r="AK36" s="5378"/>
      <c r="AL36" s="5378"/>
      <c r="AM36" s="5378"/>
      <c r="AN36" s="5378"/>
      <c r="AO36" s="5378"/>
      <c r="AP36" s="5378"/>
      <c r="AQ36" s="5378"/>
      <c r="AR36" s="5378"/>
      <c r="AS36" s="5378"/>
      <c r="AT36" s="5378"/>
      <c r="AU36" s="5378"/>
      <c r="AV36" s="5378"/>
      <c r="AW36" s="5378"/>
      <c r="AX36" s="5378"/>
      <c r="AY36" s="5378"/>
      <c r="AZ36" s="5378"/>
      <c r="BA36" s="244"/>
      <c r="BB36" s="244"/>
      <c r="BC36" s="199"/>
      <c r="BD36" s="284"/>
      <c r="BE36" s="284"/>
      <c r="BF36" s="284"/>
      <c r="BG36" s="284"/>
      <c r="BH36" s="284"/>
    </row>
    <row r="37" spans="1:60" s="4855" customFormat="1" ht="18.75" hidden="1" customHeight="1">
      <c r="A37" s="1246"/>
      <c r="B37" s="1246"/>
      <c r="C37" s="1246"/>
      <c r="D37" s="1246"/>
      <c r="E37" s="1246"/>
      <c r="F37" s="1246"/>
      <c r="G37" s="1246"/>
      <c r="H37" s="1246"/>
      <c r="I37" s="1246"/>
      <c r="J37" s="1246"/>
      <c r="K37" s="1246"/>
      <c r="L37" s="1247"/>
      <c r="M37" s="1246"/>
      <c r="N37" s="1246"/>
      <c r="O37" s="1246"/>
      <c r="P37" s="1246"/>
      <c r="Q37" s="1246"/>
      <c r="S37" s="5368" t="s">
        <v>500</v>
      </c>
      <c r="T37" s="5368"/>
      <c r="U37" s="1250"/>
      <c r="V37" s="5369" t="str">
        <f>IF(TITLE_NUMBER_PR_CHANGE="",IF(TITLE_NUMBER_PR="","",TITLE_NUMBER_PR),TITLE_NUMBER_PR_CHANGE)</f>
        <v>317-Р</v>
      </c>
      <c r="W37" s="5369"/>
      <c r="X37" s="5369"/>
      <c r="Y37" s="5369"/>
      <c r="Z37" s="5369"/>
      <c r="AA37" s="5369"/>
      <c r="AB37" s="5369"/>
      <c r="AC37" s="244"/>
      <c r="AD37" s="5369" t="str">
        <f>IF(TITLE_NUMBER_PR_CHANGE="",IF(TITLE_NUMBER_PR="","",TITLE_NUMBER_PR),TITLE_NUMBER_PR_CHANGE)</f>
        <v>317-Р</v>
      </c>
      <c r="AE37" s="5369"/>
      <c r="AF37" s="5369"/>
      <c r="AG37" s="5369"/>
      <c r="AH37" s="5369"/>
      <c r="AI37" s="5369"/>
      <c r="AJ37" s="5369"/>
      <c r="AK37" s="5369"/>
      <c r="AL37" s="5369"/>
      <c r="AM37" s="5369"/>
      <c r="AN37" s="5369"/>
      <c r="AO37" s="5369"/>
      <c r="AP37" s="5369"/>
      <c r="AQ37" s="5369"/>
      <c r="AR37" s="5369"/>
      <c r="AS37" s="5369"/>
      <c r="AT37" s="5369"/>
      <c r="AU37" s="5369"/>
      <c r="AV37" s="5369"/>
      <c r="AW37" s="5369"/>
      <c r="AX37" s="5369"/>
      <c r="AY37" s="5369"/>
      <c r="AZ37" s="5369"/>
      <c r="BA37" s="244"/>
      <c r="BB37" s="244"/>
      <c r="BC37" s="199"/>
      <c r="BD37" s="284"/>
      <c r="BE37" s="284"/>
      <c r="BF37" s="284"/>
      <c r="BG37" s="284"/>
      <c r="BH37" s="284"/>
    </row>
    <row r="38" spans="1:60" s="4855" customFormat="1" ht="0" hidden="1" customHeight="1">
      <c r="A38" s="1246"/>
      <c r="B38" s="1246"/>
      <c r="C38" s="1246"/>
      <c r="D38" s="1246"/>
      <c r="E38" s="1246"/>
      <c r="F38" s="1246"/>
      <c r="G38" s="1246"/>
      <c r="H38" s="1246"/>
      <c r="I38" s="1246"/>
      <c r="J38" s="1246"/>
      <c r="K38" s="1246"/>
      <c r="L38" s="1247"/>
      <c r="M38" s="1246"/>
      <c r="N38" s="1246"/>
      <c r="O38" s="1246"/>
      <c r="P38" s="1246"/>
      <c r="Q38" s="1246"/>
      <c r="S38" s="241"/>
      <c r="T38" s="241"/>
      <c r="U38" s="1360"/>
      <c r="V38" s="244"/>
      <c r="W38" s="244"/>
      <c r="X38" s="244"/>
      <c r="Y38" s="244"/>
      <c r="Z38" s="244"/>
      <c r="AA38" s="244"/>
      <c r="AB38" s="244"/>
      <c r="AC38" s="197" t="s">
        <v>503</v>
      </c>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197" t="s">
        <v>503</v>
      </c>
      <c r="BD38" s="284"/>
      <c r="BE38" s="284"/>
      <c r="BF38" s="284"/>
      <c r="BG38" s="284"/>
      <c r="BH38" s="284"/>
    </row>
    <row r="39" spans="1:60" ht="14.25" customHeight="1">
      <c r="Q39" s="209"/>
      <c r="R39" s="292"/>
      <c r="S39" s="1158"/>
      <c r="T39" s="280"/>
      <c r="U39" s="1127"/>
      <c r="V39" s="5370"/>
      <c r="W39" s="5370"/>
      <c r="X39" s="5370"/>
      <c r="Y39" s="5370"/>
      <c r="Z39" s="5370"/>
      <c r="AA39" s="5370"/>
      <c r="AB39" s="5370"/>
      <c r="AC39" s="5370"/>
      <c r="AD39" s="5370"/>
      <c r="AE39" s="5370"/>
      <c r="AF39" s="5370"/>
      <c r="AG39" s="5370"/>
      <c r="AH39" s="5370"/>
      <c r="AI39" s="5370"/>
      <c r="AJ39" s="5370"/>
      <c r="AK39" s="5370"/>
      <c r="AL39" s="5370"/>
      <c r="AM39" s="5370"/>
      <c r="AN39" s="5370"/>
      <c r="AO39" s="5370"/>
      <c r="AP39" s="5370"/>
      <c r="AQ39" s="5370"/>
      <c r="AR39" s="5370"/>
      <c r="AS39" s="5370"/>
      <c r="AT39" s="5370"/>
      <c r="AU39" s="5370"/>
      <c r="AV39" s="5370"/>
      <c r="AW39" s="5370"/>
      <c r="AX39" s="5370"/>
      <c r="AY39" s="5370"/>
      <c r="AZ39" s="5370"/>
      <c r="BA39" s="5370"/>
    </row>
    <row r="40" spans="1:60" ht="14.25" customHeight="1">
      <c r="Q40" s="209"/>
      <c r="R40" s="292"/>
      <c r="S40" s="5244" t="s">
        <v>378</v>
      </c>
      <c r="T40" s="5244"/>
      <c r="U40" s="5244"/>
      <c r="V40" s="5244"/>
      <c r="W40" s="5244"/>
      <c r="X40" s="5244"/>
      <c r="Y40" s="5244"/>
      <c r="Z40" s="5244"/>
      <c r="AA40" s="5244"/>
      <c r="AB40" s="5244"/>
      <c r="AC40" s="5244"/>
      <c r="AD40" s="5244"/>
      <c r="AE40" s="5244"/>
      <c r="AF40" s="5244"/>
      <c r="AG40" s="5244"/>
      <c r="AH40" s="5244"/>
      <c r="AI40" s="5244"/>
      <c r="AJ40" s="5244"/>
      <c r="AK40" s="5244"/>
      <c r="AL40" s="5244"/>
      <c r="AM40" s="5244"/>
      <c r="AN40" s="5244"/>
      <c r="AO40" s="5244"/>
      <c r="AP40" s="5244"/>
      <c r="AQ40" s="5244"/>
      <c r="AR40" s="5244"/>
      <c r="AS40" s="5244"/>
      <c r="AT40" s="5244"/>
      <c r="AU40" s="5244"/>
      <c r="AV40" s="5244"/>
      <c r="AW40" s="5244"/>
      <c r="AX40" s="5244"/>
      <c r="AY40" s="5244"/>
      <c r="AZ40" s="5244"/>
      <c r="BA40" s="5244"/>
      <c r="BB40" s="5244"/>
      <c r="BC40" s="5244" t="s">
        <v>379</v>
      </c>
    </row>
    <row r="41" spans="1:60" ht="14.25" customHeight="1">
      <c r="Q41" s="209"/>
      <c r="R41" s="292"/>
      <c r="S41" s="5384" t="s">
        <v>85</v>
      </c>
      <c r="T41" s="5336" t="s">
        <v>583</v>
      </c>
      <c r="U41" s="219"/>
      <c r="V41" s="5385" t="s">
        <v>505</v>
      </c>
      <c r="W41" s="5386"/>
      <c r="X41" s="5386"/>
      <c r="Y41" s="5386"/>
      <c r="Z41" s="5386"/>
      <c r="AA41" s="5386"/>
      <c r="AB41" s="5387"/>
      <c r="AC41" s="5388" t="s">
        <v>506</v>
      </c>
      <c r="AD41" s="5414" t="s">
        <v>584</v>
      </c>
      <c r="AE41" s="5402"/>
      <c r="AF41" s="5402"/>
      <c r="AG41" s="5415"/>
      <c r="AH41" s="5414" t="s">
        <v>585</v>
      </c>
      <c r="AI41" s="5402"/>
      <c r="AJ41" s="5402"/>
      <c r="AK41" s="5415"/>
      <c r="AL41" s="5414" t="s">
        <v>586</v>
      </c>
      <c r="AM41" s="5402"/>
      <c r="AN41" s="5402"/>
      <c r="AO41" s="5415"/>
      <c r="AP41" s="5414" t="s">
        <v>587</v>
      </c>
      <c r="AQ41" s="5402"/>
      <c r="AR41" s="5402"/>
      <c r="AS41" s="5415"/>
      <c r="AT41" s="5385" t="s">
        <v>505</v>
      </c>
      <c r="AU41" s="5386"/>
      <c r="AV41" s="5386"/>
      <c r="AW41" s="5386"/>
      <c r="AX41" s="5386"/>
      <c r="AY41" s="5386"/>
      <c r="AZ41" s="5387"/>
      <c r="BA41" s="5388" t="s">
        <v>506</v>
      </c>
      <c r="BB41" s="5391" t="s">
        <v>508</v>
      </c>
      <c r="BC41" s="5244"/>
    </row>
    <row r="42" spans="1:60" ht="33.75" customHeight="1">
      <c r="Q42" s="209"/>
      <c r="R42" s="292"/>
      <c r="S42" s="5384"/>
      <c r="T42" s="5336"/>
      <c r="U42" s="920"/>
      <c r="V42" s="5322" t="s">
        <v>588</v>
      </c>
      <c r="W42" s="5323"/>
      <c r="X42" s="5322" t="s">
        <v>589</v>
      </c>
      <c r="Y42" s="5323"/>
      <c r="Z42" s="5322" t="s">
        <v>590</v>
      </c>
      <c r="AA42" s="5409"/>
      <c r="AB42" s="5323"/>
      <c r="AC42" s="5389"/>
      <c r="AD42" s="5416"/>
      <c r="AE42" s="5417"/>
      <c r="AF42" s="5417"/>
      <c r="AG42" s="5418"/>
      <c r="AH42" s="5416"/>
      <c r="AI42" s="5417"/>
      <c r="AJ42" s="5417"/>
      <c r="AK42" s="5418"/>
      <c r="AL42" s="5416"/>
      <c r="AM42" s="5417"/>
      <c r="AN42" s="5417"/>
      <c r="AO42" s="5418"/>
      <c r="AP42" s="5416"/>
      <c r="AQ42" s="5417"/>
      <c r="AR42" s="5417"/>
      <c r="AS42" s="5418"/>
      <c r="AT42" s="5322" t="s">
        <v>588</v>
      </c>
      <c r="AU42" s="5323"/>
      <c r="AV42" s="5322" t="s">
        <v>589</v>
      </c>
      <c r="AW42" s="5323"/>
      <c r="AX42" s="5322" t="s">
        <v>590</v>
      </c>
      <c r="AY42" s="5409"/>
      <c r="AZ42" s="5323"/>
      <c r="BA42" s="5389"/>
      <c r="BB42" s="5392"/>
      <c r="BC42" s="5244"/>
    </row>
    <row r="43" spans="1:60" ht="14.25" customHeight="1">
      <c r="Q43" s="209"/>
      <c r="R43" s="292"/>
      <c r="S43" s="5384"/>
      <c r="T43" s="5336"/>
      <c r="U43" s="920"/>
      <c r="V43" s="5327"/>
      <c r="W43" s="5328"/>
      <c r="X43" s="5327"/>
      <c r="Y43" s="5328"/>
      <c r="Z43" s="5327"/>
      <c r="AA43" s="5410"/>
      <c r="AB43" s="5328"/>
      <c r="AC43" s="5389"/>
      <c r="AD43" s="5416"/>
      <c r="AE43" s="5417"/>
      <c r="AF43" s="5417"/>
      <c r="AG43" s="5418"/>
      <c r="AH43" s="5416"/>
      <c r="AI43" s="5417"/>
      <c r="AJ43" s="5417"/>
      <c r="AK43" s="5418"/>
      <c r="AL43" s="5416"/>
      <c r="AM43" s="5417"/>
      <c r="AN43" s="5417"/>
      <c r="AO43" s="5418"/>
      <c r="AP43" s="5416"/>
      <c r="AQ43" s="5417"/>
      <c r="AR43" s="5417"/>
      <c r="AS43" s="5418"/>
      <c r="AT43" s="5327"/>
      <c r="AU43" s="5328"/>
      <c r="AV43" s="5327"/>
      <c r="AW43" s="5328"/>
      <c r="AX43" s="5327"/>
      <c r="AY43" s="5410"/>
      <c r="AZ43" s="5328"/>
      <c r="BA43" s="5389"/>
      <c r="BB43" s="5392"/>
      <c r="BC43" s="5244"/>
    </row>
    <row r="44" spans="1:60" ht="14.25" customHeight="1">
      <c r="A44" s="1248"/>
      <c r="B44" s="1248" t="s">
        <v>153</v>
      </c>
      <c r="C44" s="1248" t="s">
        <v>154</v>
      </c>
      <c r="D44" s="1248" t="s">
        <v>155</v>
      </c>
      <c r="E44" s="1242" t="s">
        <v>513</v>
      </c>
      <c r="F44" s="1242" t="s">
        <v>514</v>
      </c>
      <c r="G44" s="1242" t="s">
        <v>515</v>
      </c>
      <c r="H44" s="1242" t="s">
        <v>516</v>
      </c>
      <c r="I44" s="1242" t="s">
        <v>517</v>
      </c>
      <c r="J44" s="1242" t="s">
        <v>518</v>
      </c>
      <c r="K44" s="1242" t="s">
        <v>519</v>
      </c>
      <c r="L44" s="1242" t="s">
        <v>494</v>
      </c>
      <c r="Q44" s="209"/>
      <c r="R44" s="292"/>
      <c r="S44" s="5384"/>
      <c r="T44" s="5336"/>
      <c r="U44" s="220"/>
      <c r="V44" s="1351" t="s">
        <v>554</v>
      </c>
      <c r="W44" s="1351" t="s">
        <v>555</v>
      </c>
      <c r="X44" s="1351" t="s">
        <v>554</v>
      </c>
      <c r="Y44" s="1351" t="s">
        <v>555</v>
      </c>
      <c r="Z44" s="1361" t="s">
        <v>522</v>
      </c>
      <c r="AA44" s="5344" t="s">
        <v>523</v>
      </c>
      <c r="AB44" s="5346"/>
      <c r="AC44" s="5390"/>
      <c r="AD44" s="5419"/>
      <c r="AE44" s="5420"/>
      <c r="AF44" s="5420"/>
      <c r="AG44" s="5421"/>
      <c r="AH44" s="5419"/>
      <c r="AI44" s="5420"/>
      <c r="AJ44" s="5420"/>
      <c r="AK44" s="5421"/>
      <c r="AL44" s="5419"/>
      <c r="AM44" s="5420"/>
      <c r="AN44" s="5420"/>
      <c r="AO44" s="5421"/>
      <c r="AP44" s="5419"/>
      <c r="AQ44" s="5420"/>
      <c r="AR44" s="5420"/>
      <c r="AS44" s="5421"/>
      <c r="AT44" s="1351" t="s">
        <v>554</v>
      </c>
      <c r="AU44" s="1351" t="s">
        <v>555</v>
      </c>
      <c r="AV44" s="1351" t="s">
        <v>554</v>
      </c>
      <c r="AW44" s="1351" t="s">
        <v>555</v>
      </c>
      <c r="AX44" s="1361" t="s">
        <v>522</v>
      </c>
      <c r="AY44" s="5344" t="s">
        <v>523</v>
      </c>
      <c r="AZ44" s="5346"/>
      <c r="BA44" s="5390"/>
      <c r="BB44" s="5393"/>
      <c r="BC44" s="5244"/>
    </row>
    <row r="45" spans="1:60" s="4840" customFormat="1" ht="0" hidden="1" customHeight="1">
      <c r="A45" s="1248"/>
      <c r="B45" s="1248"/>
      <c r="C45" s="1248"/>
      <c r="D45" s="1248"/>
      <c r="E45" s="1248"/>
      <c r="F45" s="1248"/>
      <c r="G45" s="1248"/>
      <c r="H45" s="1248"/>
      <c r="I45" s="1248"/>
      <c r="J45" s="1248"/>
      <c r="K45" s="1248"/>
      <c r="L45" s="1242"/>
      <c r="M45" s="1240"/>
      <c r="N45" s="1240"/>
      <c r="O45" s="1240"/>
      <c r="P45" s="418"/>
      <c r="Q45" s="1137"/>
      <c r="R45" s="1137">
        <v>1</v>
      </c>
      <c r="S45" s="1160" t="s">
        <v>129</v>
      </c>
      <c r="T45" s="1138" t="s">
        <v>100</v>
      </c>
      <c r="U45" s="1128" t="str">
        <f ca="1">OFFSET(U45,0,-1)</f>
        <v>2</v>
      </c>
      <c r="V45" s="1354">
        <f t="shared" ref="V45:AA45" ca="1" si="2">OFFSET(V45,0,-1)+1</f>
        <v>3</v>
      </c>
      <c r="W45" s="1354">
        <f t="shared" ca="1" si="2"/>
        <v>4</v>
      </c>
      <c r="X45" s="1354">
        <f t="shared" ca="1" si="2"/>
        <v>5</v>
      </c>
      <c r="Y45" s="1354">
        <f t="shared" ca="1" si="2"/>
        <v>6</v>
      </c>
      <c r="Z45" s="1354">
        <f t="shared" ca="1" si="2"/>
        <v>7</v>
      </c>
      <c r="AA45" s="5383">
        <f t="shared" ca="1" si="2"/>
        <v>8</v>
      </c>
      <c r="AB45" s="5383"/>
      <c r="AC45" s="1354">
        <f ca="1">OFFSET(AC45,0,-2)+1</f>
        <v>9</v>
      </c>
      <c r="AD45" s="1354">
        <f ca="1">OFFSET(AD45,0,-1)+1</f>
        <v>10</v>
      </c>
      <c r="AE45" s="1354"/>
      <c r="AF45" s="1354"/>
      <c r="AG45" s="1354"/>
      <c r="AH45" s="1354"/>
      <c r="AI45" s="1354"/>
      <c r="AJ45" s="1354"/>
      <c r="AK45" s="1354"/>
      <c r="AL45" s="1354"/>
      <c r="AM45" s="1354"/>
      <c r="AN45" s="1354"/>
      <c r="AO45" s="1354"/>
      <c r="AP45" s="1354"/>
      <c r="AQ45" s="1354"/>
      <c r="AR45" s="1354"/>
      <c r="AS45" s="1354"/>
      <c r="AT45" s="1354"/>
      <c r="AU45" s="1354"/>
      <c r="AV45" s="1354"/>
      <c r="AW45" s="1354">
        <f ca="1">OFFSET(AW45,0,-1)+1</f>
        <v>1</v>
      </c>
      <c r="AX45" s="1354">
        <f ca="1">OFFSET(AX45,0,-1)+1</f>
        <v>2</v>
      </c>
      <c r="AY45" s="5383">
        <f ca="1">OFFSET(AY45,0,-1)+1</f>
        <v>3</v>
      </c>
      <c r="AZ45" s="5383"/>
      <c r="BA45" s="1354">
        <f ca="1">OFFSET(BA45,0,-2)+1</f>
        <v>4</v>
      </c>
      <c r="BB45" s="1128">
        <f ca="1">OFFSET(BB45,0,-1)</f>
        <v>4</v>
      </c>
      <c r="BC45" s="1354">
        <f ca="1">OFFSET(BC45,0,-1)+1</f>
        <v>5</v>
      </c>
      <c r="BD45" s="419"/>
      <c r="BE45" s="419"/>
      <c r="BF45" s="419"/>
      <c r="BG45" s="419"/>
      <c r="BH45" s="419"/>
    </row>
    <row r="46" spans="1:60" ht="21" customHeight="1">
      <c r="A46" s="1241" t="s">
        <v>339</v>
      </c>
      <c r="B46" s="1241"/>
      <c r="C46" s="1241"/>
      <c r="D46" s="1241"/>
      <c r="E46" s="5376">
        <v>1</v>
      </c>
      <c r="F46" s="1241"/>
      <c r="G46" s="1241"/>
      <c r="H46" s="1241"/>
      <c r="I46" s="1241"/>
      <c r="J46" s="1241"/>
      <c r="K46" s="1241"/>
      <c r="L46" s="1242"/>
      <c r="M46" s="1243"/>
      <c r="N46" s="1243"/>
      <c r="O46" s="1243"/>
      <c r="P46" s="1287"/>
      <c r="Q46" s="768"/>
      <c r="R46" s="272"/>
      <c r="S46" s="1365">
        <f>INDEX(PT_DIFFERENTIATION_NUM_NTAR,MATCH(A46,PT_DIFFERENTIATION_NTAR_ID,0))</f>
        <v>0</v>
      </c>
      <c r="T46" s="216" t="s">
        <v>141</v>
      </c>
      <c r="U46" s="218"/>
      <c r="V46" s="5363"/>
      <c r="W46" s="5363"/>
      <c r="X46" s="5363"/>
      <c r="Y46" s="5363"/>
      <c r="Z46" s="5363"/>
      <c r="AA46" s="5363"/>
      <c r="AB46" s="5363"/>
      <c r="AC46" s="5364"/>
      <c r="AD46" s="5362" t="str">
        <f>INDEX(PT_DIFFERENTIATION_NTAR,MATCH(A46,PT_DIFFERENTIATION_NTAR_ID,0))</f>
        <v/>
      </c>
      <c r="AE46" s="5363"/>
      <c r="AF46" s="5363"/>
      <c r="AG46" s="5363"/>
      <c r="AH46" s="5363"/>
      <c r="AI46" s="5363"/>
      <c r="AJ46" s="5363"/>
      <c r="AK46" s="5363"/>
      <c r="AL46" s="5363"/>
      <c r="AM46" s="5363"/>
      <c r="AN46" s="5363"/>
      <c r="AO46" s="5363"/>
      <c r="AP46" s="5363"/>
      <c r="AQ46" s="5363"/>
      <c r="AR46" s="5363"/>
      <c r="AS46" s="5363"/>
      <c r="AT46" s="5363"/>
      <c r="AU46" s="5363"/>
      <c r="AV46" s="5363"/>
      <c r="AW46" s="5363"/>
      <c r="AX46" s="5363"/>
      <c r="AY46" s="5363"/>
      <c r="AZ46" s="5363"/>
      <c r="BA46" s="5363"/>
      <c r="BB46" s="5364"/>
      <c r="BC46" s="11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8"/>
      <c r="BF46" s="408" t="str">
        <f t="shared" ref="BF46:BF52" si="3">IF(T46="","",T46)</f>
        <v>Наименование тарифа</v>
      </c>
      <c r="BG46" s="408"/>
      <c r="BH46" s="408"/>
    </row>
    <row r="47" spans="1:60" ht="21" customHeight="1">
      <c r="A47" s="1241" t="s">
        <v>339</v>
      </c>
      <c r="B47" s="1241" t="s">
        <v>340</v>
      </c>
      <c r="C47" s="1241"/>
      <c r="D47" s="1241"/>
      <c r="E47" s="5377"/>
      <c r="F47" s="5376">
        <v>1</v>
      </c>
      <c r="G47" s="1241"/>
      <c r="H47" s="1241"/>
      <c r="I47" s="1241"/>
      <c r="J47" s="1241"/>
      <c r="K47" s="1241"/>
      <c r="L47" s="1242"/>
      <c r="M47" s="1243"/>
      <c r="N47" s="1243"/>
      <c r="O47" s="1243"/>
      <c r="P47" s="1288"/>
      <c r="Q47" s="1289"/>
      <c r="R47" s="270"/>
      <c r="S47" s="1365" t="str">
        <f>INDEX(PT_DIFFERENTIATION_NUM_TER,MATCH(B47,PT_DIFFERENTIATION_TER_ID,0))</f>
        <v>.</v>
      </c>
      <c r="T47" s="226" t="s">
        <v>475</v>
      </c>
      <c r="U47" s="218"/>
      <c r="V47" s="5363"/>
      <c r="W47" s="5363"/>
      <c r="X47" s="5363"/>
      <c r="Y47" s="5363"/>
      <c r="Z47" s="5363"/>
      <c r="AA47" s="5363"/>
      <c r="AB47" s="5363"/>
      <c r="AC47" s="5364"/>
      <c r="AD47" s="5362" t="str">
        <f>INDEX(PT_DIFFERENTIATION_TER,MATCH(B47,PT_DIFFERENTIATION_TER_ID,0))</f>
        <v/>
      </c>
      <c r="AE47" s="5363"/>
      <c r="AF47" s="5363"/>
      <c r="AG47" s="5363"/>
      <c r="AH47" s="5363"/>
      <c r="AI47" s="5363"/>
      <c r="AJ47" s="5363"/>
      <c r="AK47" s="5363"/>
      <c r="AL47" s="5363"/>
      <c r="AM47" s="5363"/>
      <c r="AN47" s="5363"/>
      <c r="AO47" s="5363"/>
      <c r="AP47" s="5363"/>
      <c r="AQ47" s="5363"/>
      <c r="AR47" s="5363"/>
      <c r="AS47" s="5363"/>
      <c r="AT47" s="5363"/>
      <c r="AU47" s="5363"/>
      <c r="AV47" s="5363"/>
      <c r="AW47" s="5363"/>
      <c r="AX47" s="5363"/>
      <c r="AY47" s="5363"/>
      <c r="AZ47" s="5363"/>
      <c r="BA47" s="5363"/>
      <c r="BB47" s="5364"/>
      <c r="BC47" s="1141" t="s">
        <v>476</v>
      </c>
      <c r="BE47" s="408"/>
      <c r="BF47" s="408" t="str">
        <f t="shared" si="3"/>
        <v>Территория действия тарифа</v>
      </c>
      <c r="BG47" s="408"/>
      <c r="BH47" s="408"/>
    </row>
    <row r="48" spans="1:60" ht="33.75" customHeight="1">
      <c r="A48" s="1241" t="s">
        <v>339</v>
      </c>
      <c r="B48" s="1241" t="s">
        <v>340</v>
      </c>
      <c r="C48" s="1241" t="s">
        <v>341</v>
      </c>
      <c r="D48" s="1241"/>
      <c r="E48" s="5377"/>
      <c r="F48" s="5377"/>
      <c r="G48" s="5376">
        <v>1</v>
      </c>
      <c r="H48" s="1241"/>
      <c r="I48" s="1241"/>
      <c r="J48" s="1241"/>
      <c r="K48" s="1241"/>
      <c r="L48" s="1242"/>
      <c r="M48" s="1243"/>
      <c r="N48" s="1243"/>
      <c r="O48" s="1243"/>
      <c r="P48" s="1290"/>
      <c r="Q48" s="1289"/>
      <c r="R48" s="270"/>
      <c r="S48" s="1365" t="str">
        <f>INDEX(PT_DIFFERENTIATION_NUM_CS,MATCH(C48,PT_DIFFERENTIATION_CS_ID,0))</f>
        <v>..</v>
      </c>
      <c r="T48" s="227" t="s">
        <v>606</v>
      </c>
      <c r="U48" s="218"/>
      <c r="V48" s="5363"/>
      <c r="W48" s="5363"/>
      <c r="X48" s="5363"/>
      <c r="Y48" s="5363"/>
      <c r="Z48" s="5363"/>
      <c r="AA48" s="5363"/>
      <c r="AB48" s="5363"/>
      <c r="AC48" s="5364"/>
      <c r="AD48" s="5362" t="str">
        <f>INDEX(PT_DIFFERENTIATION_CS,MATCH(C48,PT_DIFFERENTIATION_CS_ID,0))</f>
        <v/>
      </c>
      <c r="AE48" s="5363"/>
      <c r="AF48" s="5363"/>
      <c r="AG48" s="5363"/>
      <c r="AH48" s="5363"/>
      <c r="AI48" s="5363"/>
      <c r="AJ48" s="5363"/>
      <c r="AK48" s="5363"/>
      <c r="AL48" s="5363"/>
      <c r="AM48" s="5363"/>
      <c r="AN48" s="5363"/>
      <c r="AO48" s="5363"/>
      <c r="AP48" s="5363"/>
      <c r="AQ48" s="5363"/>
      <c r="AR48" s="5363"/>
      <c r="AS48" s="5363"/>
      <c r="AT48" s="5363"/>
      <c r="AU48" s="5363"/>
      <c r="AV48" s="5363"/>
      <c r="AW48" s="5363"/>
      <c r="AX48" s="5363"/>
      <c r="AY48" s="5363"/>
      <c r="AZ48" s="5363"/>
      <c r="BA48" s="5363"/>
      <c r="BB48" s="5364"/>
      <c r="BC48" s="1141" t="s">
        <v>607</v>
      </c>
      <c r="BE48" s="408"/>
      <c r="BF48" s="408" t="str">
        <f t="shared" si="3"/>
        <v>Наименование централизованной системы горячего водоснабжения</v>
      </c>
      <c r="BG48" s="408"/>
      <c r="BH48" s="408"/>
    </row>
    <row r="49" spans="1:60" s="4856" customFormat="1" ht="0" hidden="1" customHeight="1">
      <c r="A49" s="1222" t="s">
        <v>339</v>
      </c>
      <c r="B49" s="1222" t="s">
        <v>340</v>
      </c>
      <c r="C49" s="1222" t="s">
        <v>341</v>
      </c>
      <c r="D49" s="1222" t="s">
        <v>633</v>
      </c>
      <c r="E49" s="5377"/>
      <c r="F49" s="5377"/>
      <c r="G49" s="5377"/>
      <c r="H49" s="5376">
        <v>1</v>
      </c>
      <c r="I49" s="1222"/>
      <c r="J49" s="1222"/>
      <c r="K49" s="1222"/>
      <c r="L49" s="1225"/>
      <c r="M49" s="1195"/>
      <c r="N49" s="1195"/>
      <c r="O49" s="1195"/>
      <c r="P49" s="1369"/>
      <c r="Q49" s="1370"/>
      <c r="R49" s="274"/>
      <c r="S49" s="931"/>
      <c r="T49" s="1371"/>
      <c r="U49" s="1262"/>
      <c r="V49" s="5406"/>
      <c r="W49" s="5406"/>
      <c r="X49" s="5406"/>
      <c r="Y49" s="5406"/>
      <c r="Z49" s="5406"/>
      <c r="AA49" s="5406"/>
      <c r="AB49" s="5406"/>
      <c r="AC49" s="5407"/>
      <c r="AD49" s="5405"/>
      <c r="AE49" s="5406"/>
      <c r="AF49" s="5406"/>
      <c r="AG49" s="5406"/>
      <c r="AH49" s="5406"/>
      <c r="AI49" s="5406"/>
      <c r="AJ49" s="5406"/>
      <c r="AK49" s="5406"/>
      <c r="AL49" s="5406"/>
      <c r="AM49" s="5406"/>
      <c r="AN49" s="5406"/>
      <c r="AO49" s="5406"/>
      <c r="AP49" s="5406"/>
      <c r="AQ49" s="5406"/>
      <c r="AR49" s="5406"/>
      <c r="AS49" s="5406"/>
      <c r="AT49" s="5406"/>
      <c r="AU49" s="5406"/>
      <c r="AV49" s="5406"/>
      <c r="AW49" s="5406"/>
      <c r="AX49" s="5406"/>
      <c r="AY49" s="5406"/>
      <c r="AZ49" s="5406"/>
      <c r="BA49" s="5406"/>
      <c r="BB49" s="5407"/>
      <c r="BC49" s="1263" t="s">
        <v>480</v>
      </c>
      <c r="BE49" s="408"/>
      <c r="BF49" s="408" t="str">
        <f t="shared" si="3"/>
        <v/>
      </c>
      <c r="BG49" s="408"/>
      <c r="BH49" s="408"/>
    </row>
    <row r="50" spans="1:60" s="4856" customFormat="1" ht="0" hidden="1" customHeight="1">
      <c r="A50" s="1222" t="s">
        <v>339</v>
      </c>
      <c r="B50" s="1222" t="s">
        <v>340</v>
      </c>
      <c r="C50" s="1222" t="s">
        <v>341</v>
      </c>
      <c r="D50" s="1222" t="s">
        <v>633</v>
      </c>
      <c r="E50" s="5377"/>
      <c r="F50" s="5377"/>
      <c r="G50" s="5377"/>
      <c r="H50" s="5377"/>
      <c r="I50" s="5374" t="str">
        <f>S49&amp;".1"</f>
        <v>.1</v>
      </c>
      <c r="J50" s="1222"/>
      <c r="K50" s="1222"/>
      <c r="L50" s="1225" t="s">
        <v>481</v>
      </c>
      <c r="M50" s="418"/>
      <c r="N50" s="418"/>
      <c r="O50" s="418"/>
      <c r="P50" s="5375">
        <v>1</v>
      </c>
      <c r="Q50" s="1353"/>
      <c r="R50" s="273"/>
      <c r="S50" s="931"/>
      <c r="T50" s="1261"/>
      <c r="U50" s="1262"/>
      <c r="V50" s="5406"/>
      <c r="W50" s="5406"/>
      <c r="X50" s="5406"/>
      <c r="Y50" s="5406"/>
      <c r="Z50" s="5406"/>
      <c r="AA50" s="5406"/>
      <c r="AB50" s="5406"/>
      <c r="AC50" s="5407"/>
      <c r="AD50" s="5405"/>
      <c r="AE50" s="5406"/>
      <c r="AF50" s="5406"/>
      <c r="AG50" s="5406"/>
      <c r="AH50" s="5406"/>
      <c r="AI50" s="5406"/>
      <c r="AJ50" s="5406"/>
      <c r="AK50" s="5406"/>
      <c r="AL50" s="5406"/>
      <c r="AM50" s="5406"/>
      <c r="AN50" s="5406"/>
      <c r="AO50" s="5406"/>
      <c r="AP50" s="5406"/>
      <c r="AQ50" s="5406"/>
      <c r="AR50" s="5406"/>
      <c r="AS50" s="5406"/>
      <c r="AT50" s="5406"/>
      <c r="AU50" s="5406"/>
      <c r="AV50" s="5406"/>
      <c r="AW50" s="5406"/>
      <c r="AX50" s="5406"/>
      <c r="AY50" s="5406"/>
      <c r="AZ50" s="5406"/>
      <c r="BA50" s="5406"/>
      <c r="BB50" s="5407"/>
      <c r="BC50" s="1263"/>
      <c r="BE50" s="408"/>
      <c r="BF50" s="408" t="str">
        <f t="shared" si="3"/>
        <v/>
      </c>
      <c r="BG50" s="408"/>
      <c r="BH50" s="408"/>
    </row>
    <row r="51" spans="1:60" s="4856" customFormat="1" ht="0" hidden="1" customHeight="1">
      <c r="A51" s="1222" t="s">
        <v>339</v>
      </c>
      <c r="B51" s="1222" t="s">
        <v>340</v>
      </c>
      <c r="C51" s="1222" t="s">
        <v>341</v>
      </c>
      <c r="D51" s="1222" t="s">
        <v>633</v>
      </c>
      <c r="E51" s="5377"/>
      <c r="F51" s="5377"/>
      <c r="G51" s="5377"/>
      <c r="H51" s="5377"/>
      <c r="I51" s="5397"/>
      <c r="J51" s="5374" t="str">
        <f>S49&amp;".1"</f>
        <v>.1</v>
      </c>
      <c r="K51" s="1222"/>
      <c r="L51" s="1225"/>
      <c r="M51" s="418"/>
      <c r="N51" s="418"/>
      <c r="O51" s="418"/>
      <c r="P51" s="5375"/>
      <c r="Q51" s="5375">
        <v>1</v>
      </c>
      <c r="R51" s="274"/>
      <c r="S51" s="931"/>
      <c r="T51" s="1277"/>
      <c r="U51" s="1262"/>
      <c r="V51" s="5406"/>
      <c r="W51" s="5406"/>
      <c r="X51" s="5406"/>
      <c r="Y51" s="5406"/>
      <c r="Z51" s="5406"/>
      <c r="AA51" s="5406"/>
      <c r="AB51" s="5406"/>
      <c r="AC51" s="5407"/>
      <c r="AD51" s="5405"/>
      <c r="AE51" s="5406"/>
      <c r="AF51" s="5406"/>
      <c r="AG51" s="5406"/>
      <c r="AH51" s="5406"/>
      <c r="AI51" s="5406"/>
      <c r="AJ51" s="5406"/>
      <c r="AK51" s="5406"/>
      <c r="AL51" s="5406"/>
      <c r="AM51" s="5406"/>
      <c r="AN51" s="5450"/>
      <c r="AO51" s="5450"/>
      <c r="AP51" s="5406"/>
      <c r="AQ51" s="5406"/>
      <c r="AR51" s="5406"/>
      <c r="AS51" s="5406"/>
      <c r="AT51" s="5406"/>
      <c r="AU51" s="5406"/>
      <c r="AV51" s="5406"/>
      <c r="AW51" s="5406"/>
      <c r="AX51" s="5406"/>
      <c r="AY51" s="5406"/>
      <c r="AZ51" s="5406"/>
      <c r="BA51" s="5406"/>
      <c r="BB51" s="5407"/>
      <c r="BC51" s="1263"/>
      <c r="BE51" s="408"/>
      <c r="BF51" s="408" t="str">
        <f t="shared" si="3"/>
        <v/>
      </c>
      <c r="BG51" s="408"/>
      <c r="BH51" s="408"/>
    </row>
    <row r="52" spans="1:60" ht="11.25" customHeight="1">
      <c r="A52" s="1241" t="s">
        <v>339</v>
      </c>
      <c r="B52" s="1241" t="s">
        <v>340</v>
      </c>
      <c r="C52" s="1241" t="s">
        <v>341</v>
      </c>
      <c r="D52" s="1241" t="s">
        <v>633</v>
      </c>
      <c r="E52" s="5377"/>
      <c r="F52" s="5377"/>
      <c r="G52" s="5377"/>
      <c r="H52" s="5377"/>
      <c r="I52" s="5397"/>
      <c r="J52" s="5397"/>
      <c r="K52" s="5374" t="str">
        <f>S48&amp;".1"</f>
        <v>...1</v>
      </c>
      <c r="L52" s="1242"/>
      <c r="P52" s="5375"/>
      <c r="Q52" s="5375"/>
      <c r="R52" s="274">
        <v>1</v>
      </c>
      <c r="S52" s="5426" t="str">
        <f>$K52</f>
        <v>...1</v>
      </c>
      <c r="T52" s="5445"/>
      <c r="U52" s="218"/>
      <c r="V52" s="650"/>
      <c r="W52" s="1140"/>
      <c r="X52" s="650"/>
      <c r="Y52" s="1140"/>
      <c r="Z52" s="1597"/>
      <c r="AA52" s="1342" t="s">
        <v>64</v>
      </c>
      <c r="AB52" s="1597"/>
      <c r="AC52" s="1342" t="s">
        <v>64</v>
      </c>
      <c r="AD52" s="5296" t="s">
        <v>64</v>
      </c>
      <c r="AE52" s="5412"/>
      <c r="AF52" s="5332">
        <v>1</v>
      </c>
      <c r="AG52" s="5449"/>
      <c r="AH52" s="5225" t="s">
        <v>64</v>
      </c>
      <c r="AI52" s="5412"/>
      <c r="AJ52" s="5332">
        <v>1</v>
      </c>
      <c r="AK52" s="5448" t="s">
        <v>24</v>
      </c>
      <c r="AL52" s="5225" t="s">
        <v>64</v>
      </c>
      <c r="AM52" s="5322"/>
      <c r="AN52" s="5332">
        <v>1</v>
      </c>
      <c r="AO52" s="5442"/>
      <c r="AP52" s="5443" t="s">
        <v>64</v>
      </c>
      <c r="AQ52" s="229"/>
      <c r="AR52" s="1358">
        <v>1</v>
      </c>
      <c r="AS52" s="1364" t="s">
        <v>24</v>
      </c>
      <c r="AT52" s="650"/>
      <c r="AU52" s="1140"/>
      <c r="AV52" s="650"/>
      <c r="AW52" s="1140"/>
      <c r="AX52" s="1597"/>
      <c r="AY52" s="1342" t="s">
        <v>64</v>
      </c>
      <c r="AZ52" s="1597"/>
      <c r="BA52" s="1342" t="s">
        <v>64</v>
      </c>
      <c r="BB52" s="1227"/>
      <c r="BC52" s="5371" t="s">
        <v>577</v>
      </c>
      <c r="BE52" s="408"/>
      <c r="BF52" s="408" t="str">
        <f t="shared" si="3"/>
        <v/>
      </c>
      <c r="BG52" s="408"/>
      <c r="BH52" s="408"/>
    </row>
    <row r="53" spans="1:60" ht="11.25" customHeight="1">
      <c r="A53" s="1241"/>
      <c r="B53" s="1241"/>
      <c r="C53" s="1241"/>
      <c r="D53" s="1241"/>
      <c r="E53" s="5377"/>
      <c r="F53" s="5377"/>
      <c r="G53" s="5377"/>
      <c r="H53" s="5377"/>
      <c r="I53" s="5397"/>
      <c r="J53" s="5397"/>
      <c r="K53" s="5374"/>
      <c r="L53" s="1242"/>
      <c r="P53" s="5375"/>
      <c r="Q53" s="5375"/>
      <c r="R53" s="274"/>
      <c r="S53" s="5427"/>
      <c r="T53" s="5446"/>
      <c r="U53" s="218"/>
      <c r="V53" s="1271"/>
      <c r="W53" s="1368"/>
      <c r="X53" s="1271"/>
      <c r="Y53" s="1368"/>
      <c r="Z53" s="1271"/>
      <c r="AA53" s="1271"/>
      <c r="AB53" s="1271"/>
      <c r="AC53" s="1271"/>
      <c r="AD53" s="5297"/>
      <c r="AE53" s="5412"/>
      <c r="AF53" s="5332"/>
      <c r="AG53" s="5449"/>
      <c r="AH53" s="5225"/>
      <c r="AI53" s="5412"/>
      <c r="AJ53" s="5332"/>
      <c r="AK53" s="5448"/>
      <c r="AL53" s="5225"/>
      <c r="AM53" s="5327"/>
      <c r="AN53" s="5332"/>
      <c r="AO53" s="5442"/>
      <c r="AP53" s="5444"/>
      <c r="AQ53" s="234"/>
      <c r="AR53" s="332"/>
      <c r="AS53" s="332" t="s">
        <v>578</v>
      </c>
      <c r="AT53" s="1271"/>
      <c r="AU53" s="1368"/>
      <c r="AV53" s="1271"/>
      <c r="AW53" s="1368"/>
      <c r="AX53" s="1271"/>
      <c r="AY53" s="1271"/>
      <c r="AZ53" s="1271"/>
      <c r="BA53" s="1271"/>
      <c r="BB53" s="1275"/>
      <c r="BC53" s="5372"/>
      <c r="BE53" s="408"/>
      <c r="BF53" s="408"/>
      <c r="BG53" s="408"/>
      <c r="BH53" s="408"/>
    </row>
    <row r="54" spans="1:60" ht="11.25" customHeight="1">
      <c r="A54" s="1241" t="s">
        <v>339</v>
      </c>
      <c r="B54" s="1241"/>
      <c r="C54" s="1241"/>
      <c r="D54" s="1241"/>
      <c r="E54" s="5377"/>
      <c r="F54" s="5377"/>
      <c r="G54" s="5377"/>
      <c r="H54" s="5377"/>
      <c r="I54" s="5397"/>
      <c r="J54" s="5397"/>
      <c r="K54" s="5374"/>
      <c r="L54" s="1242"/>
      <c r="P54" s="5375"/>
      <c r="Q54" s="5375"/>
      <c r="R54" s="274"/>
      <c r="S54" s="5427"/>
      <c r="T54" s="5446"/>
      <c r="U54" s="218"/>
      <c r="V54" s="1271"/>
      <c r="W54" s="1368"/>
      <c r="X54" s="1271"/>
      <c r="Y54" s="1368"/>
      <c r="Z54" s="1271"/>
      <c r="AA54" s="1271"/>
      <c r="AB54" s="1271"/>
      <c r="AC54" s="1271"/>
      <c r="AD54" s="5297"/>
      <c r="AE54" s="5412"/>
      <c r="AF54" s="5332"/>
      <c r="AG54" s="5449"/>
      <c r="AH54" s="5225"/>
      <c r="AI54" s="5412"/>
      <c r="AJ54" s="5332"/>
      <c r="AK54" s="5448"/>
      <c r="AL54" s="5225"/>
      <c r="AM54" s="234"/>
      <c r="AN54" s="1372"/>
      <c r="AO54" s="1372" t="s">
        <v>579</v>
      </c>
      <c r="AP54" s="332"/>
      <c r="AQ54" s="332"/>
      <c r="AR54" s="332"/>
      <c r="AS54" s="1271"/>
      <c r="AT54" s="1271"/>
      <c r="AU54" s="1368"/>
      <c r="AV54" s="1271"/>
      <c r="AW54" s="1368"/>
      <c r="AX54" s="1271"/>
      <c r="AY54" s="1271"/>
      <c r="AZ54" s="1271"/>
      <c r="BA54" s="1271"/>
      <c r="BB54" s="1275"/>
      <c r="BC54" s="5372"/>
      <c r="BE54" s="408"/>
      <c r="BF54" s="408"/>
      <c r="BG54" s="408"/>
      <c r="BH54" s="408"/>
    </row>
    <row r="55" spans="1:60" ht="11.25" customHeight="1">
      <c r="A55" s="1241" t="s">
        <v>339</v>
      </c>
      <c r="B55" s="1241"/>
      <c r="C55" s="1241"/>
      <c r="D55" s="1241"/>
      <c r="E55" s="5377"/>
      <c r="F55" s="5377"/>
      <c r="G55" s="5377"/>
      <c r="H55" s="5377"/>
      <c r="I55" s="5397"/>
      <c r="J55" s="5397"/>
      <c r="K55" s="5374"/>
      <c r="L55" s="1242"/>
      <c r="P55" s="5375"/>
      <c r="Q55" s="5375"/>
      <c r="R55" s="274"/>
      <c r="S55" s="5427"/>
      <c r="T55" s="5446"/>
      <c r="U55" s="218"/>
      <c r="V55" s="1271"/>
      <c r="W55" s="1368"/>
      <c r="X55" s="1271"/>
      <c r="Y55" s="1368"/>
      <c r="Z55" s="1271"/>
      <c r="AA55" s="1271"/>
      <c r="AB55" s="1271"/>
      <c r="AC55" s="1271"/>
      <c r="AD55" s="5297"/>
      <c r="AE55" s="5412"/>
      <c r="AF55" s="5332"/>
      <c r="AG55" s="5449"/>
      <c r="AH55" s="5225"/>
      <c r="AI55" s="212"/>
      <c r="AJ55" s="331"/>
      <c r="AK55" s="231" t="s">
        <v>580</v>
      </c>
      <c r="AL55" s="1271"/>
      <c r="AM55" s="1271"/>
      <c r="AN55" s="1271"/>
      <c r="AO55" s="1271"/>
      <c r="AP55" s="1271"/>
      <c r="AQ55" s="1271"/>
      <c r="AR55" s="1271"/>
      <c r="AS55" s="1271"/>
      <c r="AT55" s="1271"/>
      <c r="AU55" s="1368"/>
      <c r="AV55" s="1271"/>
      <c r="AW55" s="1368"/>
      <c r="AX55" s="1271"/>
      <c r="AY55" s="1271"/>
      <c r="AZ55" s="1271"/>
      <c r="BA55" s="1271"/>
      <c r="BB55" s="1275"/>
      <c r="BC55" s="5372"/>
      <c r="BE55" s="408"/>
      <c r="BF55" s="408"/>
      <c r="BG55" s="408"/>
      <c r="BH55" s="408"/>
    </row>
    <row r="56" spans="1:60" ht="11.25" customHeight="1">
      <c r="A56" s="1241" t="s">
        <v>339</v>
      </c>
      <c r="B56" s="1241" t="s">
        <v>340</v>
      </c>
      <c r="C56" s="1241" t="s">
        <v>341</v>
      </c>
      <c r="D56" s="1241" t="s">
        <v>633</v>
      </c>
      <c r="E56" s="5377"/>
      <c r="F56" s="5377"/>
      <c r="G56" s="5377"/>
      <c r="H56" s="5377"/>
      <c r="I56" s="5397"/>
      <c r="J56" s="5397"/>
      <c r="K56" s="5374"/>
      <c r="L56" s="1242"/>
      <c r="P56" s="5375"/>
      <c r="Q56" s="5375"/>
      <c r="R56" s="274"/>
      <c r="S56" s="5428"/>
      <c r="T56" s="5447"/>
      <c r="U56" s="218"/>
      <c r="V56" s="1271"/>
      <c r="W56" s="1272" t="str">
        <f>Z52&amp;"-"&amp;AB52</f>
        <v>-</v>
      </c>
      <c r="X56" s="1271"/>
      <c r="Y56" s="1272" t="str">
        <f>AB52&amp;"-"&amp;AD52</f>
        <v>-да</v>
      </c>
      <c r="Z56" s="1271"/>
      <c r="AA56" s="1271"/>
      <c r="AB56" s="1271"/>
      <c r="AC56" s="1271"/>
      <c r="AD56" s="5230"/>
      <c r="AE56" s="230"/>
      <c r="AF56" s="232"/>
      <c r="AG56" s="332" t="s">
        <v>581</v>
      </c>
      <c r="AH56" s="1271"/>
      <c r="AI56" s="1271"/>
      <c r="AJ56" s="1271"/>
      <c r="AK56" s="1271"/>
      <c r="AL56" s="1271"/>
      <c r="AM56" s="1271"/>
      <c r="AN56" s="1271"/>
      <c r="AO56" s="1271"/>
      <c r="AP56" s="1271"/>
      <c r="AQ56" s="1271"/>
      <c r="AR56" s="1271"/>
      <c r="AS56" s="1271"/>
      <c r="AT56" s="1271"/>
      <c r="AU56" s="1272" t="str">
        <f>AX52&amp;"-"&amp;AZ52</f>
        <v>-</v>
      </c>
      <c r="AV56" s="1271"/>
      <c r="AW56" s="1272" t="str">
        <f>AZ52&amp;"-"&amp;BB52</f>
        <v>-</v>
      </c>
      <c r="AX56" s="1271"/>
      <c r="AY56" s="1271"/>
      <c r="AZ56" s="1271"/>
      <c r="BA56" s="1271"/>
      <c r="BB56" s="1274" t="str">
        <f>BE52&amp;"-"&amp;BG52</f>
        <v>-</v>
      </c>
      <c r="BC56" s="5372"/>
      <c r="BE56" s="408"/>
      <c r="BF56" s="408" t="str">
        <f t="shared" ref="BF56:BF63" si="4">IF(T56="","",T56)</f>
        <v/>
      </c>
      <c r="BG56" s="408"/>
      <c r="BH56" s="408"/>
    </row>
    <row r="57" spans="1:60" ht="11.25" customHeight="1">
      <c r="A57" s="1241" t="s">
        <v>339</v>
      </c>
      <c r="B57" s="1241" t="s">
        <v>340</v>
      </c>
      <c r="C57" s="1241" t="s">
        <v>341</v>
      </c>
      <c r="D57" s="1241" t="s">
        <v>633</v>
      </c>
      <c r="E57" s="5377"/>
      <c r="F57" s="5377"/>
      <c r="G57" s="5377"/>
      <c r="H57" s="5377"/>
      <c r="I57" s="5397"/>
      <c r="J57" s="5374"/>
      <c r="K57" s="1241"/>
      <c r="L57" s="1242"/>
      <c r="P57" s="5375"/>
      <c r="Q57" s="5375"/>
      <c r="R57" s="273"/>
      <c r="S57" s="1161"/>
      <c r="T57" s="205" t="s">
        <v>543</v>
      </c>
      <c r="U57" s="283"/>
      <c r="V57" s="283"/>
      <c r="W57" s="283"/>
      <c r="X57" s="283"/>
      <c r="Y57" s="283"/>
      <c r="Z57" s="283"/>
      <c r="AA57" s="283"/>
      <c r="AB57" s="283"/>
      <c r="AC57" s="242"/>
      <c r="AD57" s="1377"/>
      <c r="AE57" s="283"/>
      <c r="AF57" s="283"/>
      <c r="AG57" s="283"/>
      <c r="AH57" s="283"/>
      <c r="AI57" s="283"/>
      <c r="AJ57" s="283"/>
      <c r="AK57" s="283"/>
      <c r="AL57" s="283"/>
      <c r="AM57" s="283"/>
      <c r="AN57" s="283"/>
      <c r="AO57" s="283"/>
      <c r="AP57" s="283"/>
      <c r="AQ57" s="283"/>
      <c r="AR57" s="283"/>
      <c r="AS57" s="283"/>
      <c r="AT57" s="283"/>
      <c r="AU57" s="283"/>
      <c r="AV57" s="283"/>
      <c r="AW57" s="283"/>
      <c r="AX57" s="283"/>
      <c r="AY57" s="283"/>
      <c r="AZ57" s="283"/>
      <c r="BA57" s="283"/>
      <c r="BB57" s="242"/>
      <c r="BC57" s="5373"/>
      <c r="BE57" s="408"/>
      <c r="BF57" s="408" t="str">
        <f t="shared" si="4"/>
        <v>Добавить строку</v>
      </c>
      <c r="BG57" s="408"/>
      <c r="BH57" s="408"/>
    </row>
    <row r="58" spans="1:60" s="4856" customFormat="1" ht="0" hidden="1" customHeight="1">
      <c r="A58" s="1222" t="s">
        <v>339</v>
      </c>
      <c r="B58" s="1222" t="s">
        <v>340</v>
      </c>
      <c r="C58" s="1222" t="s">
        <v>341</v>
      </c>
      <c r="D58" s="1222" t="s">
        <v>633</v>
      </c>
      <c r="E58" s="5377"/>
      <c r="F58" s="5377"/>
      <c r="G58" s="5377"/>
      <c r="H58" s="5377"/>
      <c r="I58" s="5374"/>
      <c r="J58" s="1222"/>
      <c r="K58" s="1222"/>
      <c r="L58" s="1225"/>
      <c r="M58" s="418"/>
      <c r="N58" s="418"/>
      <c r="O58" s="418"/>
      <c r="P58" s="5375"/>
      <c r="Q58" s="1353"/>
      <c r="R58" s="273"/>
      <c r="S58" s="1264"/>
      <c r="T58" s="1265"/>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AU58" s="1266"/>
      <c r="AV58" s="1266"/>
      <c r="AW58" s="1266"/>
      <c r="AX58" s="1266"/>
      <c r="AY58" s="1266"/>
      <c r="AZ58" s="1266"/>
      <c r="BA58" s="1266"/>
      <c r="BB58" s="1266"/>
      <c r="BC58" s="1267"/>
      <c r="BE58" s="408"/>
      <c r="BF58" s="408" t="str">
        <f t="shared" si="4"/>
        <v/>
      </c>
      <c r="BG58" s="408"/>
      <c r="BH58" s="408"/>
    </row>
    <row r="59" spans="1:60" s="4856" customFormat="1" ht="0" hidden="1" customHeight="1">
      <c r="A59" s="1222" t="s">
        <v>339</v>
      </c>
      <c r="B59" s="1222" t="s">
        <v>340</v>
      </c>
      <c r="C59" s="1222" t="s">
        <v>341</v>
      </c>
      <c r="D59" s="1222" t="s">
        <v>633</v>
      </c>
      <c r="E59" s="5377"/>
      <c r="F59" s="5377"/>
      <c r="G59" s="5377"/>
      <c r="H59" s="5376"/>
      <c r="I59" s="1222"/>
      <c r="J59" s="1222"/>
      <c r="K59" s="1222"/>
      <c r="L59" s="1225"/>
      <c r="M59" s="1195"/>
      <c r="N59" s="1195"/>
      <c r="O59" s="426"/>
      <c r="P59" s="296"/>
      <c r="Q59" s="1223"/>
      <c r="R59" s="1279"/>
      <c r="S59" s="1264"/>
      <c r="T59" s="1265"/>
      <c r="U59" s="1266"/>
      <c r="V59" s="1266"/>
      <c r="W59" s="1266"/>
      <c r="X59" s="1266"/>
      <c r="Y59" s="1266"/>
      <c r="Z59" s="1266"/>
      <c r="AA59" s="1266"/>
      <c r="AB59" s="1266"/>
      <c r="AC59" s="1266"/>
      <c r="AD59" s="1266"/>
      <c r="AE59" s="1266"/>
      <c r="AF59" s="1266"/>
      <c r="AG59" s="1266"/>
      <c r="AH59" s="1266"/>
      <c r="AI59" s="1266"/>
      <c r="AJ59" s="1266"/>
      <c r="AK59" s="1266"/>
      <c r="AL59" s="1266"/>
      <c r="AM59" s="1266"/>
      <c r="AN59" s="1266"/>
      <c r="AO59" s="1266"/>
      <c r="AP59" s="1266"/>
      <c r="AQ59" s="1266"/>
      <c r="AR59" s="1266"/>
      <c r="AS59" s="1266"/>
      <c r="AT59" s="1266"/>
      <c r="AU59" s="1266"/>
      <c r="AV59" s="1266"/>
      <c r="AW59" s="1266"/>
      <c r="AX59" s="1266"/>
      <c r="AY59" s="1266"/>
      <c r="AZ59" s="1266"/>
      <c r="BA59" s="1266"/>
      <c r="BB59" s="1266"/>
      <c r="BC59" s="1267"/>
      <c r="BE59" s="408"/>
      <c r="BF59" s="408" t="str">
        <f t="shared" si="4"/>
        <v/>
      </c>
      <c r="BG59" s="408"/>
      <c r="BH59" s="408"/>
    </row>
    <row r="60" spans="1:60" s="4853" customFormat="1" ht="0" hidden="1" customHeight="1">
      <c r="A60" s="1222" t="s">
        <v>339</v>
      </c>
      <c r="B60" s="1222" t="s">
        <v>340</v>
      </c>
      <c r="C60" s="1222" t="s">
        <v>341</v>
      </c>
      <c r="D60" s="1194"/>
      <c r="E60" s="5377"/>
      <c r="F60" s="5377"/>
      <c r="G60" s="5376"/>
      <c r="H60" s="1194"/>
      <c r="I60" s="1194"/>
      <c r="J60" s="1194"/>
      <c r="K60" s="1194"/>
      <c r="L60" s="1366"/>
      <c r="M60" s="1195"/>
      <c r="N60" s="1195"/>
      <c r="P60" s="1196"/>
      <c r="Q60" s="1197"/>
      <c r="R60" s="1196"/>
      <c r="S60" s="1202"/>
      <c r="T60" s="1205"/>
      <c r="U60" s="1204"/>
      <c r="V60" s="1204"/>
      <c r="W60" s="1204"/>
      <c r="X60" s="1204"/>
      <c r="Y60" s="1204"/>
      <c r="Z60" s="1204"/>
      <c r="AA60" s="1204"/>
      <c r="AB60" s="1204"/>
      <c r="AC60" s="1204"/>
      <c r="AD60" s="1204"/>
      <c r="AE60" s="1204"/>
      <c r="AF60" s="1204"/>
      <c r="AG60" s="1204"/>
      <c r="AH60" s="1204"/>
      <c r="AI60" s="1204"/>
      <c r="AJ60" s="1204"/>
      <c r="AK60" s="1204"/>
      <c r="AL60" s="1204"/>
      <c r="AM60" s="1204"/>
      <c r="AN60" s="1204"/>
      <c r="AO60" s="1204"/>
      <c r="AP60" s="1204"/>
      <c r="AQ60" s="1204"/>
      <c r="AR60" s="1204"/>
      <c r="AS60" s="1204"/>
      <c r="AT60" s="1204"/>
      <c r="AU60" s="1204"/>
      <c r="AV60" s="1204"/>
      <c r="AW60" s="1204"/>
      <c r="AX60" s="1204"/>
      <c r="AY60" s="1204"/>
      <c r="AZ60" s="1204"/>
      <c r="BA60" s="1204"/>
      <c r="BB60" s="1204"/>
      <c r="BC60" s="1204"/>
      <c r="BE60" s="688"/>
      <c r="BF60" s="688" t="str">
        <f t="shared" si="4"/>
        <v/>
      </c>
      <c r="BG60" s="688"/>
      <c r="BH60" s="688"/>
    </row>
    <row r="61" spans="1:60" s="4853" customFormat="1" ht="0" hidden="1" customHeight="1">
      <c r="A61" s="1222" t="s">
        <v>339</v>
      </c>
      <c r="B61" s="1222" t="s">
        <v>340</v>
      </c>
      <c r="C61" s="1194"/>
      <c r="D61" s="1194"/>
      <c r="E61" s="5377"/>
      <c r="F61" s="5376"/>
      <c r="G61" s="1194"/>
      <c r="H61" s="1194"/>
      <c r="I61" s="1194"/>
      <c r="J61" s="1194"/>
      <c r="K61" s="1194"/>
      <c r="L61" s="1366"/>
      <c r="M61" s="1201"/>
      <c r="N61" s="1201"/>
      <c r="P61" s="1196"/>
      <c r="Q61" s="1197"/>
      <c r="R61" s="1196"/>
      <c r="S61" s="1202"/>
      <c r="T61" s="1205" t="s">
        <v>271</v>
      </c>
      <c r="U61" s="1204"/>
      <c r="V61" s="1204"/>
      <c r="W61" s="1204"/>
      <c r="X61" s="1204"/>
      <c r="Y61" s="1204"/>
      <c r="Z61" s="1204"/>
      <c r="AA61" s="1204"/>
      <c r="AB61" s="1204"/>
      <c r="AC61" s="1204"/>
      <c r="AD61" s="1204"/>
      <c r="AE61" s="1204"/>
      <c r="AF61" s="1204"/>
      <c r="AG61" s="1204"/>
      <c r="AH61" s="1204"/>
      <c r="AI61" s="1204"/>
      <c r="AJ61" s="1204"/>
      <c r="AK61" s="1204"/>
      <c r="AL61" s="1204"/>
      <c r="AM61" s="1204"/>
      <c r="AN61" s="1204"/>
      <c r="AO61" s="1204"/>
      <c r="AP61" s="1204"/>
      <c r="AQ61" s="1204"/>
      <c r="AR61" s="1204"/>
      <c r="AS61" s="1204"/>
      <c r="AT61" s="1204"/>
      <c r="AU61" s="1204"/>
      <c r="AV61" s="1204"/>
      <c r="AW61" s="1204"/>
      <c r="AX61" s="1204"/>
      <c r="AY61" s="1204"/>
      <c r="AZ61" s="1204"/>
      <c r="BA61" s="1204"/>
      <c r="BB61" s="1204"/>
      <c r="BC61" s="1204"/>
      <c r="BE61" s="688"/>
      <c r="BF61" s="688" t="str">
        <f t="shared" si="4"/>
        <v>Добавить централизованную систему для дифференциации</v>
      </c>
      <c r="BG61" s="688"/>
      <c r="BH61" s="688"/>
    </row>
    <row r="62" spans="1:60" s="4856" customFormat="1" ht="0" hidden="1" customHeight="1">
      <c r="A62" s="1222" t="s">
        <v>339</v>
      </c>
      <c r="B62" s="1222"/>
      <c r="C62" s="1222"/>
      <c r="D62" s="1222"/>
      <c r="E62" s="5376"/>
      <c r="F62" s="1222"/>
      <c r="G62" s="1222"/>
      <c r="H62" s="1222"/>
      <c r="I62" s="1222"/>
      <c r="J62" s="1222"/>
      <c r="K62" s="1222"/>
      <c r="L62" s="1225"/>
      <c r="M62" s="1201"/>
      <c r="N62" s="1201"/>
      <c r="O62" s="426"/>
      <c r="P62" s="296"/>
      <c r="Q62" s="1223"/>
      <c r="R62" s="296"/>
      <c r="S62" s="1202"/>
      <c r="T62" s="1205" t="s">
        <v>330</v>
      </c>
      <c r="U62" s="1204"/>
      <c r="V62" s="1204"/>
      <c r="W62" s="1204"/>
      <c r="X62" s="1204"/>
      <c r="Y62" s="1204"/>
      <c r="Z62" s="1204"/>
      <c r="AA62" s="1204"/>
      <c r="AB62" s="1204"/>
      <c r="AC62" s="1204"/>
      <c r="AD62" s="1204"/>
      <c r="AE62" s="1204"/>
      <c r="AF62" s="1204"/>
      <c r="AG62" s="1204"/>
      <c r="AH62" s="1204"/>
      <c r="AI62" s="1204"/>
      <c r="AJ62" s="1204"/>
      <c r="AK62" s="1204"/>
      <c r="AL62" s="1204"/>
      <c r="AM62" s="1204"/>
      <c r="AN62" s="1204"/>
      <c r="AO62" s="1204"/>
      <c r="AP62" s="1204"/>
      <c r="AQ62" s="1204"/>
      <c r="AR62" s="1204"/>
      <c r="AS62" s="1204"/>
      <c r="AT62" s="1204"/>
      <c r="AU62" s="1204"/>
      <c r="AV62" s="1204"/>
      <c r="AW62" s="1204"/>
      <c r="AX62" s="1204"/>
      <c r="AY62" s="1204"/>
      <c r="AZ62" s="1204"/>
      <c r="BA62" s="1204"/>
      <c r="BB62" s="1204"/>
      <c r="BC62" s="1204"/>
      <c r="BE62" s="408"/>
      <c r="BF62" s="408" t="str">
        <f t="shared" si="4"/>
        <v>Добавить территорию для дифференциации</v>
      </c>
      <c r="BG62" s="408"/>
      <c r="BH62" s="408"/>
    </row>
    <row r="63" spans="1:60" s="4853" customFormat="1" ht="0" hidden="1" customHeight="1">
      <c r="A63" s="1194"/>
      <c r="B63" s="1194"/>
      <c r="C63" s="1194"/>
      <c r="D63" s="1194"/>
      <c r="E63" s="1222"/>
      <c r="F63" s="1194"/>
      <c r="G63" s="1194"/>
      <c r="H63" s="1194"/>
      <c r="I63" s="1194"/>
      <c r="J63" s="1194"/>
      <c r="K63" s="1194"/>
      <c r="L63" s="1366"/>
      <c r="M63" s="1201"/>
      <c r="N63" s="1201"/>
      <c r="P63" s="1196"/>
      <c r="Q63" s="1197"/>
      <c r="R63" s="1196"/>
      <c r="S63" s="1202"/>
      <c r="T63" s="1205" t="s">
        <v>331</v>
      </c>
      <c r="U63" s="1204"/>
      <c r="V63" s="1204"/>
      <c r="W63" s="1204"/>
      <c r="X63" s="1204"/>
      <c r="Y63" s="1204"/>
      <c r="Z63" s="1204"/>
      <c r="AA63" s="1204"/>
      <c r="AB63" s="1204"/>
      <c r="AC63" s="1204"/>
      <c r="AD63" s="1204"/>
      <c r="AE63" s="1204"/>
      <c r="AF63" s="1204"/>
      <c r="AG63" s="1204"/>
      <c r="AH63" s="1204"/>
      <c r="AI63" s="1204"/>
      <c r="AJ63" s="1204"/>
      <c r="AK63" s="1204"/>
      <c r="AL63" s="1204"/>
      <c r="AM63" s="1204"/>
      <c r="AN63" s="1204"/>
      <c r="AO63" s="1204"/>
      <c r="AP63" s="1204"/>
      <c r="AQ63" s="1204"/>
      <c r="AR63" s="1204"/>
      <c r="AS63" s="1204"/>
      <c r="AT63" s="1204"/>
      <c r="AU63" s="1204"/>
      <c r="AV63" s="1204"/>
      <c r="AW63" s="1204"/>
      <c r="AX63" s="1204"/>
      <c r="AY63" s="1204"/>
      <c r="AZ63" s="1204"/>
      <c r="BA63" s="1204"/>
      <c r="BB63" s="1204"/>
      <c r="BC63" s="1204"/>
      <c r="BE63" s="688"/>
      <c r="BF63" s="688" t="str">
        <f t="shared" si="4"/>
        <v>Добавить наименование тарифа</v>
      </c>
      <c r="BG63" s="688"/>
      <c r="BH63" s="688"/>
    </row>
    <row r="64" spans="1:60" ht="11.25" customHeight="1">
      <c r="M64" s="1042"/>
      <c r="N64" s="1042"/>
      <c r="O64" s="444"/>
      <c r="P64" s="1042"/>
      <c r="Q64" s="1042"/>
      <c r="R64" s="1037"/>
      <c r="S64" s="1037"/>
      <c r="BD64" s="1037"/>
      <c r="BE64" s="1037"/>
      <c r="BF64" s="1037"/>
      <c r="BG64" s="1037"/>
      <c r="BH64" s="1037"/>
    </row>
    <row r="65" spans="15:55" ht="18.75" customHeight="1">
      <c r="O65" s="444"/>
      <c r="S65" s="1136"/>
      <c r="T65" s="5396"/>
      <c r="U65" s="5396"/>
      <c r="V65" s="5396"/>
      <c r="W65" s="5396"/>
      <c r="X65" s="5396"/>
      <c r="Y65" s="5396"/>
      <c r="Z65" s="5396"/>
      <c r="AA65" s="5396"/>
      <c r="AB65" s="5396"/>
      <c r="AC65" s="5396"/>
      <c r="AD65" s="5396"/>
      <c r="AE65" s="5396"/>
      <c r="AF65" s="5396"/>
      <c r="AG65" s="5396"/>
      <c r="AH65" s="5396"/>
      <c r="AI65" s="5396"/>
      <c r="AJ65" s="5396"/>
      <c r="AK65" s="5396"/>
      <c r="AL65" s="5396"/>
      <c r="AM65" s="5396"/>
      <c r="AN65" s="5396"/>
      <c r="AO65" s="5396"/>
      <c r="AP65" s="5396"/>
      <c r="AQ65" s="5396"/>
      <c r="AR65" s="5396"/>
      <c r="AS65" s="5396"/>
      <c r="AT65" s="5396"/>
      <c r="AU65" s="5396"/>
      <c r="AV65" s="5396"/>
      <c r="AW65" s="5396"/>
      <c r="AX65" s="5396"/>
      <c r="AY65" s="5396"/>
      <c r="AZ65" s="5396"/>
      <c r="BA65" s="5396"/>
      <c r="BB65" s="5396"/>
      <c r="BC65" s="5396"/>
    </row>
    <row r="66" spans="15:55" ht="14.25" customHeight="1">
      <c r="O66" s="444"/>
      <c r="T66" s="1352"/>
      <c r="U66" s="1352"/>
      <c r="V66" s="1352"/>
      <c r="W66" s="1352"/>
      <c r="X66" s="1352"/>
      <c r="Y66" s="1352"/>
      <c r="Z66" s="1352"/>
      <c r="AA66" s="1352"/>
      <c r="AB66" s="1352"/>
      <c r="AC66" s="1352"/>
      <c r="AD66" s="1352"/>
      <c r="AE66" s="1352"/>
      <c r="AF66" s="1352"/>
      <c r="AG66" s="1352"/>
      <c r="AH66" s="1352"/>
      <c r="AI66" s="1352"/>
      <c r="AJ66" s="1352"/>
      <c r="AK66" s="1352"/>
      <c r="AL66" s="1352"/>
      <c r="AM66" s="1352"/>
      <c r="AN66" s="1352"/>
      <c r="AO66" s="1352"/>
      <c r="AP66" s="1352"/>
      <c r="AQ66" s="1352"/>
      <c r="AR66" s="1352"/>
      <c r="AS66" s="1352"/>
      <c r="AT66" s="1352"/>
      <c r="AU66" s="1352"/>
      <c r="AV66" s="1352"/>
      <c r="AW66" s="1352"/>
      <c r="AX66" s="1352"/>
      <c r="AY66" s="1352"/>
      <c r="AZ66" s="1352"/>
      <c r="BA66" s="1352"/>
      <c r="BB66" s="1352"/>
      <c r="BC66" s="1352"/>
    </row>
    <row r="67" spans="15:55" ht="18.75" customHeight="1">
      <c r="O67" s="444"/>
      <c r="S67" s="1136"/>
      <c r="T67" s="5396"/>
      <c r="U67" s="5396"/>
      <c r="V67" s="5396"/>
      <c r="W67" s="5396"/>
      <c r="X67" s="5396"/>
      <c r="Y67" s="5396"/>
      <c r="Z67" s="5396"/>
      <c r="AA67" s="5396"/>
      <c r="AB67" s="5396"/>
      <c r="AC67" s="5396"/>
      <c r="AD67" s="5396"/>
      <c r="AE67" s="5396"/>
      <c r="AF67" s="5396"/>
      <c r="AG67" s="5396"/>
      <c r="AH67" s="5396"/>
      <c r="AI67" s="5396"/>
      <c r="AJ67" s="5396"/>
      <c r="AK67" s="5396"/>
      <c r="AL67" s="5396"/>
      <c r="AM67" s="5396"/>
      <c r="AN67" s="5396"/>
      <c r="AO67" s="5396"/>
      <c r="AP67" s="5396"/>
      <c r="AQ67" s="5396"/>
      <c r="AR67" s="5396"/>
      <c r="AS67" s="5396"/>
      <c r="AT67" s="5396"/>
      <c r="AU67" s="5396"/>
      <c r="AV67" s="5396"/>
      <c r="AW67" s="5396"/>
      <c r="AX67" s="5396"/>
      <c r="AY67" s="5396"/>
      <c r="AZ67" s="5396"/>
      <c r="BA67" s="5396"/>
      <c r="BB67" s="5396"/>
      <c r="BC67" s="5396"/>
    </row>
    <row r="68" spans="15:55" ht="14.25" customHeight="1">
      <c r="O68" s="444"/>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5117" hidden="1" customWidth="1"/>
    <col min="2" max="2" width="16.85546875" style="4854" hidden="1" customWidth="1"/>
    <col min="3" max="3" width="5.5703125" style="4867" hidden="1" customWidth="1"/>
    <col min="4" max="4" width="3.7109375" style="5118" customWidth="1"/>
    <col min="5" max="5" width="7.7109375" style="4868" customWidth="1"/>
    <col min="6" max="6" width="54.5703125" style="4868" customWidth="1"/>
    <col min="7" max="7" width="10.42578125" style="4868" customWidth="1"/>
    <col min="8" max="8" width="40.7109375" style="4868" hidden="1" customWidth="1"/>
    <col min="9" max="9" width="40.7109375" style="4868" customWidth="1"/>
    <col min="10" max="10" width="102.85546875" style="4868" customWidth="1"/>
    <col min="11" max="11" width="9.7109375" style="4854" customWidth="1"/>
    <col min="12" max="12" width="5.28515625" style="4867" customWidth="1"/>
    <col min="13" max="13" width="3.7109375" style="4867" customWidth="1"/>
    <col min="14" max="17" width="3.7109375" style="4854" customWidth="1"/>
    <col min="18" max="18" width="10.5703125" style="4867" customWidth="1"/>
    <col min="19" max="19" width="34.7109375" style="4854" customWidth="1"/>
    <col min="20" max="20" width="9.42578125" style="4854" customWidth="1"/>
    <col min="21" max="21" width="9.140625" style="5119"/>
    <col min="22" max="26" width="9.140625" style="4854"/>
    <col min="27" max="31" width="9.140625" style="5113"/>
  </cols>
  <sheetData>
    <row r="1" spans="1:31" ht="11.25" hidden="1" customHeight="1"/>
    <row r="2" spans="1:31" ht="23.25" hidden="1" customHeight="1">
      <c r="B2" s="5218"/>
      <c r="C2" s="1049" t="s">
        <v>634</v>
      </c>
      <c r="D2" s="1502"/>
      <c r="E2" s="453">
        <f>B2</f>
        <v>0</v>
      </c>
      <c r="F2" s="454"/>
      <c r="G2" s="1510" t="s">
        <v>635</v>
      </c>
      <c r="H2" s="1510" t="s">
        <v>635</v>
      </c>
      <c r="I2" s="1510" t="s">
        <v>635</v>
      </c>
      <c r="J2" s="207" t="s">
        <v>636</v>
      </c>
      <c r="K2" s="450"/>
    </row>
    <row r="3" spans="1:31" s="4867" customFormat="1" ht="0.75" hidden="1" customHeight="1">
      <c r="B3" s="5218"/>
      <c r="C3" s="1049"/>
      <c r="D3" s="455"/>
      <c r="E3" s="456"/>
      <c r="F3" s="457" t="s">
        <v>637</v>
      </c>
      <c r="G3" s="458"/>
      <c r="H3" s="458">
        <f>H4*H5+H7</f>
        <v>0</v>
      </c>
      <c r="I3" s="458">
        <f>I4*I5+I6</f>
        <v>0</v>
      </c>
      <c r="J3" s="459"/>
    </row>
    <row r="4" spans="1:31" ht="23.25" hidden="1" customHeight="1">
      <c r="B4" s="5218"/>
      <c r="C4" s="1049"/>
      <c r="D4" s="1502"/>
      <c r="E4" s="453" t="str">
        <f>B2&amp;".1"</f>
        <v>.1</v>
      </c>
      <c r="F4" s="460" t="s">
        <v>638</v>
      </c>
      <c r="G4" s="461"/>
      <c r="H4" s="448"/>
      <c r="I4" s="448"/>
      <c r="J4" s="207" t="s">
        <v>639</v>
      </c>
      <c r="K4" s="450"/>
    </row>
    <row r="5" spans="1:31" ht="18.75" hidden="1" customHeight="1">
      <c r="B5" s="5218"/>
      <c r="C5" s="1049"/>
      <c r="D5" s="1502"/>
      <c r="E5" s="453" t="str">
        <f>B2&amp;".2"</f>
        <v>.2</v>
      </c>
      <c r="F5" s="460" t="s">
        <v>640</v>
      </c>
      <c r="G5" s="1510" t="s">
        <v>641</v>
      </c>
      <c r="H5" s="448"/>
      <c r="I5" s="448"/>
      <c r="J5" s="207"/>
      <c r="K5" s="450"/>
    </row>
    <row r="6" spans="1:31" ht="18.75" hidden="1" customHeight="1">
      <c r="B6" s="5218"/>
      <c r="C6" s="1049"/>
      <c r="D6" s="1502"/>
      <c r="E6" s="453" t="str">
        <f>B2&amp;".3"</f>
        <v>.3</v>
      </c>
      <c r="F6" s="460" t="s">
        <v>642</v>
      </c>
      <c r="G6" s="1510" t="s">
        <v>641</v>
      </c>
      <c r="H6" s="448"/>
      <c r="I6" s="448"/>
      <c r="J6" s="207"/>
      <c r="K6" s="450"/>
    </row>
    <row r="7" spans="1:31" ht="18.75" hidden="1" customHeight="1">
      <c r="B7" s="5218"/>
      <c r="C7" s="1049"/>
      <c r="D7" s="1502"/>
      <c r="E7" s="453" t="str">
        <f>B2&amp;".4"</f>
        <v>.4</v>
      </c>
      <c r="F7" s="460" t="s">
        <v>643</v>
      </c>
      <c r="G7" s="1510" t="s">
        <v>635</v>
      </c>
      <c r="H7" s="462"/>
      <c r="I7" s="462"/>
      <c r="J7" s="207"/>
      <c r="K7" s="450"/>
    </row>
    <row r="8" spans="1:31" s="4854" customFormat="1" ht="11.25" hidden="1" customHeight="1">
      <c r="A8" s="877"/>
      <c r="C8" s="1500"/>
      <c r="D8" s="444"/>
      <c r="H8" s="1042">
        <v>4</v>
      </c>
      <c r="I8" s="1042">
        <v>4</v>
      </c>
      <c r="L8" s="1500"/>
      <c r="M8" s="1500"/>
      <c r="R8" s="1500"/>
    </row>
    <row r="9" spans="1:31" s="4854" customFormat="1" ht="22.5" hidden="1" customHeight="1">
      <c r="A9" s="877"/>
      <c r="C9" s="1500"/>
      <c r="D9" s="445"/>
      <c r="E9" s="1512"/>
      <c r="F9" s="447"/>
      <c r="G9" s="1510" t="s">
        <v>641</v>
      </c>
      <c r="H9" s="448"/>
      <c r="I9" s="448"/>
      <c r="J9" s="449" t="s">
        <v>644</v>
      </c>
      <c r="K9" s="450"/>
      <c r="L9" s="1500"/>
      <c r="M9" s="1500"/>
      <c r="R9" s="1500"/>
      <c r="U9" s="451"/>
      <c r="AA9" s="1496"/>
      <c r="AB9" s="1496"/>
      <c r="AC9" s="1496"/>
      <c r="AD9" s="1496"/>
      <c r="AE9" s="1496"/>
    </row>
    <row r="10" spans="1:31" ht="11.25" hidden="1" customHeight="1"/>
    <row r="11" spans="1:31" ht="18.75" hidden="1" customHeight="1">
      <c r="D11" s="1502"/>
      <c r="E11" s="453"/>
      <c r="F11" s="447"/>
      <c r="G11" s="1510" t="s">
        <v>645</v>
      </c>
      <c r="H11" s="448"/>
      <c r="I11" s="448"/>
      <c r="J11" s="207" t="s">
        <v>646</v>
      </c>
      <c r="K11" s="450"/>
    </row>
    <row r="12" spans="1:31" ht="11.25" hidden="1" customHeight="1"/>
    <row r="13" spans="1:31" ht="22.5" hidden="1" customHeight="1">
      <c r="D13" s="1502"/>
      <c r="E13" s="453"/>
      <c r="F13" s="447"/>
      <c r="G13" s="860" t="s">
        <v>647</v>
      </c>
      <c r="H13" s="452"/>
      <c r="I13" s="452"/>
      <c r="J13" s="645" t="s">
        <v>648</v>
      </c>
      <c r="K13" s="450"/>
    </row>
    <row r="14" spans="1:31" ht="11.25" hidden="1" customHeight="1"/>
    <row r="15" spans="1:31" ht="22.5" hidden="1" customHeight="1">
      <c r="D15" s="1502"/>
      <c r="E15" s="453"/>
      <c r="F15" s="447"/>
      <c r="G15" s="1510" t="s">
        <v>649</v>
      </c>
      <c r="H15" s="452"/>
      <c r="I15" s="452"/>
      <c r="J15" s="207" t="s">
        <v>650</v>
      </c>
      <c r="K15" s="450"/>
    </row>
    <row r="16" spans="1:31" ht="11.25" hidden="1" customHeight="1"/>
    <row r="17" spans="1:26" ht="22.5" hidden="1" customHeight="1">
      <c r="D17" s="1502"/>
      <c r="E17" s="453"/>
      <c r="F17" s="447"/>
      <c r="G17" s="1510" t="s">
        <v>651</v>
      </c>
      <c r="H17" s="452"/>
      <c r="I17" s="452"/>
      <c r="J17" s="207" t="s">
        <v>652</v>
      </c>
      <c r="K17" s="450"/>
    </row>
    <row r="18" spans="1:26" ht="11.25" hidden="1" customHeight="1"/>
    <row r="19" spans="1:26" s="5113" customFormat="1" ht="11.25" hidden="1" customHeight="1">
      <c r="A19" s="877"/>
      <c r="B19" s="1042"/>
      <c r="C19" s="1500"/>
      <c r="D19" s="279"/>
      <c r="J19" s="1496">
        <v>4</v>
      </c>
      <c r="K19" s="1042"/>
      <c r="L19" s="1500"/>
      <c r="M19" s="1500"/>
      <c r="N19" s="1042"/>
      <c r="O19" s="1042"/>
      <c r="P19" s="1042"/>
      <c r="Q19" s="1042"/>
      <c r="R19" s="1500"/>
      <c r="S19" s="1042"/>
      <c r="T19" s="1042"/>
      <c r="U19" s="451"/>
      <c r="V19" s="1042"/>
      <c r="W19" s="1042"/>
      <c r="X19" s="1042"/>
      <c r="Y19" s="1042"/>
      <c r="Z19" s="1042"/>
    </row>
    <row r="21" spans="1:26" ht="24" customHeight="1">
      <c r="E21" s="5360"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5360"/>
      <c r="G21" s="5360"/>
      <c r="H21" s="5360"/>
      <c r="I21" s="5360"/>
      <c r="J21" s="463"/>
    </row>
    <row r="22" spans="1:26" ht="24" customHeight="1">
      <c r="E22" s="5308" t="str">
        <f>IF(org=0,"Не определено",org)</f>
        <v>ООО «Газпром теплоэнерго МО»</v>
      </c>
      <c r="F22" s="5308"/>
      <c r="G22" s="5308"/>
      <c r="H22" s="5308"/>
      <c r="I22" s="5308"/>
    </row>
    <row r="23" spans="1:26" ht="11.25" customHeight="1">
      <c r="E23" s="1019"/>
      <c r="F23" s="1019"/>
      <c r="G23" s="1019"/>
      <c r="H23" s="1019"/>
      <c r="I23" s="1019"/>
    </row>
    <row r="24" spans="1:26" s="4867" customFormat="1" ht="0.75" customHeight="1">
      <c r="A24" s="1049"/>
      <c r="D24" s="1506"/>
      <c r="H24" s="784"/>
      <c r="I24" s="784" t="s">
        <v>135</v>
      </c>
    </row>
    <row r="25" spans="1:26" ht="11.25" customHeight="1">
      <c r="E25" s="612"/>
      <c r="F25" s="5456" t="s">
        <v>125</v>
      </c>
      <c r="G25" s="5457"/>
      <c r="H25" s="1516" t="str">
        <f>IF(H24="","",INDEX(DIFFERENTIATION_UNMERGE_VD,MATCH(H24,DIFFERENTIATION_ID_DIFF,0)))</f>
        <v/>
      </c>
      <c r="I25" s="1516">
        <f>IF(I24="","",INDEX(DIFFERENTIATION_UNMERGE_VD,MATCH(I24,DIFFERENTIATION_ID_DIFF,0)))</f>
        <v>0</v>
      </c>
      <c r="J25" s="5244"/>
    </row>
    <row r="26" spans="1:26" ht="11.25" customHeight="1">
      <c r="E26" s="612"/>
      <c r="F26" s="5456" t="s">
        <v>653</v>
      </c>
      <c r="G26" s="5457"/>
      <c r="H26" s="1516" t="str">
        <f>IF(H24="","",INDEX(DIFFERENTIATION_UNMERGE_AREA,MATCH(H24,DIFFERENTIATION_ID_DIFF,0)))</f>
        <v/>
      </c>
      <c r="I26" s="1516" t="str">
        <f>IF(I24="","",INDEX(DIFFERENTIATION_UNMERGE_AREA,MATCH(I24,DIFFERENTIATION_ID_DIFF,0)))</f>
        <v/>
      </c>
      <c r="J26" s="5244"/>
    </row>
    <row r="27" spans="1:26" ht="11.25" customHeight="1">
      <c r="E27" s="612"/>
      <c r="F27" s="5456" t="s">
        <v>654</v>
      </c>
      <c r="G27" s="5457"/>
      <c r="H27" s="1516" t="str">
        <f>IF(H24="","",INDEX(DIFFERENTIATION_UNMERGE_SYSTEM,MATCH(H24,DIFFERENTIATION_ID_DIFF,0)))</f>
        <v/>
      </c>
      <c r="I27" s="1516" t="str">
        <f>IF(I24="","",INDEX(DIFFERENTIATION_UNMERGE_SYSTEM,MATCH(I24,DIFFERENTIATION_ID_DIFF,0)))</f>
        <v>без дифференциации</v>
      </c>
      <c r="J27" s="5244"/>
    </row>
    <row r="28" spans="1:26" ht="11.25" customHeight="1">
      <c r="E28" s="5458" t="s">
        <v>378</v>
      </c>
      <c r="F28" s="5459"/>
      <c r="G28" s="5459"/>
      <c r="H28" s="1509"/>
      <c r="I28" s="1509"/>
      <c r="J28" s="5244"/>
    </row>
    <row r="29" spans="1:26" ht="22.5" customHeight="1">
      <c r="E29" s="1510" t="s">
        <v>85</v>
      </c>
      <c r="F29" s="1517" t="s">
        <v>380</v>
      </c>
      <c r="G29" s="1517" t="s">
        <v>655</v>
      </c>
      <c r="H29" s="1517" t="s">
        <v>381</v>
      </c>
      <c r="I29" s="1517" t="s">
        <v>381</v>
      </c>
      <c r="J29" s="5244"/>
    </row>
    <row r="30" spans="1:26" ht="18.75" customHeight="1">
      <c r="D30" s="1502"/>
      <c r="E30" s="453">
        <f>FHD_NUM_P_1</f>
        <v>1</v>
      </c>
      <c r="F30" s="1741" t="str">
        <f>FHD_P_1</f>
        <v>Выручка от регулируемых видов деятельности в сфере горячего водоснабжения</v>
      </c>
      <c r="G30" s="1739" t="s">
        <v>641</v>
      </c>
      <c r="H30" s="464"/>
      <c r="I30" s="464"/>
      <c r="J30" s="207" t="str">
        <f>FHD_NOTE_P_1</f>
        <v>Указывается выручка с распределением по видам деятельности.</v>
      </c>
      <c r="K30" s="450"/>
    </row>
    <row r="31" spans="1:26" ht="11.25" customHeight="1">
      <c r="D31" s="1502"/>
      <c r="E31" s="453">
        <f>FHD_NUM_P_2</f>
        <v>2</v>
      </c>
      <c r="F31" s="1741" t="str">
        <f>FHD_P_2</f>
        <v>Себестоимость производимых товаров (оказываемых услуг) по регулируемым видам деятельности в сфере горячего водоснабжения, включая:</v>
      </c>
      <c r="G31" s="1739" t="s">
        <v>641</v>
      </c>
      <c r="H31" s="465">
        <f>SUMIF($K33:$K71,$K31,H33:H71)</f>
        <v>0</v>
      </c>
      <c r="I31" s="465">
        <f>SUMIF($K33:$K71,$K31,I33:I71)</f>
        <v>0</v>
      </c>
      <c r="J31" s="207" t="str">
        <f>FHD_NOTE_P_2</f>
        <v>Указывается суммарная себестоимость производимых товаров.</v>
      </c>
      <c r="K31" s="1500" t="s">
        <v>656</v>
      </c>
    </row>
    <row r="32" spans="1:26" ht="11.25" customHeight="1">
      <c r="D32" s="1502"/>
      <c r="E32" s="453" t="str">
        <f>FHD_NUM_P_3</f>
        <v>2.1</v>
      </c>
      <c r="F32" s="1396" t="str">
        <f>FHD_P_3</f>
        <v>Расходы на приобретаемую тепловую энергию (мощность), используемую для горячего водоснабжения</v>
      </c>
      <c r="G32" s="1739" t="s">
        <v>641</v>
      </c>
      <c r="H32" s="464"/>
      <c r="I32" s="464"/>
      <c r="J32" s="207" t="str">
        <f>FHD_NOTE_P_3</f>
        <v/>
      </c>
      <c r="K32" s="1500" t="str">
        <f t="shared" ref="K32:K70" si="0">IF((LEN(E32)-LEN(SUBSTITUTE(E32,".","")))/LEN(".")=1,"p","")</f>
        <v>p</v>
      </c>
    </row>
    <row r="33" spans="1:31" ht="11.25" hidden="1" customHeight="1">
      <c r="A33" s="5460" t="s">
        <v>657</v>
      </c>
      <c r="D33" s="1502"/>
      <c r="E33" s="453" t="str">
        <f>FHD_NUM_P_4</f>
        <v/>
      </c>
      <c r="F33" s="1396" t="str">
        <f>FHD_P_4</f>
        <v/>
      </c>
      <c r="G33" s="1739" t="s">
        <v>641</v>
      </c>
      <c r="H33" s="465">
        <f>SUMIF($F34:$F40,$F3,H34:H40)</f>
        <v>0</v>
      </c>
      <c r="I33" s="465">
        <f>SUMIF($F34:$F40,$F3,I34:I40)</f>
        <v>0</v>
      </c>
      <c r="J33" s="207" t="str">
        <f>FHD_NOTE_P_4</f>
        <v/>
      </c>
      <c r="K33" s="1500" t="str">
        <f t="shared" si="0"/>
        <v/>
      </c>
    </row>
    <row r="34" spans="1:31" s="4866" customFormat="1" ht="0.75" hidden="1" customHeight="1">
      <c r="A34" s="5460"/>
      <c r="B34" s="5461" t="str">
        <f>E33&amp;".0"</f>
        <v>.0</v>
      </c>
      <c r="C34" s="1049"/>
      <c r="D34" s="467"/>
      <c r="E34" s="468"/>
      <c r="F34" s="469"/>
      <c r="G34" s="470"/>
      <c r="H34" s="405"/>
      <c r="I34" s="405"/>
      <c r="J34" s="471"/>
      <c r="K34" s="1500" t="str">
        <f t="shared" si="0"/>
        <v/>
      </c>
      <c r="L34" s="1500"/>
      <c r="M34" s="1500"/>
      <c r="N34" s="1500"/>
      <c r="O34" s="1500"/>
      <c r="P34" s="1500"/>
      <c r="Q34" s="1500"/>
      <c r="R34" s="1500"/>
      <c r="S34" s="1500"/>
      <c r="T34" s="1500"/>
      <c r="U34" s="472"/>
      <c r="V34" s="1500"/>
      <c r="W34" s="1500"/>
      <c r="X34" s="1500"/>
      <c r="Y34" s="1500"/>
      <c r="Z34" s="1500"/>
      <c r="AA34" s="473"/>
      <c r="AB34" s="473"/>
      <c r="AC34" s="473"/>
      <c r="AD34" s="473"/>
      <c r="AE34" s="473"/>
    </row>
    <row r="35" spans="1:31" s="4866" customFormat="1" ht="0.75" hidden="1" customHeight="1">
      <c r="A35" s="5460"/>
      <c r="B35" s="5461"/>
      <c r="C35" s="1049"/>
      <c r="D35" s="467"/>
      <c r="E35" s="474"/>
      <c r="F35" s="475"/>
      <c r="G35" s="470"/>
      <c r="H35" s="476"/>
      <c r="I35" s="476"/>
      <c r="J35" s="471"/>
      <c r="K35" s="1500" t="str">
        <f t="shared" si="0"/>
        <v/>
      </c>
      <c r="L35" s="1500"/>
      <c r="M35" s="1500"/>
      <c r="N35" s="1500"/>
      <c r="O35" s="1500"/>
      <c r="P35" s="1500"/>
      <c r="Q35" s="1500"/>
      <c r="R35" s="1500"/>
      <c r="S35" s="1500"/>
      <c r="T35" s="1500"/>
      <c r="U35" s="472"/>
      <c r="V35" s="1500"/>
      <c r="W35" s="1500"/>
      <c r="X35" s="1500"/>
      <c r="Y35" s="1500"/>
      <c r="Z35" s="1500"/>
      <c r="AA35" s="473"/>
      <c r="AB35" s="473"/>
      <c r="AC35" s="473"/>
      <c r="AD35" s="473"/>
      <c r="AE35" s="473"/>
    </row>
    <row r="36" spans="1:31" s="4866" customFormat="1" ht="0.75" hidden="1" customHeight="1">
      <c r="A36" s="5460"/>
      <c r="B36" s="5461"/>
      <c r="C36" s="1049"/>
      <c r="D36" s="467"/>
      <c r="E36" s="474"/>
      <c r="F36" s="475"/>
      <c r="G36" s="470"/>
      <c r="H36" s="476"/>
      <c r="I36" s="476"/>
      <c r="J36" s="471"/>
      <c r="K36" s="1500" t="str">
        <f t="shared" si="0"/>
        <v/>
      </c>
      <c r="L36" s="1500"/>
      <c r="M36" s="1500"/>
      <c r="N36" s="1500"/>
      <c r="O36" s="1500"/>
      <c r="P36" s="1500"/>
      <c r="Q36" s="1500"/>
      <c r="R36" s="1500"/>
      <c r="S36" s="1500"/>
      <c r="T36" s="1500"/>
      <c r="U36" s="472"/>
      <c r="V36" s="1500"/>
      <c r="W36" s="1500"/>
      <c r="X36" s="1500"/>
      <c r="Y36" s="1500"/>
      <c r="Z36" s="1500"/>
      <c r="AA36" s="473"/>
      <c r="AB36" s="473"/>
      <c r="AC36" s="473"/>
      <c r="AD36" s="473"/>
      <c r="AE36" s="473"/>
    </row>
    <row r="37" spans="1:31" s="4866" customFormat="1" ht="0.75" hidden="1" customHeight="1">
      <c r="A37" s="5460"/>
      <c r="B37" s="5461"/>
      <c r="C37" s="1049"/>
      <c r="D37" s="467"/>
      <c r="E37" s="474"/>
      <c r="F37" s="475"/>
      <c r="G37" s="470"/>
      <c r="H37" s="476"/>
      <c r="I37" s="476"/>
      <c r="J37" s="471"/>
      <c r="K37" s="1500" t="str">
        <f t="shared" si="0"/>
        <v/>
      </c>
      <c r="L37" s="1500"/>
      <c r="M37" s="1500"/>
      <c r="N37" s="1500"/>
      <c r="O37" s="1500"/>
      <c r="P37" s="1500"/>
      <c r="Q37" s="1500"/>
      <c r="R37" s="1500"/>
      <c r="S37" s="1500"/>
      <c r="T37" s="1500"/>
      <c r="U37" s="472"/>
      <c r="V37" s="1500"/>
      <c r="W37" s="1500"/>
      <c r="X37" s="1500"/>
      <c r="Y37" s="1500"/>
      <c r="Z37" s="1500"/>
      <c r="AA37" s="473"/>
      <c r="AB37" s="473"/>
      <c r="AC37" s="473"/>
      <c r="AD37" s="473"/>
      <c r="AE37" s="473"/>
    </row>
    <row r="38" spans="1:31" s="4866" customFormat="1" ht="0.75" hidden="1" customHeight="1">
      <c r="A38" s="5460"/>
      <c r="B38" s="5461"/>
      <c r="C38" s="1049"/>
      <c r="D38" s="467"/>
      <c r="E38" s="474"/>
      <c r="F38" s="475"/>
      <c r="G38" s="470"/>
      <c r="H38" s="476"/>
      <c r="I38" s="476"/>
      <c r="J38" s="471"/>
      <c r="K38" s="1500" t="str">
        <f t="shared" si="0"/>
        <v/>
      </c>
      <c r="L38" s="1500"/>
      <c r="M38" s="1500"/>
      <c r="N38" s="1500"/>
      <c r="O38" s="1500"/>
      <c r="P38" s="1500"/>
      <c r="Q38" s="1500"/>
      <c r="R38" s="1500"/>
      <c r="S38" s="1500"/>
      <c r="T38" s="1500"/>
      <c r="U38" s="472"/>
      <c r="V38" s="1500"/>
      <c r="W38" s="1500"/>
      <c r="X38" s="1500"/>
      <c r="Y38" s="1500"/>
      <c r="Z38" s="1500"/>
      <c r="AA38" s="473"/>
      <c r="AB38" s="473"/>
      <c r="AC38" s="473"/>
      <c r="AD38" s="473"/>
      <c r="AE38" s="473"/>
    </row>
    <row r="39" spans="1:31" s="4866" customFormat="1" ht="0.75" hidden="1" customHeight="1">
      <c r="A39" s="5460"/>
      <c r="B39" s="5461"/>
      <c r="C39" s="1049"/>
      <c r="D39" s="467"/>
      <c r="E39" s="474"/>
      <c r="F39" s="475"/>
      <c r="G39" s="470"/>
      <c r="H39" s="405"/>
      <c r="I39" s="405"/>
      <c r="J39" s="471"/>
      <c r="K39" s="1500" t="str">
        <f t="shared" si="0"/>
        <v/>
      </c>
      <c r="L39" s="1500"/>
      <c r="M39" s="1500"/>
      <c r="N39" s="1500"/>
      <c r="O39" s="1500"/>
      <c r="P39" s="1500"/>
      <c r="Q39" s="1500"/>
      <c r="R39" s="1500"/>
      <c r="S39" s="1500"/>
      <c r="T39" s="1500"/>
      <c r="U39" s="472"/>
      <c r="V39" s="1500"/>
      <c r="W39" s="1500"/>
      <c r="X39" s="1500"/>
      <c r="Y39" s="1500"/>
      <c r="Z39" s="1500"/>
      <c r="AA39" s="473"/>
      <c r="AB39" s="473"/>
      <c r="AC39" s="473"/>
      <c r="AD39" s="473"/>
      <c r="AE39" s="473"/>
    </row>
    <row r="40" spans="1:31" s="4854" customFormat="1" ht="15" hidden="1" customHeight="1">
      <c r="A40" s="5460"/>
      <c r="C40" s="1500"/>
      <c r="D40" s="1497"/>
      <c r="E40" s="477"/>
      <c r="F40" s="478" t="s">
        <v>658</v>
      </c>
      <c r="G40" s="479"/>
      <c r="H40" s="480"/>
      <c r="I40" s="480"/>
      <c r="J40" s="219"/>
      <c r="K40" s="1500" t="str">
        <f t="shared" si="0"/>
        <v/>
      </c>
      <c r="L40" s="1500"/>
      <c r="M40" s="1500"/>
      <c r="R40" s="1500"/>
      <c r="U40" s="451"/>
      <c r="AA40" s="1496"/>
      <c r="AB40" s="1496"/>
      <c r="AC40" s="1496"/>
      <c r="AD40" s="1496"/>
      <c r="AE40" s="1496"/>
    </row>
    <row r="41" spans="1:31" ht="11.25" customHeight="1">
      <c r="A41" s="5460" t="s">
        <v>659</v>
      </c>
      <c r="D41" s="1502"/>
      <c r="E41" s="453" t="str">
        <f>FHD_NUM_P_5</f>
        <v>2.2</v>
      </c>
      <c r="F41" s="1396" t="str">
        <f>FHD_P_5</f>
        <v>Расходы на тепловую энергию, производимую с применением собственных источников и используемую для горячего водоснабжения</v>
      </c>
      <c r="G41" s="1739" t="s">
        <v>641</v>
      </c>
      <c r="H41" s="464"/>
      <c r="I41" s="464"/>
      <c r="J41" s="207" t="str">
        <f>FHD_NOTE_P_5</f>
        <v/>
      </c>
      <c r="K41" s="1500" t="str">
        <f t="shared" si="0"/>
        <v>p</v>
      </c>
    </row>
    <row r="42" spans="1:31" ht="11.25" customHeight="1">
      <c r="A42" s="5460"/>
      <c r="D42" s="1502"/>
      <c r="E42" s="453" t="str">
        <f>FHD_NUM_P_6</f>
        <v>2.3</v>
      </c>
      <c r="F42" s="1396" t="str">
        <f>FHD_P_6</f>
        <v>Расходы на приобретаемую холодную воду, используемую для горячего водоснабжения</v>
      </c>
      <c r="G42" s="1739" t="s">
        <v>641</v>
      </c>
      <c r="H42" s="464"/>
      <c r="I42" s="464"/>
      <c r="J42" s="207" t="str">
        <f>FHD_NOTE_P_6</f>
        <v/>
      </c>
      <c r="K42" s="1500" t="str">
        <f t="shared" si="0"/>
        <v>p</v>
      </c>
    </row>
    <row r="43" spans="1:31" ht="11.25" customHeight="1">
      <c r="A43" s="5460"/>
      <c r="D43" s="1502"/>
      <c r="E43" s="453" t="str">
        <f>FHD_NUM_P_7</f>
        <v>2.4</v>
      </c>
      <c r="F43" s="1396"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39" t="s">
        <v>641</v>
      </c>
      <c r="H43" s="464"/>
      <c r="I43" s="464"/>
      <c r="J43" s="207" t="str">
        <f>FHD_NOTE_P_7</f>
        <v/>
      </c>
      <c r="K43" s="1500" t="str">
        <f t="shared" si="0"/>
        <v>p</v>
      </c>
    </row>
    <row r="44" spans="1:31" ht="11.25" customHeight="1">
      <c r="D44" s="1502"/>
      <c r="E44" s="453" t="str">
        <f>FHD_NUM_P_8</f>
        <v>2.5</v>
      </c>
      <c r="F44" s="1396" t="str">
        <f>FHD_P_8</f>
        <v>Расходы на приобретаемую электрическую энергию (мощность), используемую в технологическом процессе</v>
      </c>
      <c r="G44" s="1739" t="s">
        <v>641</v>
      </c>
      <c r="H44" s="464"/>
      <c r="I44" s="464"/>
      <c r="J44" s="207" t="str">
        <f>FHD_NOTE_P_8</f>
        <v/>
      </c>
      <c r="K44" s="1500" t="str">
        <f t="shared" si="0"/>
        <v>p</v>
      </c>
    </row>
    <row r="45" spans="1:31" ht="11.25" customHeight="1">
      <c r="D45" s="1502"/>
      <c r="E45" s="453" t="str">
        <f>FHD_NUM_P_9</f>
        <v>2.5.1</v>
      </c>
      <c r="F45" s="1514" t="str">
        <f>FHD_P_9</f>
        <v>Средневзвешенная стоимость 1 кВт.ч (с учетом мощности)</v>
      </c>
      <c r="G45" s="1739" t="s">
        <v>660</v>
      </c>
      <c r="H45" s="464"/>
      <c r="I45" s="464"/>
      <c r="J45" s="207" t="str">
        <f>FHD_NOTE_P_9</f>
        <v/>
      </c>
      <c r="K45" s="1500" t="str">
        <f t="shared" si="0"/>
        <v/>
      </c>
    </row>
    <row r="46" spans="1:31" s="4854" customFormat="1" ht="11.25" customHeight="1">
      <c r="A46" s="877"/>
      <c r="C46" s="1500"/>
      <c r="D46" s="481"/>
      <c r="E46" s="453" t="str">
        <f>FHD_NUM_P_10</f>
        <v>2.5.2</v>
      </c>
      <c r="F46" s="1514" t="str">
        <f>FHD_P_10</f>
        <v>Объём приобретения электрической энергии</v>
      </c>
      <c r="G46" s="1739" t="s">
        <v>661</v>
      </c>
      <c r="H46" s="464"/>
      <c r="I46" s="464"/>
      <c r="J46" s="207" t="str">
        <f>FHD_NOTE_P_10</f>
        <v/>
      </c>
      <c r="K46" s="1500" t="str">
        <f t="shared" si="0"/>
        <v/>
      </c>
      <c r="L46" s="1500"/>
      <c r="M46" s="1500"/>
      <c r="R46" s="1500"/>
      <c r="U46" s="451"/>
      <c r="AA46" s="1496"/>
      <c r="AB46" s="1496"/>
      <c r="AC46" s="1496"/>
      <c r="AD46" s="1496"/>
      <c r="AE46" s="1496"/>
    </row>
    <row r="47" spans="1:31" s="4854" customFormat="1" ht="11.25" hidden="1" customHeight="1">
      <c r="A47" s="879" t="s">
        <v>662</v>
      </c>
      <c r="C47" s="1500"/>
      <c r="D47" s="482"/>
      <c r="E47" s="453" t="str">
        <f>FHD_NUM_P_11</f>
        <v/>
      </c>
      <c r="F47" s="1396" t="str">
        <f>FHD_P_11</f>
        <v/>
      </c>
      <c r="G47" s="1739" t="s">
        <v>641</v>
      </c>
      <c r="H47" s="464"/>
      <c r="I47" s="464"/>
      <c r="J47" s="207" t="str">
        <f>FHD_NOTE_P_11</f>
        <v/>
      </c>
      <c r="K47" s="1500" t="str">
        <f t="shared" si="0"/>
        <v/>
      </c>
      <c r="L47" s="1500"/>
      <c r="M47" s="1500"/>
      <c r="R47" s="1500"/>
      <c r="U47" s="451"/>
      <c r="AA47" s="1496"/>
      <c r="AB47" s="1496"/>
      <c r="AC47" s="1496"/>
      <c r="AD47" s="1496"/>
      <c r="AE47" s="1496"/>
    </row>
    <row r="48" spans="1:31" s="4854" customFormat="1" ht="18" hidden="1" customHeight="1">
      <c r="A48" s="879" t="s">
        <v>663</v>
      </c>
      <c r="C48" s="1500"/>
      <c r="D48" s="1502"/>
      <c r="E48" s="453" t="str">
        <f>FHD_NUM_P_12</f>
        <v/>
      </c>
      <c r="F48" s="1396" t="str">
        <f>FHD_P_12</f>
        <v/>
      </c>
      <c r="G48" s="1739" t="s">
        <v>641</v>
      </c>
      <c r="H48" s="484"/>
      <c r="I48" s="484"/>
      <c r="J48" s="207" t="str">
        <f>FHD_NOTE_P_12</f>
        <v/>
      </c>
      <c r="K48" s="1500" t="str">
        <f t="shared" si="0"/>
        <v/>
      </c>
      <c r="L48" s="1500"/>
      <c r="M48" s="1500"/>
      <c r="R48" s="1500"/>
      <c r="U48" s="451"/>
      <c r="AA48" s="1496"/>
      <c r="AB48" s="1496"/>
      <c r="AC48" s="1496"/>
      <c r="AD48" s="1496"/>
      <c r="AE48" s="1496"/>
    </row>
    <row r="49" spans="1:31" s="5114" customFormat="1" ht="11.25" customHeight="1">
      <c r="A49" s="878"/>
      <c r="C49" s="631"/>
      <c r="D49" s="576"/>
      <c r="E49" s="453" t="str">
        <f>FHD_NUM_P_13</f>
        <v>2.6</v>
      </c>
      <c r="F49" s="139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39" t="s">
        <v>641</v>
      </c>
      <c r="H49" s="464"/>
      <c r="I49" s="464"/>
      <c r="J49" s="207" t="str">
        <f>FHD_NOTE_P_13</f>
        <v>Указывается общая сумма расходов на оплату труда и отчислений на социальные нужды основного производственного персонала.</v>
      </c>
      <c r="K49" s="1500" t="str">
        <f t="shared" si="0"/>
        <v>p</v>
      </c>
      <c r="L49" s="631"/>
      <c r="M49" s="631"/>
      <c r="R49" s="631"/>
      <c r="U49" s="632"/>
      <c r="AA49" s="633"/>
      <c r="AB49" s="633"/>
      <c r="AC49" s="633"/>
      <c r="AD49" s="633"/>
      <c r="AE49" s="633"/>
    </row>
    <row r="50" spans="1:31" s="5114" customFormat="1" ht="11.25" customHeight="1">
      <c r="A50" s="878"/>
      <c r="C50" s="631"/>
      <c r="D50" s="576"/>
      <c r="E50" s="453" t="str">
        <f>FHD_NUM_P_14</f>
        <v>2.6.1</v>
      </c>
      <c r="F50" s="1514" t="str">
        <f>FHD_P_14</f>
        <v>Расходы на оплату труда основного производственного персонала</v>
      </c>
      <c r="G50" s="1739" t="s">
        <v>641</v>
      </c>
      <c r="H50" s="464"/>
      <c r="I50" s="464"/>
      <c r="J50" s="207" t="str">
        <f>FHD_NOTE_P_14</f>
        <v/>
      </c>
      <c r="K50" s="1500" t="str">
        <f t="shared" si="0"/>
        <v/>
      </c>
      <c r="L50" s="631"/>
      <c r="M50" s="631"/>
      <c r="R50" s="631"/>
      <c r="U50" s="632"/>
      <c r="AA50" s="633"/>
      <c r="AB50" s="633"/>
      <c r="AC50" s="633"/>
      <c r="AD50" s="633"/>
      <c r="AE50" s="633"/>
    </row>
    <row r="51" spans="1:31" s="5114" customFormat="1" ht="11.25" customHeight="1">
      <c r="A51" s="878"/>
      <c r="C51" s="631"/>
      <c r="D51" s="576"/>
      <c r="E51" s="453" t="str">
        <f>FHD_NUM_P_15</f>
        <v>2.6.2</v>
      </c>
      <c r="F51" s="1514" t="str">
        <f>FHD_P_15</f>
        <v>Страховые взносы на обязательное социальное страхование, выплачиваемые из фонда оплаты труда основного производственного персонала</v>
      </c>
      <c r="G51" s="1739" t="s">
        <v>641</v>
      </c>
      <c r="H51" s="464"/>
      <c r="I51" s="464"/>
      <c r="J51" s="207" t="str">
        <f>FHD_NOTE_P_15</f>
        <v/>
      </c>
      <c r="K51" s="1500" t="str">
        <f t="shared" si="0"/>
        <v/>
      </c>
      <c r="L51" s="631"/>
      <c r="M51" s="631"/>
      <c r="R51" s="631"/>
      <c r="U51" s="632"/>
      <c r="AA51" s="633"/>
      <c r="AB51" s="633"/>
      <c r="AC51" s="633"/>
      <c r="AD51" s="633"/>
      <c r="AE51" s="633"/>
    </row>
    <row r="52" spans="1:31" s="4854" customFormat="1" ht="11.25" customHeight="1">
      <c r="A52" s="877"/>
      <c r="C52" s="1500"/>
      <c r="D52" s="1502"/>
      <c r="E52" s="453" t="str">
        <f>FHD_NUM_P_16</f>
        <v>2.7</v>
      </c>
      <c r="F52" s="139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39" t="s">
        <v>641</v>
      </c>
      <c r="H52" s="464"/>
      <c r="I52" s="464"/>
      <c r="J52" s="207" t="str">
        <f>FHD_NOTE_P_16</f>
        <v>Указывается общая сумма расходов на оплату труда и отчислений на социальные нужды административно-управленческого персонала.</v>
      </c>
      <c r="K52" s="1500" t="str">
        <f t="shared" si="0"/>
        <v>p</v>
      </c>
      <c r="L52" s="1500"/>
      <c r="M52" s="1506"/>
      <c r="N52" s="444"/>
      <c r="O52" s="444"/>
      <c r="R52" s="1500"/>
      <c r="U52" s="451"/>
      <c r="AA52" s="1496"/>
      <c r="AB52" s="1496"/>
      <c r="AC52" s="1496"/>
      <c r="AD52" s="1496"/>
      <c r="AE52" s="1496"/>
    </row>
    <row r="53" spans="1:31" s="4854" customFormat="1" ht="11.25" customHeight="1">
      <c r="A53" s="877"/>
      <c r="C53" s="1500"/>
      <c r="D53" s="1502"/>
      <c r="E53" s="453" t="str">
        <f>FHD_NUM_P_17</f>
        <v>2.7.1</v>
      </c>
      <c r="F53" s="1514" t="str">
        <f>FHD_P_17</f>
        <v>Расходы на оплату труда административно-управленческого персонала</v>
      </c>
      <c r="G53" s="1739" t="s">
        <v>641</v>
      </c>
      <c r="H53" s="464"/>
      <c r="I53" s="464"/>
      <c r="J53" s="207" t="str">
        <f>FHD_NOTE_P_17</f>
        <v/>
      </c>
      <c r="K53" s="1500" t="str">
        <f t="shared" si="0"/>
        <v/>
      </c>
      <c r="L53" s="1500"/>
      <c r="M53" s="1506"/>
      <c r="N53" s="444"/>
      <c r="O53" s="444"/>
      <c r="R53" s="1500"/>
      <c r="U53" s="451"/>
      <c r="AA53" s="1496"/>
      <c r="AB53" s="1496"/>
      <c r="AC53" s="1496"/>
      <c r="AD53" s="1496"/>
      <c r="AE53" s="1496"/>
    </row>
    <row r="54" spans="1:31" s="4854" customFormat="1" ht="11.25" customHeight="1">
      <c r="A54" s="877"/>
      <c r="C54" s="1500"/>
      <c r="D54" s="1502"/>
      <c r="E54" s="453" t="str">
        <f>FHD_NUM_P_18</f>
        <v>2.7.2</v>
      </c>
      <c r="F54" s="151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39" t="s">
        <v>641</v>
      </c>
      <c r="H54" s="464"/>
      <c r="I54" s="464"/>
      <c r="J54" s="207" t="str">
        <f>FHD_NOTE_P_18</f>
        <v/>
      </c>
      <c r="K54" s="1500" t="str">
        <f t="shared" si="0"/>
        <v/>
      </c>
      <c r="L54" s="1500"/>
      <c r="M54" s="1506"/>
      <c r="N54" s="444"/>
      <c r="O54" s="444"/>
      <c r="R54" s="1500"/>
      <c r="U54" s="451"/>
      <c r="AA54" s="1496"/>
      <c r="AB54" s="1496"/>
      <c r="AC54" s="1496"/>
      <c r="AD54" s="1496"/>
      <c r="AE54" s="1496"/>
    </row>
    <row r="55" spans="1:31" s="4854" customFormat="1" ht="11.25" customHeight="1">
      <c r="A55" s="877"/>
      <c r="C55" s="1500"/>
      <c r="D55" s="482"/>
      <c r="E55" s="453" t="str">
        <f>FHD_NUM_P_19</f>
        <v>2.8</v>
      </c>
      <c r="F55" s="1396" t="str">
        <f>FHD_P_19</f>
        <v>Расходы на амортизацию основных средств и нематериальных активов</v>
      </c>
      <c r="G55" s="1739" t="s">
        <v>641</v>
      </c>
      <c r="H55" s="464"/>
      <c r="I55" s="464"/>
      <c r="J55" s="207" t="str">
        <f>FHD_NOTE_P_19</f>
        <v/>
      </c>
      <c r="K55" s="1500" t="str">
        <f t="shared" si="0"/>
        <v>p</v>
      </c>
      <c r="L55" s="1500"/>
      <c r="M55" s="1500"/>
      <c r="R55" s="1500"/>
      <c r="U55" s="451"/>
      <c r="AA55" s="1496"/>
      <c r="AB55" s="1496"/>
      <c r="AC55" s="1496"/>
      <c r="AD55" s="1496"/>
      <c r="AE55" s="1496"/>
    </row>
    <row r="56" spans="1:31" s="4854" customFormat="1" ht="11.25" customHeight="1">
      <c r="A56" s="877"/>
      <c r="C56" s="1500"/>
      <c r="D56" s="482"/>
      <c r="E56" s="453" t="str">
        <f>FHD_NUM_P_20</f>
        <v>2.8.1</v>
      </c>
      <c r="F56" s="1514" t="str">
        <f>FHD_P_20</f>
        <v>Расходы на амортизацию основных средств</v>
      </c>
      <c r="G56" s="1739" t="s">
        <v>641</v>
      </c>
      <c r="H56" s="464"/>
      <c r="I56" s="464"/>
      <c r="J56" s="207" t="str">
        <f>FHD_NOTE_P_20</f>
        <v/>
      </c>
      <c r="K56" s="1500" t="str">
        <f t="shared" si="0"/>
        <v/>
      </c>
      <c r="L56" s="1500"/>
      <c r="M56" s="1500"/>
      <c r="R56" s="1500"/>
      <c r="U56" s="451"/>
      <c r="AA56" s="1496"/>
      <c r="AB56" s="1496"/>
      <c r="AC56" s="1496"/>
      <c r="AD56" s="1496"/>
      <c r="AE56" s="1496"/>
    </row>
    <row r="57" spans="1:31" s="4854" customFormat="1" ht="11.25" customHeight="1">
      <c r="A57" s="877"/>
      <c r="C57" s="1500"/>
      <c r="D57" s="482"/>
      <c r="E57" s="453" t="str">
        <f>FHD_NUM_P_21</f>
        <v>2.8.2</v>
      </c>
      <c r="F57" s="1514" t="str">
        <f>FHD_P_21</f>
        <v>Расходы на амортизацию нематериальных активов</v>
      </c>
      <c r="G57" s="1739" t="s">
        <v>641</v>
      </c>
      <c r="H57" s="464"/>
      <c r="I57" s="464"/>
      <c r="J57" s="207" t="str">
        <f>FHD_NOTE_P_21</f>
        <v/>
      </c>
      <c r="K57" s="1500" t="str">
        <f t="shared" si="0"/>
        <v/>
      </c>
      <c r="L57" s="1500"/>
      <c r="M57" s="1500"/>
      <c r="R57" s="1500"/>
      <c r="U57" s="451"/>
      <c r="AA57" s="1496"/>
      <c r="AB57" s="1496"/>
      <c r="AC57" s="1496"/>
      <c r="AD57" s="1496"/>
      <c r="AE57" s="1496"/>
    </row>
    <row r="58" spans="1:31" s="4854" customFormat="1" ht="11.25" customHeight="1">
      <c r="A58" s="877"/>
      <c r="C58" s="1500"/>
      <c r="D58" s="1502"/>
      <c r="E58" s="453" t="str">
        <f>FHD_NUM_P_22</f>
        <v>2.9</v>
      </c>
      <c r="F58" s="1396" t="str">
        <f>FHD_P_22</f>
        <v>Расходы на аренду имущества, используемого для осуществления регулируемых видов деятельности в сфере горячего водоснабжения</v>
      </c>
      <c r="G58" s="1739" t="s">
        <v>641</v>
      </c>
      <c r="H58" s="464"/>
      <c r="I58" s="464"/>
      <c r="J58" s="207" t="str">
        <f>FHD_NOTE_P_22</f>
        <v/>
      </c>
      <c r="K58" s="1500" t="str">
        <f t="shared" si="0"/>
        <v>p</v>
      </c>
      <c r="L58" s="1500"/>
      <c r="M58" s="1500"/>
      <c r="R58" s="1500"/>
      <c r="U58" s="451"/>
      <c r="AA58" s="1496"/>
      <c r="AB58" s="1496"/>
      <c r="AC58" s="1496"/>
      <c r="AD58" s="1496"/>
      <c r="AE58" s="1496"/>
    </row>
    <row r="59" spans="1:31" s="4854" customFormat="1" ht="11.25" customHeight="1">
      <c r="A59" s="877"/>
      <c r="C59" s="1500"/>
      <c r="D59" s="482"/>
      <c r="E59" s="453" t="str">
        <f>FHD_NUM_P_23</f>
        <v>2.10</v>
      </c>
      <c r="F59" s="1396" t="str">
        <f>FHD_P_23</f>
        <v>Общепроизводственные расходы, в том числе:</v>
      </c>
      <c r="G59" s="1739" t="s">
        <v>641</v>
      </c>
      <c r="H59" s="464"/>
      <c r="I59" s="464"/>
      <c r="J59" s="207" t="str">
        <f>FHD_NOTE_P_23</f>
        <v>Указывается общая сумма общепроизводственных расходов.</v>
      </c>
      <c r="K59" s="1500" t="str">
        <f t="shared" si="0"/>
        <v>p</v>
      </c>
      <c r="L59" s="1500"/>
      <c r="M59" s="1500"/>
      <c r="R59" s="1500"/>
      <c r="U59" s="451"/>
      <c r="AA59" s="1496"/>
      <c r="AB59" s="1496"/>
      <c r="AC59" s="1496"/>
      <c r="AD59" s="1496"/>
      <c r="AE59" s="1496"/>
    </row>
    <row r="60" spans="1:31" s="4854" customFormat="1" ht="11.25" customHeight="1">
      <c r="A60" s="877"/>
      <c r="C60" s="1500"/>
      <c r="D60" s="482"/>
      <c r="E60" s="453" t="str">
        <f>FHD_NUM_P_24</f>
        <v>2.10.1</v>
      </c>
      <c r="F60" s="1514" t="str">
        <f>FHD_P_24</f>
        <v>Расходы на текущий ремонт</v>
      </c>
      <c r="G60" s="1739" t="s">
        <v>641</v>
      </c>
      <c r="H60" s="464"/>
      <c r="I60" s="464"/>
      <c r="J60" s="207" t="str">
        <f>FHD_NOTE_P_24</f>
        <v>Указываются расходы на текущий ремонт, отнесенные к общепроизводственным расходам.</v>
      </c>
      <c r="K60" s="1500" t="str">
        <f t="shared" si="0"/>
        <v/>
      </c>
      <c r="L60" s="1500"/>
      <c r="M60" s="1500"/>
      <c r="R60" s="1500"/>
      <c r="U60" s="451"/>
      <c r="AA60" s="1496"/>
      <c r="AB60" s="1496"/>
      <c r="AC60" s="1496"/>
      <c r="AD60" s="1496"/>
      <c r="AE60" s="1496"/>
    </row>
    <row r="61" spans="1:31" s="4854" customFormat="1" ht="11.25" customHeight="1">
      <c r="A61" s="877"/>
      <c r="C61" s="1500"/>
      <c r="D61" s="482"/>
      <c r="E61" s="453" t="str">
        <f>FHD_NUM_P_25</f>
        <v>2.10.2</v>
      </c>
      <c r="F61" s="1514" t="str">
        <f>FHD_P_25</f>
        <v>Расходы на капитальный ремонт</v>
      </c>
      <c r="G61" s="1739" t="s">
        <v>641</v>
      </c>
      <c r="H61" s="464"/>
      <c r="I61" s="464"/>
      <c r="J61" s="207" t="str">
        <f>FHD_NOTE_P_25</f>
        <v>Указываются расходы на капитальный ремонт, отнесенные к общепроизводственным расходам.</v>
      </c>
      <c r="K61" s="1500" t="str">
        <f t="shared" si="0"/>
        <v/>
      </c>
      <c r="L61" s="1500"/>
      <c r="M61" s="1500"/>
      <c r="R61" s="1500"/>
      <c r="U61" s="451"/>
      <c r="AA61" s="1496"/>
      <c r="AB61" s="1496"/>
      <c r="AC61" s="1496"/>
      <c r="AD61" s="1496"/>
      <c r="AE61" s="1496"/>
    </row>
    <row r="62" spans="1:31" s="4854" customFormat="1" ht="11.25" customHeight="1">
      <c r="A62" s="877"/>
      <c r="C62" s="1500"/>
      <c r="D62" s="1502"/>
      <c r="E62" s="453" t="str">
        <f>FHD_NUM_P_26</f>
        <v>2.11</v>
      </c>
      <c r="F62" s="1396" t="str">
        <f>FHD_P_26</f>
        <v>Общехозяйственные расходы, в том числе:</v>
      </c>
      <c r="G62" s="1739" t="s">
        <v>641</v>
      </c>
      <c r="H62" s="464"/>
      <c r="I62" s="464"/>
      <c r="J62" s="207" t="str">
        <f>FHD_NOTE_P_26</f>
        <v>Указывается общая сумма общехозяйственных расходов.</v>
      </c>
      <c r="K62" s="1500" t="str">
        <f t="shared" si="0"/>
        <v>p</v>
      </c>
      <c r="L62" s="1500"/>
      <c r="M62" s="1500"/>
      <c r="R62" s="1500"/>
      <c r="U62" s="451"/>
      <c r="AA62" s="1496"/>
      <c r="AB62" s="1496"/>
      <c r="AC62" s="1496"/>
      <c r="AD62" s="1496"/>
      <c r="AE62" s="1496"/>
    </row>
    <row r="63" spans="1:31" s="4854" customFormat="1" ht="11.25" customHeight="1">
      <c r="A63" s="877"/>
      <c r="C63" s="1500"/>
      <c r="D63" s="1502"/>
      <c r="E63" s="453" t="str">
        <f>FHD_NUM_P_27</f>
        <v>2.11.1</v>
      </c>
      <c r="F63" s="1514" t="str">
        <f>FHD_P_27</f>
        <v>Расходы на текущий ремонт</v>
      </c>
      <c r="G63" s="1739" t="s">
        <v>641</v>
      </c>
      <c r="H63" s="464"/>
      <c r="I63" s="464"/>
      <c r="J63" s="207" t="str">
        <f>FHD_NOTE_P_27</f>
        <v>Указываются расходы на текущий ремонт, отнесенные к общехозяйственным расходам.</v>
      </c>
      <c r="K63" s="1500" t="str">
        <f t="shared" si="0"/>
        <v/>
      </c>
      <c r="L63" s="1500"/>
      <c r="M63" s="1500"/>
      <c r="R63" s="1500"/>
      <c r="U63" s="451"/>
      <c r="AA63" s="1496"/>
      <c r="AB63" s="1496"/>
      <c r="AC63" s="1496"/>
      <c r="AD63" s="1496"/>
      <c r="AE63" s="1496"/>
    </row>
    <row r="64" spans="1:31" s="4854" customFormat="1" ht="11.25" customHeight="1">
      <c r="A64" s="877"/>
      <c r="C64" s="1500"/>
      <c r="D64" s="1502"/>
      <c r="E64" s="453" t="str">
        <f>FHD_NUM_P_28</f>
        <v>2.11.2</v>
      </c>
      <c r="F64" s="1514" t="str">
        <f>FHD_P_28</f>
        <v>Расходы на капитальный ремонт</v>
      </c>
      <c r="G64" s="1739" t="s">
        <v>641</v>
      </c>
      <c r="H64" s="464"/>
      <c r="I64" s="464"/>
      <c r="J64" s="207" t="str">
        <f>FHD_NOTE_P_28</f>
        <v>Указываются расходы на капитальный ремонт, отнесенные к общехозяйственным расходам.</v>
      </c>
      <c r="K64" s="1500" t="str">
        <f t="shared" si="0"/>
        <v/>
      </c>
      <c r="L64" s="1500"/>
      <c r="M64" s="1500"/>
      <c r="R64" s="1500"/>
      <c r="U64" s="451"/>
      <c r="AA64" s="1496"/>
      <c r="AB64" s="1496"/>
      <c r="AC64" s="1496"/>
      <c r="AD64" s="1496"/>
      <c r="AE64" s="1496"/>
    </row>
    <row r="65" spans="1:31" s="4854" customFormat="1" ht="11.25" customHeight="1">
      <c r="A65" s="877"/>
      <c r="C65" s="1500"/>
      <c r="D65" s="1502"/>
      <c r="E65" s="453" t="str">
        <f>FHD_NUM_P_29</f>
        <v>2.12</v>
      </c>
      <c r="F65" s="1396" t="str">
        <f>FHD_P_29</f>
        <v>Расходы на капитальный и текущий ремонт основных средств</v>
      </c>
      <c r="G65" s="1739" t="s">
        <v>641</v>
      </c>
      <c r="H65" s="464"/>
      <c r="I65" s="464"/>
      <c r="J65" s="20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00" t="str">
        <f t="shared" si="0"/>
        <v>p</v>
      </c>
      <c r="L65" s="1500"/>
      <c r="M65" s="1500"/>
      <c r="R65" s="1500"/>
      <c r="U65" s="451"/>
      <c r="AA65" s="1496"/>
      <c r="AB65" s="1496"/>
      <c r="AC65" s="1496"/>
      <c r="AD65" s="1496"/>
      <c r="AE65" s="1496"/>
    </row>
    <row r="66" spans="1:31" s="4854" customFormat="1" ht="11.25" customHeight="1">
      <c r="A66" s="877"/>
      <c r="C66" s="1500"/>
      <c r="D66" s="1502"/>
      <c r="E66" s="453" t="str">
        <f>FHD_NUM_P_30</f>
        <v>2.12.1</v>
      </c>
      <c r="F66" s="151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39" t="s">
        <v>384</v>
      </c>
      <c r="H66" s="1513" t="s">
        <v>664</v>
      </c>
      <c r="I66" s="1513" t="s">
        <v>664</v>
      </c>
      <c r="J66" s="207" t="str">
        <f>FHD_NOTE_P_30</f>
        <v/>
      </c>
      <c r="K66" s="1500" t="str">
        <f t="shared" si="0"/>
        <v/>
      </c>
      <c r="L66" s="1500">
        <f>IFERROR(MATCH("есть",B_FHD_FLAG_INDEX_1,0),0)</f>
        <v>0</v>
      </c>
      <c r="M66" s="1500"/>
      <c r="R66" s="1500"/>
      <c r="U66" s="451"/>
      <c r="AA66" s="1496"/>
      <c r="AB66" s="1496"/>
      <c r="AC66" s="1496"/>
      <c r="AD66" s="1496"/>
      <c r="AE66" s="1496"/>
    </row>
    <row r="67" spans="1:31" s="4854" customFormat="1" ht="22.5" customHeight="1">
      <c r="A67" s="5460" t="s">
        <v>665</v>
      </c>
      <c r="C67" s="1500"/>
      <c r="D67" s="1502"/>
      <c r="E67" s="453" t="str">
        <f>FHD_NUM_P_31</f>
        <v>2.13</v>
      </c>
      <c r="F67" s="1396"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39" t="s">
        <v>641</v>
      </c>
      <c r="H67" s="464"/>
      <c r="I67" s="464"/>
      <c r="J67" s="20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00" t="str">
        <f t="shared" si="0"/>
        <v>p</v>
      </c>
      <c r="L67" s="1500"/>
      <c r="M67" s="1500"/>
      <c r="R67" s="1500"/>
      <c r="U67" s="451"/>
      <c r="AA67" s="1496"/>
      <c r="AB67" s="1496"/>
      <c r="AC67" s="1496"/>
      <c r="AD67" s="1496"/>
      <c r="AE67" s="1496"/>
    </row>
    <row r="68" spans="1:31" s="4854" customFormat="1" ht="45" customHeight="1">
      <c r="A68" s="5460"/>
      <c r="C68" s="1500"/>
      <c r="D68" s="1502"/>
      <c r="E68" s="453" t="str">
        <f>FHD_NUM_P_32</f>
        <v>2.13.1</v>
      </c>
      <c r="F68" s="1514"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39" t="s">
        <v>384</v>
      </c>
      <c r="H68" s="1513" t="s">
        <v>664</v>
      </c>
      <c r="I68" s="1513" t="s">
        <v>664</v>
      </c>
      <c r="J68" s="207" t="str">
        <f>FHD_NOTE_P_32</f>
        <v/>
      </c>
      <c r="K68" s="1500" t="str">
        <f t="shared" si="0"/>
        <v/>
      </c>
      <c r="L68" s="1500">
        <f>IFERROR(MATCH("есть",B_FHD_FLAG_INDEX_2,0),0)</f>
        <v>0</v>
      </c>
      <c r="M68" s="1500"/>
      <c r="R68" s="1500"/>
      <c r="U68" s="451"/>
      <c r="AA68" s="1496"/>
      <c r="AB68" s="1496"/>
      <c r="AC68" s="1496"/>
      <c r="AD68" s="1496"/>
      <c r="AE68" s="1496"/>
    </row>
    <row r="69" spans="1:31" s="4854" customFormat="1" ht="11.25" customHeight="1">
      <c r="A69" s="877"/>
      <c r="C69" s="1500"/>
      <c r="D69" s="1502"/>
      <c r="E69" s="453" t="str">
        <f>FHD_NUM_P_33</f>
        <v>2.14</v>
      </c>
      <c r="F69" s="1396"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40" t="s">
        <v>641</v>
      </c>
      <c r="H69" s="486">
        <f>SUM(H70:H71)</f>
        <v>0</v>
      </c>
      <c r="I69" s="486">
        <f>SUM(I70:I71)</f>
        <v>0</v>
      </c>
      <c r="J69" s="20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00" t="str">
        <f t="shared" si="0"/>
        <v>p</v>
      </c>
      <c r="L69" s="1500"/>
      <c r="M69" s="1500"/>
      <c r="R69" s="1500"/>
      <c r="U69" s="451"/>
      <c r="AA69" s="1496"/>
      <c r="AB69" s="1496"/>
      <c r="AC69" s="1496"/>
      <c r="AD69" s="1496"/>
      <c r="AE69" s="1496"/>
    </row>
    <row r="70" spans="1:31" s="4867" customFormat="1" ht="0.75" customHeight="1">
      <c r="A70" s="1049"/>
      <c r="D70" s="455"/>
      <c r="E70" s="902" t="str">
        <f>E69&amp;".0"</f>
        <v>2.14.0</v>
      </c>
      <c r="F70" s="881"/>
      <c r="G70" s="902"/>
      <c r="H70" s="882"/>
      <c r="I70" s="882"/>
      <c r="J70" s="883"/>
      <c r="K70" s="1500" t="str">
        <f t="shared" si="0"/>
        <v/>
      </c>
    </row>
    <row r="71" spans="1:31" s="4854" customFormat="1" ht="14.25" customHeight="1">
      <c r="A71" s="877"/>
      <c r="C71" s="1500"/>
      <c r="D71" s="1497"/>
      <c r="E71" s="477"/>
      <c r="F71" s="478" t="s">
        <v>666</v>
      </c>
      <c r="G71" s="479"/>
      <c r="H71" s="480"/>
      <c r="I71" s="480"/>
      <c r="J71" s="219"/>
      <c r="K71" s="1500"/>
      <c r="L71" s="1500"/>
      <c r="M71" s="1500"/>
      <c r="R71" s="1500"/>
      <c r="U71" s="451"/>
      <c r="AA71" s="1496"/>
      <c r="AB71" s="1496"/>
      <c r="AC71" s="1496"/>
      <c r="AD71" s="1496"/>
      <c r="AE71" s="1496"/>
    </row>
    <row r="72" spans="1:31" s="4854" customFormat="1" ht="18.75" hidden="1" customHeight="1">
      <c r="A72" s="879" t="s">
        <v>667</v>
      </c>
      <c r="C72" s="1500"/>
      <c r="D72" s="1502"/>
      <c r="E72" s="453" t="str">
        <f>FHD_NUM_P_34</f>
        <v/>
      </c>
      <c r="F72" s="1741" t="str">
        <f>FHD_P_34</f>
        <v/>
      </c>
      <c r="G72" s="1739" t="s">
        <v>641</v>
      </c>
      <c r="H72" s="464"/>
      <c r="I72" s="464"/>
      <c r="J72" s="207" t="str">
        <f>FHD_NOTE_P_34</f>
        <v/>
      </c>
      <c r="K72" s="450"/>
      <c r="L72" s="1500"/>
      <c r="M72" s="1500"/>
      <c r="R72" s="1500"/>
      <c r="U72" s="451"/>
      <c r="AA72" s="1496"/>
      <c r="AB72" s="1496"/>
      <c r="AC72" s="1496"/>
      <c r="AD72" s="1496"/>
      <c r="AE72" s="1496"/>
    </row>
    <row r="73" spans="1:31" s="4854" customFormat="1" ht="18.75" customHeight="1">
      <c r="A73" s="877"/>
      <c r="C73" s="1500"/>
      <c r="D73" s="482"/>
      <c r="E73" s="453" t="str">
        <f>FHD_NUM_P_35</f>
        <v>3</v>
      </c>
      <c r="F73" s="1741" t="str">
        <f>FHD_P_35</f>
        <v>Чистая прибыль, полученная от регулируемого вида деятельности в сфере горячего водоснабжения, в том числе:</v>
      </c>
      <c r="G73" s="1739" t="s">
        <v>641</v>
      </c>
      <c r="H73" s="464"/>
      <c r="I73" s="464"/>
      <c r="J73" s="207" t="str">
        <f>FHD_NOTE_P_35</f>
        <v>Указывается общая сумма чистой прибыли, полученной от регулируемого вида деятельности.</v>
      </c>
      <c r="K73" s="450"/>
      <c r="L73" s="1500"/>
      <c r="M73" s="1500"/>
      <c r="R73" s="1500"/>
      <c r="U73" s="451"/>
      <c r="AA73" s="1496"/>
      <c r="AB73" s="1496"/>
      <c r="AC73" s="1496"/>
      <c r="AD73" s="1496"/>
      <c r="AE73" s="1496"/>
    </row>
    <row r="74" spans="1:31" s="4854" customFormat="1" ht="18.75" customHeight="1">
      <c r="A74" s="877"/>
      <c r="C74" s="1500"/>
      <c r="D74" s="1502"/>
      <c r="E74" s="453" t="str">
        <f>FHD_NUM_P_36</f>
        <v>3.1</v>
      </c>
      <c r="F74" s="139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39" t="s">
        <v>641</v>
      </c>
      <c r="H74" s="464"/>
      <c r="I74" s="464"/>
      <c r="J74" s="207" t="str">
        <f>FHD_NOTE_P_36</f>
        <v/>
      </c>
      <c r="K74" s="450"/>
      <c r="L74" s="1500"/>
      <c r="M74" s="1500"/>
      <c r="R74" s="1500"/>
      <c r="U74" s="451"/>
      <c r="AA74" s="1496"/>
      <c r="AB74" s="1496"/>
      <c r="AC74" s="1496"/>
      <c r="AD74" s="1496"/>
      <c r="AE74" s="1496"/>
    </row>
    <row r="75" spans="1:31" s="4854" customFormat="1" ht="18.75" customHeight="1">
      <c r="A75" s="877"/>
      <c r="C75" s="1500"/>
      <c r="D75" s="1502"/>
      <c r="E75" s="453" t="str">
        <f>FHD_NUM_P_37</f>
        <v>4</v>
      </c>
      <c r="F75" s="1741" t="str">
        <f>FHD_P_37</f>
        <v>Изменение стоимости основных фондов, в том числе:</v>
      </c>
      <c r="G75" s="1739" t="s">
        <v>641</v>
      </c>
      <c r="H75" s="464"/>
      <c r="I75" s="464"/>
      <c r="J75" s="207" t="str">
        <f>FHD_NOTE_P_37</f>
        <v>Указывается общее изменение стоимости основных фондов.</v>
      </c>
      <c r="K75" s="450"/>
      <c r="L75" s="1500"/>
      <c r="M75" s="1500"/>
      <c r="R75" s="1500"/>
      <c r="U75" s="451"/>
      <c r="AA75" s="1496"/>
      <c r="AB75" s="1496"/>
      <c r="AC75" s="1496"/>
      <c r="AD75" s="1496"/>
      <c r="AE75" s="1496"/>
    </row>
    <row r="76" spans="1:31" s="4854" customFormat="1" ht="18.75" customHeight="1">
      <c r="A76" s="877"/>
      <c r="C76" s="1500"/>
      <c r="D76" s="1502"/>
      <c r="E76" s="453" t="str">
        <f>FHD_NUM_P_38</f>
        <v>4.1</v>
      </c>
      <c r="F76" s="1396" t="str">
        <f>FHD_P_38</f>
        <v>Изменение стоимости основных фондов за счет их ввода в эксплуатацию (вывода из эксплуатации)</v>
      </c>
      <c r="G76" s="1739" t="s">
        <v>641</v>
      </c>
      <c r="H76" s="464"/>
      <c r="I76" s="464"/>
      <c r="J76" s="207" t="str">
        <f>FHD_NOTE_P_38</f>
        <v>Указываются общее изменение стоимости основных фондов за счет их ввода в эксплуатацию и вывода из эксплуатации.</v>
      </c>
      <c r="K76" s="450"/>
      <c r="L76" s="1500"/>
      <c r="M76" s="1500"/>
      <c r="R76" s="1500"/>
      <c r="U76" s="451"/>
      <c r="AA76" s="1496"/>
      <c r="AB76" s="1496"/>
      <c r="AC76" s="1496"/>
      <c r="AD76" s="1496"/>
      <c r="AE76" s="1496"/>
    </row>
    <row r="77" spans="1:31" s="4854" customFormat="1" ht="18.75" customHeight="1">
      <c r="A77" s="877"/>
      <c r="C77" s="1500"/>
      <c r="D77" s="1502"/>
      <c r="E77" s="453" t="str">
        <f>FHD_NUM_P_39</f>
        <v>4.1.1</v>
      </c>
      <c r="F77" s="1514" t="str">
        <f>FHD_P_39</f>
        <v>Изменение стоимости основных фондов за счет их ввода в эксплуатацию</v>
      </c>
      <c r="G77" s="1739" t="s">
        <v>641</v>
      </c>
      <c r="H77" s="464"/>
      <c r="I77" s="464"/>
      <c r="J77" s="207" t="str">
        <f>FHD_NOTE_P_39</f>
        <v>Указываются изменение стоимости основных фондов за счет их ввода в эксплуатацию.</v>
      </c>
      <c r="K77" s="450"/>
      <c r="L77" s="1500"/>
      <c r="M77" s="1500"/>
      <c r="R77" s="1500"/>
      <c r="U77" s="451"/>
      <c r="AA77" s="1496"/>
      <c r="AB77" s="1496"/>
      <c r="AC77" s="1496"/>
      <c r="AD77" s="1496"/>
      <c r="AE77" s="1496"/>
    </row>
    <row r="78" spans="1:31" s="4854" customFormat="1" ht="18.75" customHeight="1">
      <c r="A78" s="877"/>
      <c r="C78" s="1500"/>
      <c r="D78" s="1502"/>
      <c r="E78" s="453" t="str">
        <f>FHD_NUM_P_40</f>
        <v>4.1.2</v>
      </c>
      <c r="F78" s="1514" t="str">
        <f>FHD_P_40</f>
        <v>Изменение стоимости основных фондов за счет их вывода в эксплуатацию</v>
      </c>
      <c r="G78" s="1739" t="s">
        <v>641</v>
      </c>
      <c r="H78" s="464"/>
      <c r="I78" s="464"/>
      <c r="J78" s="207" t="str">
        <f>FHD_NOTE_P_40</f>
        <v>Указываются изменение стоимости основных фондов за счет их вывода из эксплуатации.</v>
      </c>
      <c r="K78" s="450"/>
      <c r="L78" s="1500"/>
      <c r="M78" s="1500"/>
      <c r="R78" s="1500"/>
      <c r="U78" s="451"/>
      <c r="AA78" s="1496"/>
      <c r="AB78" s="1496"/>
      <c r="AC78" s="1496"/>
      <c r="AD78" s="1496"/>
      <c r="AE78" s="1496"/>
    </row>
    <row r="79" spans="1:31" s="4854" customFormat="1" ht="18.75" customHeight="1">
      <c r="A79" s="877"/>
      <c r="C79" s="1500"/>
      <c r="D79" s="1502"/>
      <c r="E79" s="453" t="str">
        <f>FHD_NUM_P_41</f>
        <v>4.2</v>
      </c>
      <c r="F79" s="1396" t="str">
        <f>FHD_P_41</f>
        <v>Изменение стоимости основных фондов за счет их переоценки</v>
      </c>
      <c r="G79" s="1740" t="s">
        <v>641</v>
      </c>
      <c r="H79" s="464"/>
      <c r="I79" s="464"/>
      <c r="J79" s="207" t="str">
        <f>FHD_NOTE_P_41</f>
        <v/>
      </c>
      <c r="K79" s="450"/>
      <c r="L79" s="1500"/>
      <c r="M79" s="1500"/>
      <c r="R79" s="1500"/>
      <c r="U79" s="451"/>
      <c r="AA79" s="1496"/>
      <c r="AB79" s="1496"/>
      <c r="AC79" s="1496"/>
      <c r="AD79" s="1496"/>
      <c r="AE79" s="1496"/>
    </row>
    <row r="80" spans="1:31" s="4854" customFormat="1" ht="18.75" customHeight="1">
      <c r="A80" s="879" t="s">
        <v>668</v>
      </c>
      <c r="C80" s="1500"/>
      <c r="D80" s="1502"/>
      <c r="E80" s="453" t="str">
        <f>FHD_NUM_P_42</f>
        <v>5</v>
      </c>
      <c r="F80" s="1741" t="str">
        <f>FHD_P_42</f>
        <v>Валовая прибыль (убытки) от продажи товаров и услуг по регулируемым видам деятельности в сфере горячего водоснабжения</v>
      </c>
      <c r="G80" s="1739" t="s">
        <v>641</v>
      </c>
      <c r="H80" s="867"/>
      <c r="I80" s="464"/>
      <c r="J80" s="207" t="str">
        <f>FHD_NOTE_P_42</f>
        <v/>
      </c>
      <c r="K80" s="450"/>
      <c r="L80" s="1500"/>
      <c r="M80" s="1500"/>
      <c r="R80" s="1500"/>
      <c r="U80" s="451"/>
      <c r="AA80" s="1496"/>
      <c r="AB80" s="1496"/>
      <c r="AC80" s="1496"/>
      <c r="AD80" s="1496"/>
      <c r="AE80" s="1496"/>
    </row>
    <row r="81" spans="1:31" s="4854" customFormat="1" ht="18.75" customHeight="1">
      <c r="A81" s="877"/>
      <c r="C81" s="1500"/>
      <c r="D81" s="1502"/>
      <c r="E81" s="453" t="str">
        <f>FHD_NUM_P_43</f>
        <v>6</v>
      </c>
      <c r="F81" s="1741" t="str">
        <f>FHD_P_43</f>
        <v>Годовая бухгалтерская (финансовая) отчетность, включая бухгалтерский баланс и приложения к нему</v>
      </c>
      <c r="G81" s="1739" t="s">
        <v>384</v>
      </c>
      <c r="H81" s="944"/>
      <c r="I81" s="717"/>
      <c r="J81" s="20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50"/>
      <c r="L81" s="1500"/>
      <c r="M81" s="1500"/>
      <c r="R81" s="1500"/>
      <c r="U81" s="451"/>
      <c r="AA81" s="1496"/>
      <c r="AB81" s="1496"/>
      <c r="AC81" s="1496"/>
      <c r="AD81" s="1496"/>
      <c r="AE81" s="1496"/>
    </row>
    <row r="82" spans="1:31" s="5115" customFormat="1" ht="18.75" hidden="1" customHeight="1">
      <c r="A82" s="5460" t="s">
        <v>669</v>
      </c>
      <c r="C82" s="636"/>
      <c r="D82" s="634"/>
      <c r="E82" s="453" t="str">
        <f>FHD_NUM_P_44</f>
        <v/>
      </c>
      <c r="F82" s="1741" t="str">
        <f>FHD_P_44</f>
        <v/>
      </c>
      <c r="G82" s="1742" t="s">
        <v>670</v>
      </c>
      <c r="H82" s="868"/>
      <c r="I82" s="484"/>
      <c r="J82" s="207" t="str">
        <f>FHD_NOTE_P_44</f>
        <v/>
      </c>
      <c r="K82" s="635"/>
      <c r="L82" s="636"/>
      <c r="M82" s="636"/>
      <c r="R82" s="636"/>
      <c r="U82" s="637"/>
      <c r="AA82" s="638"/>
      <c r="AB82" s="638"/>
      <c r="AC82" s="638"/>
      <c r="AD82" s="638"/>
      <c r="AE82" s="638"/>
    </row>
    <row r="83" spans="1:31" s="5115" customFormat="1" ht="18.75" hidden="1" customHeight="1">
      <c r="A83" s="5460"/>
      <c r="C83" s="636"/>
      <c r="D83" s="634"/>
      <c r="E83" s="453" t="str">
        <f>FHD_NUM_P_45</f>
        <v/>
      </c>
      <c r="F83" s="1741" t="str">
        <f>FHD_P_45</f>
        <v/>
      </c>
      <c r="G83" s="1742" t="s">
        <v>670</v>
      </c>
      <c r="H83" s="868"/>
      <c r="I83" s="484"/>
      <c r="J83" s="207" t="str">
        <f>FHD_NOTE_P_45</f>
        <v/>
      </c>
      <c r="K83" s="635"/>
      <c r="L83" s="636"/>
      <c r="M83" s="636"/>
      <c r="R83" s="636"/>
      <c r="U83" s="637"/>
      <c r="AA83" s="638"/>
      <c r="AB83" s="638"/>
      <c r="AC83" s="638"/>
      <c r="AD83" s="638"/>
      <c r="AE83" s="638"/>
    </row>
    <row r="84" spans="1:31" s="5115" customFormat="1" ht="18.75" hidden="1" customHeight="1">
      <c r="A84" s="5460"/>
      <c r="C84" s="636"/>
      <c r="D84" s="639"/>
      <c r="E84" s="453" t="str">
        <f>FHD_NUM_P_46</f>
        <v/>
      </c>
      <c r="F84" s="1741" t="str">
        <f>FHD_P_46</f>
        <v/>
      </c>
      <c r="G84" s="1742" t="s">
        <v>670</v>
      </c>
      <c r="H84" s="868"/>
      <c r="I84" s="484"/>
      <c r="J84" s="207" t="str">
        <f>FHD_NOTE_P_46</f>
        <v/>
      </c>
      <c r="K84" s="635"/>
      <c r="L84" s="636"/>
      <c r="M84" s="636"/>
      <c r="R84" s="636"/>
      <c r="U84" s="637"/>
      <c r="AA84" s="638"/>
      <c r="AB84" s="638"/>
      <c r="AC84" s="638"/>
      <c r="AD84" s="638"/>
      <c r="AE84" s="638"/>
    </row>
    <row r="85" spans="1:31" s="5115" customFormat="1" ht="18.75" hidden="1" customHeight="1">
      <c r="A85" s="5460"/>
      <c r="C85" s="636"/>
      <c r="D85" s="634"/>
      <c r="E85" s="453" t="str">
        <f>FHD_NUM_P_47</f>
        <v/>
      </c>
      <c r="F85" s="1741" t="str">
        <f>FHD_P_47</f>
        <v/>
      </c>
      <c r="G85" s="1742" t="s">
        <v>670</v>
      </c>
      <c r="H85" s="868"/>
      <c r="I85" s="484"/>
      <c r="J85" s="207" t="str">
        <f>FHD_NOTE_P_47</f>
        <v/>
      </c>
      <c r="K85" s="635"/>
      <c r="L85" s="636"/>
      <c r="M85" s="636"/>
      <c r="R85" s="636"/>
      <c r="U85" s="637"/>
      <c r="AA85" s="638"/>
      <c r="AB85" s="638"/>
      <c r="AC85" s="638"/>
      <c r="AD85" s="638"/>
      <c r="AE85" s="638"/>
    </row>
    <row r="86" spans="1:31" s="5116" customFormat="1" ht="18.75" hidden="1" customHeight="1">
      <c r="A86" s="5460"/>
      <c r="B86" s="805"/>
      <c r="C86" s="636"/>
      <c r="D86" s="634"/>
      <c r="E86" s="453" t="str">
        <f>FHD_NUM_P_48</f>
        <v/>
      </c>
      <c r="F86" s="1741" t="str">
        <f>FHD_P_48</f>
        <v/>
      </c>
      <c r="G86" s="1742" t="s">
        <v>670</v>
      </c>
      <c r="H86" s="868"/>
      <c r="I86" s="484"/>
      <c r="J86" s="207" t="str">
        <f>FHD_NOTE_P_48</f>
        <v/>
      </c>
      <c r="K86" s="635"/>
      <c r="L86" s="636"/>
      <c r="M86" s="636"/>
      <c r="N86" s="805"/>
      <c r="O86" s="805"/>
      <c r="P86" s="805"/>
      <c r="Q86" s="805"/>
      <c r="R86" s="636"/>
      <c r="S86" s="805"/>
      <c r="T86" s="805"/>
      <c r="U86" s="637"/>
      <c r="V86" s="805"/>
      <c r="W86" s="805"/>
      <c r="X86" s="805"/>
      <c r="Y86" s="805"/>
      <c r="Z86" s="805"/>
      <c r="AA86" s="638"/>
      <c r="AB86" s="638"/>
      <c r="AC86" s="638"/>
      <c r="AD86" s="638"/>
      <c r="AE86" s="638"/>
    </row>
    <row r="87" spans="1:31" s="5116" customFormat="1" ht="18.75" hidden="1" customHeight="1">
      <c r="A87" s="5460"/>
      <c r="B87" s="805"/>
      <c r="C87" s="636"/>
      <c r="D87" s="634"/>
      <c r="E87" s="453" t="str">
        <f>FHD_NUM_P_49</f>
        <v/>
      </c>
      <c r="F87" s="1741" t="str">
        <f>FHD_P_49</f>
        <v/>
      </c>
      <c r="G87" s="1742" t="s">
        <v>670</v>
      </c>
      <c r="H87" s="869">
        <f>SUM(H88:H89)</f>
        <v>0</v>
      </c>
      <c r="I87" s="649">
        <f>SUM(I88:I89)</f>
        <v>0</v>
      </c>
      <c r="J87" s="207" t="str">
        <f>FHD_NOTE_P_49</f>
        <v/>
      </c>
      <c r="K87" s="635"/>
      <c r="L87" s="636"/>
      <c r="M87" s="636"/>
      <c r="N87" s="805"/>
      <c r="O87" s="805"/>
      <c r="P87" s="805"/>
      <c r="Q87" s="805"/>
      <c r="R87" s="636"/>
      <c r="S87" s="805"/>
      <c r="T87" s="805"/>
      <c r="U87" s="637"/>
      <c r="V87" s="805"/>
      <c r="W87" s="805"/>
      <c r="X87" s="805"/>
      <c r="Y87" s="805"/>
      <c r="Z87" s="805"/>
      <c r="AA87" s="638"/>
      <c r="AB87" s="638"/>
      <c r="AC87" s="638"/>
      <c r="AD87" s="638"/>
      <c r="AE87" s="638"/>
    </row>
    <row r="88" spans="1:31" s="5116" customFormat="1" ht="18.75" hidden="1" customHeight="1">
      <c r="A88" s="5460"/>
      <c r="B88" s="805"/>
      <c r="C88" s="636"/>
      <c r="D88" s="634"/>
      <c r="E88" s="453" t="str">
        <f>FHD_NUM_P_50</f>
        <v/>
      </c>
      <c r="F88" s="1741" t="str">
        <f>FHD_P_50</f>
        <v/>
      </c>
      <c r="G88" s="1742" t="s">
        <v>670</v>
      </c>
      <c r="H88" s="868"/>
      <c r="I88" s="484"/>
      <c r="J88" s="207" t="str">
        <f>FHD_NOTE_P_50</f>
        <v/>
      </c>
      <c r="K88" s="635"/>
      <c r="L88" s="636"/>
      <c r="M88" s="636"/>
      <c r="N88" s="805"/>
      <c r="O88" s="805"/>
      <c r="P88" s="805"/>
      <c r="Q88" s="805"/>
      <c r="R88" s="636"/>
      <c r="S88" s="805"/>
      <c r="T88" s="805"/>
      <c r="U88" s="637"/>
      <c r="V88" s="805"/>
      <c r="W88" s="805"/>
      <c r="X88" s="805"/>
      <c r="Y88" s="805"/>
      <c r="Z88" s="805"/>
      <c r="AA88" s="638"/>
      <c r="AB88" s="638"/>
      <c r="AC88" s="638"/>
      <c r="AD88" s="638"/>
      <c r="AE88" s="638"/>
    </row>
    <row r="89" spans="1:31" s="5116" customFormat="1" ht="18.75" hidden="1" customHeight="1">
      <c r="A89" s="5460"/>
      <c r="B89" s="805"/>
      <c r="C89" s="636"/>
      <c r="D89" s="634"/>
      <c r="E89" s="453" t="str">
        <f>FHD_NUM_P_51</f>
        <v/>
      </c>
      <c r="F89" s="1741" t="str">
        <f>FHD_P_51</f>
        <v/>
      </c>
      <c r="G89" s="1742" t="s">
        <v>670</v>
      </c>
      <c r="H89" s="868"/>
      <c r="I89" s="484"/>
      <c r="J89" s="207" t="str">
        <f>FHD_NOTE_P_51</f>
        <v/>
      </c>
      <c r="K89" s="635"/>
      <c r="L89" s="636"/>
      <c r="M89" s="636"/>
      <c r="N89" s="805"/>
      <c r="O89" s="805"/>
      <c r="P89" s="805"/>
      <c r="Q89" s="805"/>
      <c r="R89" s="636"/>
      <c r="S89" s="805"/>
      <c r="T89" s="805"/>
      <c r="U89" s="637"/>
      <c r="V89" s="805"/>
      <c r="W89" s="805"/>
      <c r="X89" s="805"/>
      <c r="Y89" s="805"/>
      <c r="Z89" s="805"/>
      <c r="AA89" s="638"/>
      <c r="AB89" s="638"/>
      <c r="AC89" s="638"/>
      <c r="AD89" s="638"/>
      <c r="AE89" s="638"/>
    </row>
    <row r="90" spans="1:31" s="5116" customFormat="1" ht="18.75" hidden="1" customHeight="1">
      <c r="A90" s="5460"/>
      <c r="B90" s="805"/>
      <c r="C90" s="636"/>
      <c r="D90" s="634"/>
      <c r="E90" s="453" t="str">
        <f>FHD_NUM_P_52</f>
        <v/>
      </c>
      <c r="F90" s="1741" t="str">
        <f>FHD_P_52</f>
        <v/>
      </c>
      <c r="G90" s="1742" t="s">
        <v>647</v>
      </c>
      <c r="H90" s="867"/>
      <c r="I90" s="464"/>
      <c r="J90" s="207" t="str">
        <f>FHD_NOTE_P_52</f>
        <v/>
      </c>
      <c r="K90" s="635"/>
      <c r="L90" s="636"/>
      <c r="M90" s="636"/>
      <c r="N90" s="805"/>
      <c r="O90" s="805"/>
      <c r="P90" s="805"/>
      <c r="Q90" s="805"/>
      <c r="R90" s="636"/>
      <c r="S90" s="805"/>
      <c r="T90" s="805"/>
      <c r="U90" s="637"/>
      <c r="V90" s="805"/>
      <c r="W90" s="805"/>
      <c r="X90" s="805"/>
      <c r="Y90" s="805"/>
      <c r="Z90" s="805"/>
      <c r="AA90" s="638"/>
      <c r="AB90" s="638"/>
      <c r="AC90" s="638"/>
      <c r="AD90" s="638"/>
      <c r="AE90" s="638"/>
    </row>
    <row r="91" spans="1:31" s="5115" customFormat="1" ht="18.75" customHeight="1">
      <c r="A91" s="5460" t="s">
        <v>671</v>
      </c>
      <c r="C91" s="636"/>
      <c r="D91" s="634"/>
      <c r="E91" s="453" t="str">
        <f>FHD_NUM_P_53</f>
        <v>7</v>
      </c>
      <c r="F91" s="1741" t="str">
        <f>FHD_P_53</f>
        <v>Объём приобретаемой холодной воды, используемой для горячего водоснабжения</v>
      </c>
      <c r="G91" s="1742" t="s">
        <v>670</v>
      </c>
      <c r="H91" s="868"/>
      <c r="I91" s="484"/>
      <c r="J91" s="207" t="str">
        <f>FHD_NOTE_P_53</f>
        <v/>
      </c>
      <c r="K91" s="635"/>
      <c r="L91" s="636"/>
      <c r="M91" s="636"/>
      <c r="R91" s="636"/>
      <c r="U91" s="637"/>
      <c r="AA91" s="638"/>
      <c r="AB91" s="638"/>
      <c r="AC91" s="638"/>
      <c r="AD91" s="638"/>
      <c r="AE91" s="638"/>
    </row>
    <row r="92" spans="1:31" s="5115" customFormat="1" ht="18.75" customHeight="1">
      <c r="A92" s="5460"/>
      <c r="C92" s="636"/>
      <c r="D92" s="634"/>
      <c r="E92" s="453" t="str">
        <f>FHD_NUM_P_54</f>
        <v>8</v>
      </c>
      <c r="F92" s="1741" t="str">
        <f>FHD_P_54</f>
        <v>Объём холодной воды, получаемой с применением собственных источников водозабора (скважин) и используемой для горячего водоснабжения</v>
      </c>
      <c r="G92" s="1742" t="s">
        <v>670</v>
      </c>
      <c r="H92" s="868"/>
      <c r="I92" s="484"/>
      <c r="J92" s="207" t="str">
        <f>FHD_NOTE_P_54</f>
        <v/>
      </c>
      <c r="K92" s="635"/>
      <c r="L92" s="636"/>
      <c r="M92" s="636"/>
      <c r="R92" s="636"/>
      <c r="U92" s="637"/>
      <c r="AA92" s="638"/>
      <c r="AB92" s="638"/>
      <c r="AC92" s="638"/>
      <c r="AD92" s="638"/>
      <c r="AE92" s="638"/>
    </row>
    <row r="93" spans="1:31" s="5115" customFormat="1" ht="18.75" customHeight="1">
      <c r="A93" s="5460"/>
      <c r="C93" s="636"/>
      <c r="D93" s="639"/>
      <c r="E93" s="453" t="str">
        <f>FHD_NUM_P_55</f>
        <v>9</v>
      </c>
      <c r="F93" s="1741" t="str">
        <f>FHD_P_55</f>
        <v>Объём приобретаемой тепловой энергии (мощности), используемой для горячего водоснабжения</v>
      </c>
      <c r="G93" s="1745"/>
      <c r="H93" s="868"/>
      <c r="I93" s="484"/>
      <c r="J93" s="207" t="str">
        <f>FHD_NOTE_P_55</f>
        <v/>
      </c>
      <c r="K93" s="635"/>
      <c r="L93" s="636"/>
      <c r="M93" s="636"/>
      <c r="R93" s="636"/>
      <c r="U93" s="637"/>
      <c r="AA93" s="638"/>
      <c r="AB93" s="638"/>
      <c r="AC93" s="638"/>
      <c r="AD93" s="638"/>
      <c r="AE93" s="638"/>
    </row>
    <row r="94" spans="1:31" s="5115" customFormat="1" ht="18.75" customHeight="1">
      <c r="A94" s="5460"/>
      <c r="C94" s="636"/>
      <c r="D94" s="634"/>
      <c r="E94" s="453" t="str">
        <f>FHD_NUM_P_56</f>
        <v>10</v>
      </c>
      <c r="F94" s="1741" t="str">
        <f>FHD_P_56</f>
        <v>Объём тепловой энергии, производимой с применением собственных источников и используемой для горячего водоснабжения</v>
      </c>
      <c r="G94" s="1742" t="s">
        <v>672</v>
      </c>
      <c r="H94" s="868"/>
      <c r="I94" s="484"/>
      <c r="J94" s="207" t="str">
        <f>FHD_NOTE_P_56</f>
        <v/>
      </c>
      <c r="K94" s="635"/>
      <c r="L94" s="636"/>
      <c r="M94" s="636"/>
      <c r="R94" s="636"/>
      <c r="U94" s="637"/>
      <c r="AA94" s="638"/>
      <c r="AB94" s="638"/>
      <c r="AC94" s="638"/>
      <c r="AD94" s="638"/>
      <c r="AE94" s="638"/>
    </row>
    <row r="95" spans="1:31" s="5116" customFormat="1" ht="18.75" customHeight="1">
      <c r="A95" s="5460"/>
      <c r="B95" s="805"/>
      <c r="C95" s="636"/>
      <c r="D95" s="634"/>
      <c r="E95" s="453" t="str">
        <f>FHD_NUM_P_57</f>
        <v>11</v>
      </c>
      <c r="F95" s="1741" t="str">
        <f>FHD_P_57</f>
        <v>Потери горячей воды в сетях (процентов)</v>
      </c>
      <c r="G95" s="1742" t="s">
        <v>647</v>
      </c>
      <c r="H95" s="867"/>
      <c r="I95" s="464"/>
      <c r="J95" s="207" t="str">
        <f>FHD_NOTE_P_57</f>
        <v/>
      </c>
      <c r="K95" s="635"/>
      <c r="L95" s="636"/>
      <c r="M95" s="636"/>
      <c r="N95" s="805"/>
      <c r="O95" s="805"/>
      <c r="P95" s="805"/>
      <c r="Q95" s="805"/>
      <c r="R95" s="636"/>
      <c r="S95" s="805"/>
      <c r="T95" s="805"/>
      <c r="U95" s="637"/>
      <c r="V95" s="805"/>
      <c r="W95" s="805"/>
      <c r="X95" s="805"/>
      <c r="Y95" s="805"/>
      <c r="Z95" s="805"/>
      <c r="AA95" s="638"/>
      <c r="AB95" s="638"/>
      <c r="AC95" s="638"/>
      <c r="AD95" s="638"/>
      <c r="AE95" s="638"/>
    </row>
    <row r="96" spans="1:31" ht="18.75" hidden="1" customHeight="1">
      <c r="A96" s="5460" t="s">
        <v>673</v>
      </c>
      <c r="D96" s="1502"/>
      <c r="E96" s="453" t="str">
        <f>FHD_NUM_P_58</f>
        <v/>
      </c>
      <c r="F96" s="1741" t="str">
        <f>FHD_P_58</f>
        <v/>
      </c>
      <c r="G96" s="1742" t="s">
        <v>670</v>
      </c>
      <c r="H96" s="868"/>
      <c r="I96" s="484"/>
      <c r="J96" s="207" t="str">
        <f>FHD_NOTE_P_58</f>
        <v/>
      </c>
      <c r="K96" s="450"/>
    </row>
    <row r="97" spans="1:31" ht="18.75" hidden="1" customHeight="1">
      <c r="A97" s="5460"/>
      <c r="D97" s="1502"/>
      <c r="E97" s="453" t="str">
        <f>FHD_NUM_P_59</f>
        <v/>
      </c>
      <c r="F97" s="1741" t="str">
        <f>FHD_P_59</f>
        <v/>
      </c>
      <c r="G97" s="1742" t="s">
        <v>670</v>
      </c>
      <c r="H97" s="868"/>
      <c r="I97" s="484"/>
      <c r="J97" s="207" t="str">
        <f>FHD_NOTE_P_59</f>
        <v/>
      </c>
      <c r="K97" s="450"/>
    </row>
    <row r="98" spans="1:31" ht="18.75" hidden="1" customHeight="1">
      <c r="A98" s="5460"/>
      <c r="D98" s="1502"/>
      <c r="E98" s="453" t="str">
        <f>FHD_NUM_P_60</f>
        <v/>
      </c>
      <c r="F98" s="1741" t="str">
        <f>FHD_P_60</f>
        <v/>
      </c>
      <c r="G98" s="1742" t="s">
        <v>670</v>
      </c>
      <c r="H98" s="868"/>
      <c r="I98" s="484"/>
      <c r="J98" s="207" t="str">
        <f>FHD_NOTE_P_60</f>
        <v/>
      </c>
      <c r="K98" s="450"/>
    </row>
    <row r="99" spans="1:31" s="4854" customFormat="1" ht="18.75" hidden="1" customHeight="1">
      <c r="A99" s="5460" t="s">
        <v>674</v>
      </c>
      <c r="C99" s="1500"/>
      <c r="D99" s="1502"/>
      <c r="E99" s="453" t="str">
        <f>FHD_NUM_P_61</f>
        <v/>
      </c>
      <c r="F99" s="1741" t="str">
        <f>FHD_P_61</f>
        <v/>
      </c>
      <c r="G99" s="1739" t="s">
        <v>645</v>
      </c>
      <c r="H99" s="870"/>
      <c r="I99" s="642"/>
      <c r="J99" s="207" t="str">
        <f>FHD_NOTE_P_61</f>
        <v/>
      </c>
      <c r="K99" s="450"/>
      <c r="L99" s="1500"/>
      <c r="M99" s="1500"/>
      <c r="R99" s="1500"/>
      <c r="U99" s="451"/>
      <c r="AA99" s="1496"/>
      <c r="AB99" s="1496"/>
      <c r="AC99" s="1496"/>
      <c r="AD99" s="1496"/>
      <c r="AE99" s="1496"/>
    </row>
    <row r="100" spans="1:31" s="4867" customFormat="1" ht="0.75" hidden="1" customHeight="1">
      <c r="A100" s="5460"/>
      <c r="D100" s="455"/>
      <c r="E100" s="902" t="str">
        <f>E99&amp;".0"</f>
        <v>.0</v>
      </c>
      <c r="F100" s="884"/>
      <c r="G100" s="885"/>
      <c r="H100" s="882"/>
      <c r="I100" s="882"/>
      <c r="J100" s="886"/>
    </row>
    <row r="101" spans="1:31" ht="15" hidden="1" customHeight="1">
      <c r="A101" s="5460"/>
      <c r="D101" s="1497"/>
      <c r="E101" s="862"/>
      <c r="F101" s="863" t="s">
        <v>675</v>
      </c>
      <c r="G101" s="479"/>
      <c r="H101" s="480"/>
      <c r="I101" s="480"/>
      <c r="J101" s="893" t="s">
        <v>676</v>
      </c>
      <c r="K101" s="450"/>
    </row>
    <row r="102" spans="1:31" s="4854" customFormat="1" ht="18.75" hidden="1" customHeight="1">
      <c r="A102" s="5460"/>
      <c r="C102" s="1500"/>
      <c r="D102" s="1502"/>
      <c r="E102" s="453" t="str">
        <f>FHD_NUM_P_62</f>
        <v/>
      </c>
      <c r="F102" s="1741" t="str">
        <f>FHD_P_62</f>
        <v/>
      </c>
      <c r="G102" s="1738" t="s">
        <v>645</v>
      </c>
      <c r="H102" s="464"/>
      <c r="I102" s="464"/>
      <c r="J102" s="207" t="str">
        <f>FHD_NOTE_P_62</f>
        <v/>
      </c>
      <c r="K102" s="450"/>
      <c r="L102" s="1500"/>
      <c r="M102" s="1500"/>
      <c r="R102" s="1500"/>
      <c r="U102" s="451"/>
      <c r="AA102" s="1496"/>
      <c r="AB102" s="1496"/>
      <c r="AC102" s="1496"/>
      <c r="AD102" s="1496"/>
      <c r="AE102" s="1496"/>
    </row>
    <row r="103" spans="1:31" s="4854" customFormat="1" ht="18.75" hidden="1" customHeight="1">
      <c r="A103" s="5460"/>
      <c r="C103" s="1500"/>
      <c r="D103" s="1502"/>
      <c r="E103" s="453" t="str">
        <f>FHD_NUM_P_63</f>
        <v/>
      </c>
      <c r="F103" s="1741" t="str">
        <f>FHD_P_63</f>
        <v/>
      </c>
      <c r="G103" s="1738" t="s">
        <v>672</v>
      </c>
      <c r="H103" s="484"/>
      <c r="I103" s="484"/>
      <c r="J103" s="207" t="str">
        <f>FHD_NOTE_P_63</f>
        <v/>
      </c>
      <c r="K103" s="450"/>
      <c r="L103" s="1500"/>
      <c r="M103" s="1500"/>
      <c r="R103" s="1500"/>
      <c r="U103" s="451"/>
      <c r="AA103" s="1496"/>
      <c r="AB103" s="1496"/>
      <c r="AC103" s="1496"/>
      <c r="AD103" s="1496"/>
      <c r="AE103" s="1496"/>
    </row>
    <row r="104" spans="1:31" s="4854" customFormat="1" ht="18.75" hidden="1" customHeight="1">
      <c r="A104" s="5460"/>
      <c r="C104" s="1500" t="s">
        <v>677</v>
      </c>
      <c r="D104" s="1502"/>
      <c r="E104" s="453" t="str">
        <f>FHD_NUM_P_64</f>
        <v/>
      </c>
      <c r="F104" s="1741" t="str">
        <f>FHD_P_64</f>
        <v/>
      </c>
      <c r="G104" s="1738" t="s">
        <v>672</v>
      </c>
      <c r="H104" s="452"/>
      <c r="I104" s="452"/>
      <c r="J104" s="207" t="str">
        <f>FHD_NOTE_P_64</f>
        <v/>
      </c>
      <c r="K104" s="450"/>
      <c r="L104" s="1500"/>
      <c r="M104" s="1500"/>
      <c r="R104" s="1500"/>
      <c r="U104" s="451"/>
      <c r="AA104" s="1496"/>
      <c r="AB104" s="1496"/>
      <c r="AC104" s="1496"/>
      <c r="AD104" s="1496"/>
      <c r="AE104" s="1496"/>
    </row>
    <row r="105" spans="1:31" s="4854" customFormat="1" ht="18.75" hidden="1" customHeight="1">
      <c r="A105" s="5460"/>
      <c r="C105" s="1500"/>
      <c r="D105" s="1502"/>
      <c r="E105" s="453" t="str">
        <f>FHD_NUM_P_65</f>
        <v/>
      </c>
      <c r="F105" s="1741" t="str">
        <f>FHD_P_65</f>
        <v/>
      </c>
      <c r="G105" s="1738" t="s">
        <v>672</v>
      </c>
      <c r="H105" s="484"/>
      <c r="I105" s="484"/>
      <c r="J105" s="207" t="str">
        <f>FHD_NOTE_P_65</f>
        <v/>
      </c>
      <c r="K105" s="450"/>
      <c r="L105" s="1500"/>
      <c r="M105" s="1500"/>
      <c r="R105" s="1500"/>
      <c r="U105" s="451"/>
      <c r="AA105" s="1496"/>
      <c r="AB105" s="1496"/>
      <c r="AC105" s="1496"/>
      <c r="AD105" s="1496"/>
      <c r="AE105" s="1496"/>
    </row>
    <row r="106" spans="1:31" s="4854" customFormat="1" ht="18.75" hidden="1" customHeight="1">
      <c r="A106" s="5460"/>
      <c r="C106" s="1500"/>
      <c r="D106" s="1502"/>
      <c r="E106" s="453" t="str">
        <f>FHD_NUM_P_66</f>
        <v/>
      </c>
      <c r="F106" s="1396" t="str">
        <f>FHD_P_66</f>
        <v/>
      </c>
      <c r="G106" s="1738" t="s">
        <v>672</v>
      </c>
      <c r="H106" s="484"/>
      <c r="I106" s="484"/>
      <c r="J106" s="207" t="str">
        <f>FHD_NOTE_P_66</f>
        <v/>
      </c>
      <c r="K106" s="450"/>
      <c r="L106" s="1500"/>
      <c r="M106" s="1500"/>
      <c r="R106" s="1500"/>
      <c r="U106" s="451"/>
      <c r="AA106" s="1496"/>
      <c r="AB106" s="1496"/>
      <c r="AC106" s="1496"/>
      <c r="AD106" s="1496"/>
      <c r="AE106" s="1496"/>
    </row>
    <row r="107" spans="1:31" s="4854" customFormat="1" ht="18.75" hidden="1" customHeight="1">
      <c r="A107" s="5460"/>
      <c r="C107" s="1500"/>
      <c r="D107" s="1502"/>
      <c r="E107" s="453" t="str">
        <f>FHD_NUM_P_67</f>
        <v/>
      </c>
      <c r="F107" s="1514" t="str">
        <f>FHD_P_67</f>
        <v/>
      </c>
      <c r="G107" s="1738" t="s">
        <v>672</v>
      </c>
      <c r="H107" s="484"/>
      <c r="I107" s="484"/>
      <c r="J107" s="207" t="str">
        <f>FHD_NOTE_P_67</f>
        <v/>
      </c>
      <c r="K107" s="450"/>
      <c r="L107" s="1500"/>
      <c r="M107" s="1500"/>
      <c r="R107" s="1500"/>
      <c r="U107" s="451"/>
      <c r="AA107" s="1496"/>
      <c r="AB107" s="1496"/>
      <c r="AC107" s="1496"/>
      <c r="AD107" s="1496"/>
      <c r="AE107" s="1496"/>
    </row>
    <row r="108" spans="1:31" s="4854" customFormat="1" ht="18.75" hidden="1" customHeight="1">
      <c r="A108" s="5460"/>
      <c r="C108" s="1500"/>
      <c r="D108" s="1502"/>
      <c r="E108" s="453" t="str">
        <f>FHD_NUM_P_68</f>
        <v/>
      </c>
      <c r="F108" s="1396" t="str">
        <f>FHD_P_68</f>
        <v/>
      </c>
      <c r="G108" s="1738" t="s">
        <v>672</v>
      </c>
      <c r="H108" s="484"/>
      <c r="I108" s="484"/>
      <c r="J108" s="207" t="str">
        <f>FHD_NOTE_P_68</f>
        <v/>
      </c>
      <c r="K108" s="450"/>
      <c r="L108" s="1500"/>
      <c r="M108" s="1500"/>
      <c r="R108" s="1500"/>
      <c r="U108" s="451"/>
      <c r="AA108" s="1496"/>
      <c r="AB108" s="1496"/>
      <c r="AC108" s="1496"/>
      <c r="AD108" s="1496"/>
      <c r="AE108" s="1496"/>
    </row>
    <row r="109" spans="1:31" s="4854" customFormat="1" ht="18.75" hidden="1" customHeight="1">
      <c r="A109" s="5460"/>
      <c r="C109" s="1500"/>
      <c r="D109" s="1502"/>
      <c r="E109" s="453" t="str">
        <f>FHD_NUM_P_69</f>
        <v/>
      </c>
      <c r="F109" s="1396" t="str">
        <f>FHD_P_69</f>
        <v/>
      </c>
      <c r="G109" s="1738" t="s">
        <v>672</v>
      </c>
      <c r="H109" s="484"/>
      <c r="I109" s="484"/>
      <c r="J109" s="207" t="str">
        <f>FHD_NOTE_P_69</f>
        <v/>
      </c>
      <c r="K109" s="450"/>
      <c r="L109" s="1500"/>
      <c r="M109" s="1500"/>
      <c r="R109" s="1500"/>
      <c r="U109" s="451"/>
      <c r="AA109" s="1496"/>
      <c r="AB109" s="1496"/>
      <c r="AC109" s="1496"/>
      <c r="AD109" s="1496"/>
      <c r="AE109" s="1496"/>
    </row>
    <row r="110" spans="1:31" s="4854" customFormat="1" ht="22.5" hidden="1" customHeight="1">
      <c r="A110" s="5460"/>
      <c r="C110" s="1500"/>
      <c r="D110" s="1502"/>
      <c r="E110" s="453" t="str">
        <f>FHD_NUM_P_70</f>
        <v/>
      </c>
      <c r="F110" s="1741" t="str">
        <f>FHD_P_70</f>
        <v/>
      </c>
      <c r="G110" s="1738" t="s">
        <v>678</v>
      </c>
      <c r="H110" s="464"/>
      <c r="I110" s="464"/>
      <c r="J110" s="207" t="str">
        <f>FHD_NOTE_P_70</f>
        <v/>
      </c>
      <c r="K110" s="450"/>
      <c r="L110" s="1500"/>
      <c r="M110" s="1500"/>
      <c r="R110" s="1500"/>
      <c r="U110" s="451"/>
      <c r="AA110" s="1496"/>
      <c r="AB110" s="1496"/>
      <c r="AC110" s="1496"/>
      <c r="AD110" s="1496"/>
      <c r="AE110" s="1496"/>
    </row>
    <row r="111" spans="1:31" s="4854" customFormat="1" ht="22.5" hidden="1" customHeight="1">
      <c r="A111" s="5460"/>
      <c r="C111" s="1500"/>
      <c r="D111" s="1502"/>
      <c r="E111" s="453" t="str">
        <f>FHD_NUM_P_71</f>
        <v/>
      </c>
      <c r="F111" s="1741" t="str">
        <f>FHD_P_71</f>
        <v/>
      </c>
      <c r="G111" s="1738" t="s">
        <v>678</v>
      </c>
      <c r="H111" s="464"/>
      <c r="I111" s="464"/>
      <c r="J111" s="207" t="str">
        <f>FHD_NOTE_P_71</f>
        <v/>
      </c>
      <c r="K111" s="450"/>
      <c r="L111" s="1500"/>
      <c r="M111" s="1500"/>
      <c r="R111" s="1500"/>
      <c r="U111" s="451"/>
      <c r="AA111" s="1496"/>
      <c r="AB111" s="1496"/>
      <c r="AC111" s="1496"/>
      <c r="AD111" s="1496"/>
      <c r="AE111" s="1496"/>
    </row>
    <row r="112" spans="1:31" ht="18.75" customHeight="1">
      <c r="D112" s="1502"/>
      <c r="E112" s="453" t="str">
        <f>FHD_NUM_P_72</f>
        <v>12</v>
      </c>
      <c r="F112" s="1741" t="str">
        <f>FHD_P_72</f>
        <v>Среднесписочная численность основного производственного персонала</v>
      </c>
      <c r="G112" s="1737" t="s">
        <v>679</v>
      </c>
      <c r="H112" s="484"/>
      <c r="I112" s="484"/>
      <c r="J112" s="207" t="str">
        <f>FHD_NOTE_P_72</f>
        <v/>
      </c>
      <c r="K112" s="450"/>
    </row>
    <row r="113" spans="1:31" ht="18.75" hidden="1" customHeight="1">
      <c r="A113" s="879" t="s">
        <v>680</v>
      </c>
      <c r="D113" s="1502"/>
      <c r="E113" s="453" t="str">
        <f>FHD_NUM_P_73</f>
        <v/>
      </c>
      <c r="F113" s="1741" t="str">
        <f>FHD_P_73</f>
        <v/>
      </c>
      <c r="G113" s="861" t="s">
        <v>679</v>
      </c>
      <c r="H113" s="859"/>
      <c r="I113" s="859"/>
      <c r="J113" s="207" t="str">
        <f>FHD_NOTE_P_73</f>
        <v/>
      </c>
      <c r="K113" s="450"/>
    </row>
    <row r="114" spans="1:31" ht="33.75" customHeight="1">
      <c r="A114" s="879" t="s">
        <v>681</v>
      </c>
      <c r="D114" s="1502"/>
      <c r="E114" s="453" t="str">
        <f>FHD_NUM_P_74</f>
        <v>13</v>
      </c>
      <c r="F114" s="1741" t="str">
        <f>FHD_P_74</f>
        <v>Удельный расход электрической энергии на подачу воды в сеть</v>
      </c>
      <c r="G114" s="1737" t="s">
        <v>682</v>
      </c>
      <c r="H114" s="484"/>
      <c r="I114" s="484"/>
      <c r="J114" s="207" t="str">
        <f>FHD_NOTE_P_74</f>
        <v/>
      </c>
      <c r="K114" s="450"/>
    </row>
    <row r="115" spans="1:31" s="5116" customFormat="1" ht="18.75" hidden="1" customHeight="1">
      <c r="A115" s="5460" t="s">
        <v>683</v>
      </c>
      <c r="B115" s="805"/>
      <c r="C115" s="636"/>
      <c r="D115" s="634"/>
      <c r="E115" s="453" t="str">
        <f>FHD_NUM_P_75</f>
        <v/>
      </c>
      <c r="F115" s="1741" t="str">
        <f>FHD_P_75</f>
        <v/>
      </c>
      <c r="G115" s="1737" t="s">
        <v>647</v>
      </c>
      <c r="H115" s="464"/>
      <c r="I115" s="464"/>
      <c r="J115" s="207" t="str">
        <f>FHD_NOTE_P_75</f>
        <v/>
      </c>
      <c r="K115" s="635"/>
      <c r="L115" s="636"/>
      <c r="M115" s="636"/>
      <c r="N115" s="805"/>
      <c r="O115" s="805"/>
      <c r="P115" s="805"/>
      <c r="Q115" s="805"/>
      <c r="R115" s="636"/>
      <c r="S115" s="805"/>
      <c r="T115" s="805"/>
      <c r="U115" s="637"/>
      <c r="V115" s="805"/>
      <c r="W115" s="805"/>
      <c r="X115" s="805"/>
      <c r="Y115" s="805"/>
      <c r="Z115" s="805"/>
      <c r="AA115" s="638"/>
      <c r="AB115" s="638"/>
      <c r="AC115" s="638"/>
      <c r="AD115" s="638"/>
      <c r="AE115" s="638"/>
    </row>
    <row r="116" spans="1:31" s="5116" customFormat="1" ht="18.75" hidden="1" customHeight="1">
      <c r="A116" s="5460"/>
      <c r="B116" s="805"/>
      <c r="C116" s="636"/>
      <c r="D116" s="634"/>
      <c r="E116" s="453" t="str">
        <f>FHD_NUM_P_76</f>
        <v/>
      </c>
      <c r="F116" s="1741" t="str">
        <f>FHD_P_76</f>
        <v/>
      </c>
      <c r="G116" s="1737" t="s">
        <v>647</v>
      </c>
      <c r="H116" s="464"/>
      <c r="I116" s="464"/>
      <c r="J116" s="207" t="str">
        <f>FHD_NOTE_P_76</f>
        <v/>
      </c>
      <c r="K116" s="635"/>
      <c r="L116" s="636"/>
      <c r="M116" s="636"/>
      <c r="N116" s="805"/>
      <c r="O116" s="805"/>
      <c r="P116" s="805"/>
      <c r="Q116" s="805"/>
      <c r="R116" s="636"/>
      <c r="S116" s="805"/>
      <c r="T116" s="805"/>
      <c r="U116" s="637"/>
      <c r="V116" s="805"/>
      <c r="W116" s="805"/>
      <c r="X116" s="805"/>
      <c r="Y116" s="805"/>
      <c r="Z116" s="805"/>
      <c r="AA116" s="638"/>
      <c r="AB116" s="638"/>
      <c r="AC116" s="638"/>
      <c r="AD116" s="638"/>
      <c r="AE116" s="638"/>
    </row>
    <row r="117" spans="1:31" s="5116" customFormat="1" ht="18.75" hidden="1" customHeight="1">
      <c r="A117" s="5460"/>
      <c r="B117" s="805"/>
      <c r="C117" s="636"/>
      <c r="D117" s="634"/>
      <c r="E117" s="453" t="str">
        <f>FHD_NUM_P_77</f>
        <v/>
      </c>
      <c r="F117" s="1741" t="str">
        <f>FHD_P_77</f>
        <v/>
      </c>
      <c r="G117" s="1737" t="s">
        <v>647</v>
      </c>
      <c r="H117" s="464"/>
      <c r="I117" s="464"/>
      <c r="J117" s="207" t="str">
        <f>FHD_NOTE_P_77</f>
        <v/>
      </c>
      <c r="K117" s="635"/>
      <c r="L117" s="636"/>
      <c r="M117" s="636"/>
      <c r="N117" s="805"/>
      <c r="O117" s="805"/>
      <c r="P117" s="805"/>
      <c r="Q117" s="805"/>
      <c r="R117" s="636"/>
      <c r="S117" s="805"/>
      <c r="T117" s="805"/>
      <c r="U117" s="637"/>
      <c r="V117" s="805"/>
      <c r="W117" s="805"/>
      <c r="X117" s="805"/>
      <c r="Y117" s="805"/>
      <c r="Z117" s="805"/>
      <c r="AA117" s="638"/>
      <c r="AB117" s="638"/>
      <c r="AC117" s="638"/>
      <c r="AD117" s="638"/>
      <c r="AE117" s="638"/>
    </row>
    <row r="118" spans="1:31" s="4867" customFormat="1" ht="0.75" hidden="1" customHeight="1">
      <c r="A118" s="5460"/>
      <c r="D118" s="455"/>
      <c r="E118" s="902" t="str">
        <f>E117&amp;".0"</f>
        <v>.0</v>
      </c>
      <c r="F118" s="887"/>
      <c r="G118" s="1515"/>
      <c r="H118" s="882"/>
      <c r="I118" s="882"/>
      <c r="J118" s="886"/>
    </row>
    <row r="119" spans="1:31" s="5116" customFormat="1" ht="15" hidden="1" customHeight="1">
      <c r="A119" s="5460"/>
      <c r="B119" s="805"/>
      <c r="C119" s="636"/>
      <c r="D119" s="646"/>
      <c r="E119" s="864"/>
      <c r="F119" s="865" t="s">
        <v>684</v>
      </c>
      <c r="G119" s="647"/>
      <c r="H119" s="648"/>
      <c r="I119" s="648"/>
      <c r="J119" s="892" t="s">
        <v>685</v>
      </c>
      <c r="K119" s="635"/>
      <c r="L119" s="636"/>
      <c r="M119" s="636"/>
      <c r="N119" s="805"/>
      <c r="O119" s="805"/>
      <c r="P119" s="805"/>
      <c r="Q119" s="805"/>
      <c r="R119" s="636"/>
      <c r="S119" s="805"/>
      <c r="T119" s="805"/>
      <c r="U119" s="637"/>
      <c r="V119" s="805"/>
      <c r="W119" s="805"/>
      <c r="X119" s="805"/>
      <c r="Y119" s="805"/>
      <c r="Z119" s="805"/>
      <c r="AA119" s="638"/>
      <c r="AB119" s="638"/>
      <c r="AC119" s="638"/>
      <c r="AD119" s="638"/>
      <c r="AE119" s="638"/>
    </row>
    <row r="120" spans="1:31" ht="22.5" hidden="1" customHeight="1">
      <c r="A120" s="5460" t="s">
        <v>686</v>
      </c>
      <c r="D120" s="1502"/>
      <c r="E120" s="453" t="str">
        <f>FHD_NUM_P_78</f>
        <v/>
      </c>
      <c r="F120" s="1741" t="str">
        <f>FHD_P_78</f>
        <v/>
      </c>
      <c r="G120" s="1738" t="s">
        <v>649</v>
      </c>
      <c r="H120" s="484"/>
      <c r="I120" s="484"/>
      <c r="J120" s="207" t="str">
        <f>FHD_NOTE_P_78</f>
        <v/>
      </c>
      <c r="K120" s="450"/>
    </row>
    <row r="121" spans="1:31" s="4867" customFormat="1" ht="0.75" hidden="1" customHeight="1">
      <c r="A121" s="5460"/>
      <c r="D121" s="455"/>
      <c r="E121" s="902" t="str">
        <f>E120&amp;".0"</f>
        <v>.0</v>
      </c>
      <c r="F121" s="887"/>
      <c r="G121" s="1515"/>
      <c r="H121" s="882"/>
      <c r="I121" s="882"/>
      <c r="J121" s="886"/>
    </row>
    <row r="122" spans="1:31" ht="15" hidden="1" customHeight="1">
      <c r="A122" s="5460"/>
      <c r="D122" s="1497"/>
      <c r="E122" s="477"/>
      <c r="F122" s="1050" t="s">
        <v>675</v>
      </c>
      <c r="G122" s="479"/>
      <c r="H122" s="480"/>
      <c r="I122" s="480"/>
      <c r="J122" s="893" t="s">
        <v>687</v>
      </c>
      <c r="K122" s="450"/>
    </row>
    <row r="123" spans="1:31" ht="22.5" hidden="1" customHeight="1">
      <c r="A123" s="5460"/>
      <c r="D123" s="1502"/>
      <c r="E123" s="453" t="str">
        <f>FHD_NUM_P_79</f>
        <v/>
      </c>
      <c r="F123" s="1741" t="str">
        <f>FHD_P_79</f>
        <v/>
      </c>
      <c r="G123" s="1739" t="s">
        <v>651</v>
      </c>
      <c r="H123" s="484"/>
      <c r="I123" s="484"/>
      <c r="J123" s="207" t="str">
        <f>FHD_NOTE_P_79</f>
        <v/>
      </c>
      <c r="K123" s="450"/>
    </row>
    <row r="124" spans="1:31" s="4867" customFormat="1" ht="0.75" hidden="1" customHeight="1">
      <c r="A124" s="5460"/>
      <c r="D124" s="455"/>
      <c r="E124" s="902" t="str">
        <f>E123&amp;".0"</f>
        <v>.0</v>
      </c>
      <c r="F124" s="888"/>
      <c r="G124" s="1515"/>
      <c r="H124" s="882"/>
      <c r="I124" s="882"/>
      <c r="J124" s="886"/>
    </row>
    <row r="125" spans="1:31" ht="15" hidden="1" customHeight="1">
      <c r="A125" s="5460"/>
      <c r="D125" s="1497"/>
      <c r="E125" s="477"/>
      <c r="F125" s="1050" t="s">
        <v>675</v>
      </c>
      <c r="G125" s="479"/>
      <c r="H125" s="480"/>
      <c r="I125" s="480"/>
      <c r="J125" s="893" t="s">
        <v>688</v>
      </c>
      <c r="K125" s="450"/>
    </row>
    <row r="126" spans="1:31" ht="22.5" hidden="1" customHeight="1">
      <c r="A126" s="5460"/>
      <c r="D126" s="1502"/>
      <c r="E126" s="453" t="str">
        <f>FHD_NUM_P_80</f>
        <v/>
      </c>
      <c r="F126" s="1741" t="str">
        <f>FHD_P_80</f>
        <v/>
      </c>
      <c r="G126" s="1739" t="s">
        <v>689</v>
      </c>
      <c r="H126" s="464"/>
      <c r="I126" s="464"/>
      <c r="J126" s="207" t="str">
        <f>FHD_NOTE_P_80</f>
        <v/>
      </c>
      <c r="K126" s="450"/>
    </row>
    <row r="127" spans="1:31" ht="18.75" hidden="1" customHeight="1">
      <c r="A127" s="5460"/>
      <c r="D127" s="1502"/>
      <c r="E127" s="453" t="str">
        <f>FHD_NUM_P_81</f>
        <v/>
      </c>
      <c r="F127" s="1741" t="str">
        <f>FHD_P_81</f>
        <v/>
      </c>
      <c r="G127" s="1739" t="s">
        <v>690</v>
      </c>
      <c r="H127" s="464"/>
      <c r="I127" s="464"/>
      <c r="J127" s="207" t="str">
        <f>FHD_NOTE_P_81</f>
        <v/>
      </c>
      <c r="K127" s="450"/>
    </row>
    <row r="128" spans="1:31" ht="18.75" hidden="1" customHeight="1">
      <c r="A128" s="5460"/>
      <c r="C128" s="1500" t="s">
        <v>677</v>
      </c>
      <c r="D128" s="1502"/>
      <c r="E128" s="453" t="str">
        <f>FHD_NUM_P_82</f>
        <v/>
      </c>
      <c r="F128" s="1741" t="str">
        <f>FHD_P_82</f>
        <v/>
      </c>
      <c r="G128" s="1739" t="s">
        <v>384</v>
      </c>
      <c r="H128" s="317"/>
      <c r="I128" s="317"/>
      <c r="J128" s="207" t="str">
        <f>FHD_NOTE_P_82</f>
        <v/>
      </c>
      <c r="K128" s="450"/>
    </row>
    <row r="129" spans="1:31" ht="18.75" hidden="1" customHeight="1">
      <c r="A129" s="5460"/>
      <c r="C129" s="1500" t="s">
        <v>677</v>
      </c>
      <c r="D129" s="1502"/>
      <c r="E129" s="453" t="str">
        <f>FHD_NUM_P_83</f>
        <v/>
      </c>
      <c r="F129" s="1396" t="str">
        <f>FHD_P_83</f>
        <v/>
      </c>
      <c r="G129" s="1739" t="s">
        <v>384</v>
      </c>
      <c r="H129" s="317"/>
      <c r="I129" s="317"/>
      <c r="J129" s="207" t="str">
        <f>FHD_NOTE_P_83</f>
        <v/>
      </c>
      <c r="K129" s="450"/>
    </row>
    <row r="130" spans="1:31" ht="18.75" hidden="1" customHeight="1">
      <c r="A130" s="5460"/>
      <c r="C130" s="1500" t="s">
        <v>677</v>
      </c>
      <c r="D130" s="1502"/>
      <c r="E130" s="453" t="str">
        <f>FHD_NUM_P_84</f>
        <v/>
      </c>
      <c r="F130" s="1396" t="str">
        <f>FHD_P_84</f>
        <v/>
      </c>
      <c r="G130" s="1739" t="s">
        <v>384</v>
      </c>
      <c r="H130" s="317"/>
      <c r="I130" s="317"/>
      <c r="J130" s="207" t="str">
        <f>FHD_NOTE_P_84</f>
        <v/>
      </c>
      <c r="K130" s="450"/>
    </row>
    <row r="131" spans="1:31" ht="11.25" customHeight="1">
      <c r="D131" s="1502"/>
    </row>
    <row r="132" spans="1:31" ht="12.75" customHeight="1">
      <c r="D132" s="1502"/>
      <c r="E132" s="254"/>
      <c r="F132" s="285"/>
      <c r="G132" s="285"/>
      <c r="H132" s="285"/>
      <c r="I132" s="1511"/>
      <c r="J132" s="488"/>
    </row>
    <row r="133" spans="1:31" s="4866" customFormat="1" ht="11.25" customHeight="1">
      <c r="A133" s="877"/>
      <c r="B133" s="1500"/>
      <c r="C133" s="1500"/>
      <c r="D133" s="268"/>
      <c r="F133" s="1504"/>
      <c r="G133" s="1495"/>
      <c r="H133" s="1495"/>
      <c r="I133" s="1495"/>
      <c r="K133" s="1042"/>
      <c r="L133" s="1500"/>
      <c r="M133" s="1500"/>
      <c r="N133" s="1042"/>
      <c r="O133" s="1042"/>
      <c r="P133" s="1042"/>
      <c r="Q133" s="1042"/>
      <c r="R133" s="1500"/>
      <c r="S133" s="1042"/>
      <c r="T133" s="1042"/>
      <c r="U133" s="451"/>
      <c r="V133" s="1042"/>
      <c r="W133" s="1042"/>
      <c r="X133" s="1042"/>
      <c r="Y133" s="1042"/>
      <c r="Z133" s="1042"/>
      <c r="AA133" s="1496"/>
      <c r="AB133" s="473"/>
      <c r="AC133" s="473"/>
      <c r="AD133" s="473"/>
      <c r="AE133" s="473"/>
    </row>
    <row r="134" spans="1:31" s="4866" customFormat="1" ht="11.25" customHeight="1">
      <c r="A134" s="877"/>
      <c r="B134" s="1500"/>
      <c r="C134" s="1500"/>
      <c r="D134" s="268"/>
      <c r="K134" s="1042"/>
      <c r="L134" s="1500"/>
      <c r="M134" s="1500"/>
      <c r="N134" s="1042"/>
      <c r="O134" s="1042"/>
      <c r="P134" s="1042"/>
      <c r="Q134" s="1042"/>
      <c r="R134" s="1500"/>
      <c r="S134" s="1042"/>
      <c r="T134" s="1042"/>
      <c r="U134" s="451"/>
      <c r="V134" s="1042"/>
      <c r="W134" s="1042"/>
      <c r="X134" s="1042"/>
      <c r="Y134" s="1042"/>
      <c r="Z134" s="1042"/>
      <c r="AA134" s="1496"/>
      <c r="AB134" s="473"/>
      <c r="AC134" s="473"/>
      <c r="AD134" s="473"/>
      <c r="AE134" s="473"/>
    </row>
    <row r="135" spans="1:31" s="4866" customFormat="1" ht="11.25" customHeight="1">
      <c r="A135" s="877"/>
      <c r="B135" s="1500"/>
      <c r="C135" s="1500"/>
      <c r="D135" s="268"/>
      <c r="K135" s="1042"/>
      <c r="L135" s="1500"/>
      <c r="M135" s="1500"/>
      <c r="N135" s="1042"/>
      <c r="O135" s="1042"/>
      <c r="P135" s="1042"/>
      <c r="Q135" s="1042"/>
      <c r="R135" s="1500"/>
      <c r="S135" s="1042"/>
      <c r="T135" s="1042"/>
      <c r="U135" s="451"/>
      <c r="V135" s="1042"/>
      <c r="W135" s="1042"/>
      <c r="X135" s="1042"/>
      <c r="Y135" s="1042"/>
      <c r="Z135" s="1042"/>
      <c r="AA135" s="1496"/>
      <c r="AB135" s="473"/>
      <c r="AC135" s="473"/>
      <c r="AD135" s="473"/>
      <c r="AE135" s="473"/>
    </row>
    <row r="136" spans="1:31" s="4866" customFormat="1" ht="11.25" customHeight="1">
      <c r="A136" s="877"/>
      <c r="B136" s="1500"/>
      <c r="C136" s="1500"/>
      <c r="D136" s="268"/>
      <c r="H136" s="473" t="str">
        <f>IF(H30-H31&lt;&gt;H72,"WARNING","")</f>
        <v/>
      </c>
      <c r="I136" s="473" t="str">
        <f>IF(I30-I31&lt;&gt;I72,"WARNING","")</f>
        <v/>
      </c>
      <c r="K136" s="1042"/>
      <c r="L136" s="1500"/>
      <c r="M136" s="1500"/>
      <c r="N136" s="1042"/>
      <c r="O136" s="1042"/>
      <c r="P136" s="1042"/>
      <c r="Q136" s="1042"/>
      <c r="R136" s="1500"/>
      <c r="S136" s="1042"/>
      <c r="T136" s="1042"/>
      <c r="U136" s="451"/>
      <c r="V136" s="1042"/>
      <c r="W136" s="1042"/>
      <c r="X136" s="1042"/>
      <c r="Y136" s="1042"/>
      <c r="Z136" s="1042"/>
      <c r="AA136" s="1496"/>
      <c r="AB136" s="473"/>
      <c r="AC136" s="473"/>
      <c r="AD136" s="473"/>
      <c r="AE136" s="473"/>
    </row>
    <row r="137" spans="1:31" s="4866" customFormat="1" ht="11.25" customHeight="1">
      <c r="A137" s="877"/>
      <c r="B137" s="1500"/>
      <c r="C137" s="1500"/>
      <c r="D137" s="268"/>
      <c r="K137" s="1042"/>
      <c r="L137" s="1500"/>
      <c r="M137" s="1500"/>
      <c r="N137" s="1042"/>
      <c r="O137" s="1042"/>
      <c r="P137" s="1042"/>
      <c r="Q137" s="1042"/>
      <c r="R137" s="1500"/>
      <c r="S137" s="1042"/>
      <c r="T137" s="1042"/>
      <c r="U137" s="451"/>
      <c r="V137" s="1042"/>
      <c r="W137" s="1042"/>
      <c r="X137" s="1042"/>
      <c r="Y137" s="1042"/>
      <c r="Z137" s="1042"/>
      <c r="AA137" s="1496"/>
      <c r="AB137" s="473"/>
      <c r="AC137" s="473"/>
      <c r="AD137" s="473"/>
      <c r="AE137" s="473"/>
    </row>
    <row r="138" spans="1:31" s="4866" customFormat="1" ht="11.25" customHeight="1">
      <c r="A138" s="877"/>
      <c r="B138" s="1500"/>
      <c r="C138" s="1500"/>
      <c r="D138" s="268"/>
      <c r="K138" s="1042"/>
      <c r="L138" s="1500"/>
      <c r="M138" s="1500"/>
      <c r="N138" s="1042"/>
      <c r="O138" s="1042"/>
      <c r="P138" s="1042"/>
      <c r="Q138" s="1042"/>
      <c r="R138" s="1500"/>
      <c r="S138" s="1042"/>
      <c r="T138" s="1042"/>
      <c r="U138" s="451"/>
      <c r="V138" s="1042"/>
      <c r="W138" s="1042"/>
      <c r="X138" s="1042"/>
      <c r="Y138" s="1042"/>
      <c r="Z138" s="1042"/>
      <c r="AA138" s="1496"/>
      <c r="AB138" s="473"/>
      <c r="AC138" s="473"/>
      <c r="AD138" s="473"/>
      <c r="AE138" s="473"/>
    </row>
    <row r="139" spans="1:31" s="4866" customFormat="1" ht="11.25" customHeight="1">
      <c r="A139" s="877"/>
      <c r="B139" s="1500"/>
      <c r="C139" s="1500"/>
      <c r="D139" s="268"/>
      <c r="K139" s="1042"/>
      <c r="L139" s="1500"/>
      <c r="M139" s="1500"/>
      <c r="N139" s="1042"/>
      <c r="O139" s="1042"/>
      <c r="P139" s="1042"/>
      <c r="Q139" s="1042"/>
      <c r="R139" s="1500"/>
      <c r="S139" s="1042"/>
      <c r="T139" s="1042"/>
      <c r="U139" s="451"/>
      <c r="V139" s="1042"/>
      <c r="W139" s="1042"/>
      <c r="X139" s="1042"/>
      <c r="Y139" s="1042"/>
      <c r="Z139" s="1042"/>
      <c r="AA139" s="1496"/>
      <c r="AB139" s="473"/>
      <c r="AC139" s="473"/>
      <c r="AD139" s="473"/>
      <c r="AE139" s="473"/>
    </row>
    <row r="140" spans="1:31" s="4866" customFormat="1" ht="11.25" customHeight="1">
      <c r="A140" s="877"/>
      <c r="B140" s="1500"/>
      <c r="C140" s="1500"/>
      <c r="D140" s="268"/>
      <c r="K140" s="1042"/>
      <c r="L140" s="1500"/>
      <c r="M140" s="1500"/>
      <c r="N140" s="1042"/>
      <c r="O140" s="1042"/>
      <c r="P140" s="1042"/>
      <c r="Q140" s="1042"/>
      <c r="R140" s="1500"/>
      <c r="S140" s="1042"/>
      <c r="T140" s="1042"/>
      <c r="U140" s="451"/>
      <c r="V140" s="1042"/>
      <c r="W140" s="1042"/>
      <c r="X140" s="1042"/>
      <c r="Y140" s="1042"/>
      <c r="Z140" s="1042"/>
      <c r="AA140" s="1496"/>
      <c r="AB140" s="473"/>
      <c r="AC140" s="473"/>
      <c r="AD140" s="473"/>
      <c r="AE140" s="473"/>
    </row>
    <row r="141" spans="1:31" s="4866" customFormat="1" ht="11.25" customHeight="1">
      <c r="A141" s="877"/>
      <c r="B141" s="1500"/>
      <c r="C141" s="1500"/>
      <c r="D141" s="268"/>
      <c r="K141" s="1042"/>
      <c r="L141" s="1500"/>
      <c r="M141" s="1500"/>
      <c r="N141" s="1042"/>
      <c r="O141" s="1042"/>
      <c r="P141" s="1042"/>
      <c r="Q141" s="1042"/>
      <c r="R141" s="1500"/>
      <c r="S141" s="1042"/>
      <c r="T141" s="1042"/>
      <c r="U141" s="451"/>
      <c r="V141" s="1042"/>
      <c r="W141" s="1042"/>
      <c r="X141" s="1042"/>
      <c r="Y141" s="1042"/>
      <c r="Z141" s="1042"/>
      <c r="AA141" s="1496"/>
      <c r="AB141" s="473"/>
      <c r="AC141" s="473"/>
      <c r="AD141" s="473"/>
      <c r="AE141" s="473"/>
    </row>
    <row r="142" spans="1:31" s="4866" customFormat="1" ht="11.25" customHeight="1">
      <c r="A142" s="877"/>
      <c r="B142" s="1500"/>
      <c r="C142" s="1500"/>
      <c r="D142" s="268"/>
      <c r="K142" s="1042"/>
      <c r="L142" s="1500"/>
      <c r="M142" s="1500"/>
      <c r="N142" s="1042"/>
      <c r="O142" s="1042"/>
      <c r="P142" s="1042"/>
      <c r="Q142" s="1042"/>
      <c r="R142" s="1500"/>
      <c r="S142" s="1042"/>
      <c r="T142" s="1042"/>
      <c r="U142" s="451"/>
      <c r="V142" s="1042"/>
      <c r="W142" s="1042"/>
      <c r="X142" s="1042"/>
      <c r="Y142" s="1042"/>
      <c r="Z142" s="1042"/>
      <c r="AA142" s="1496"/>
      <c r="AB142" s="473"/>
      <c r="AC142" s="473"/>
      <c r="AD142" s="473"/>
      <c r="AE142" s="473"/>
    </row>
    <row r="143" spans="1:31" s="4866" customFormat="1" ht="11.25" customHeight="1">
      <c r="A143" s="877"/>
      <c r="B143" s="1500"/>
      <c r="C143" s="1500"/>
      <c r="D143" s="268"/>
      <c r="K143" s="1042"/>
      <c r="L143" s="1500"/>
      <c r="M143" s="1500"/>
      <c r="N143" s="1042"/>
      <c r="O143" s="1042"/>
      <c r="P143" s="1042"/>
      <c r="Q143" s="1042"/>
      <c r="R143" s="1500"/>
      <c r="S143" s="1042"/>
      <c r="T143" s="1042"/>
      <c r="U143" s="451"/>
      <c r="V143" s="1042"/>
      <c r="W143" s="1042"/>
      <c r="X143" s="1042"/>
      <c r="Y143" s="1042"/>
      <c r="Z143" s="1042"/>
      <c r="AA143" s="1496"/>
      <c r="AB143" s="473"/>
      <c r="AC143" s="473"/>
      <c r="AD143" s="473"/>
      <c r="AE143" s="473"/>
    </row>
    <row r="144" spans="1:31" s="4866" customFormat="1" ht="11.25" customHeight="1">
      <c r="A144" s="877"/>
      <c r="B144" s="1500"/>
      <c r="C144" s="1500"/>
      <c r="D144" s="268"/>
      <c r="K144" s="1042"/>
      <c r="L144" s="1500"/>
      <c r="M144" s="1500"/>
      <c r="N144" s="1042"/>
      <c r="O144" s="1042"/>
      <c r="P144" s="1042"/>
      <c r="Q144" s="1042"/>
      <c r="R144" s="1500"/>
      <c r="S144" s="1042"/>
      <c r="T144" s="1042"/>
      <c r="U144" s="451"/>
      <c r="V144" s="1042"/>
      <c r="W144" s="1042"/>
      <c r="X144" s="1042"/>
      <c r="Y144" s="1042"/>
      <c r="Z144" s="1042"/>
      <c r="AA144" s="1496"/>
      <c r="AB144" s="473"/>
      <c r="AC144" s="473"/>
      <c r="AD144" s="473"/>
      <c r="AE144" s="473"/>
    </row>
    <row r="145" spans="1:31" s="4866" customFormat="1" ht="11.25" customHeight="1">
      <c r="A145" s="877"/>
      <c r="B145" s="1500"/>
      <c r="C145" s="1500"/>
      <c r="D145" s="268"/>
      <c r="K145" s="1042"/>
      <c r="L145" s="1500"/>
      <c r="M145" s="1500"/>
      <c r="N145" s="1042"/>
      <c r="O145" s="1042"/>
      <c r="P145" s="1042"/>
      <c r="Q145" s="1042"/>
      <c r="R145" s="1500"/>
      <c r="S145" s="1042"/>
      <c r="T145" s="1042"/>
      <c r="U145" s="451"/>
      <c r="V145" s="1042"/>
      <c r="W145" s="1042"/>
      <c r="X145" s="1042"/>
      <c r="Y145" s="1042"/>
      <c r="Z145" s="1042"/>
      <c r="AA145" s="1496"/>
      <c r="AB145" s="473"/>
      <c r="AC145" s="473"/>
      <c r="AD145" s="473"/>
      <c r="AE145" s="473"/>
    </row>
    <row r="146" spans="1:31" s="4866" customFormat="1" ht="11.25" customHeight="1">
      <c r="A146" s="877"/>
      <c r="B146" s="1500"/>
      <c r="C146" s="1500"/>
      <c r="D146" s="268"/>
      <c r="K146" s="1042"/>
      <c r="L146" s="1500"/>
      <c r="M146" s="1500"/>
      <c r="N146" s="1042"/>
      <c r="O146" s="1042"/>
      <c r="P146" s="1042"/>
      <c r="Q146" s="1042"/>
      <c r="R146" s="1500"/>
      <c r="S146" s="1042"/>
      <c r="T146" s="1042"/>
      <c r="U146" s="451"/>
      <c r="V146" s="1042"/>
      <c r="W146" s="1042"/>
      <c r="X146" s="1042"/>
      <c r="Y146" s="1042"/>
      <c r="Z146" s="1042"/>
      <c r="AA146" s="1496"/>
      <c r="AB146" s="473"/>
      <c r="AC146" s="473"/>
      <c r="AD146" s="473"/>
      <c r="AE146" s="473"/>
    </row>
    <row r="147" spans="1:31" s="4866" customFormat="1" ht="11.25" customHeight="1">
      <c r="A147" s="877"/>
      <c r="B147" s="1500"/>
      <c r="C147" s="1500"/>
      <c r="D147" s="268"/>
      <c r="K147" s="1042"/>
      <c r="L147" s="1500"/>
      <c r="M147" s="1500"/>
      <c r="N147" s="1042"/>
      <c r="O147" s="1042"/>
      <c r="P147" s="1042"/>
      <c r="Q147" s="1042"/>
      <c r="R147" s="1500"/>
      <c r="S147" s="1042"/>
      <c r="T147" s="1042"/>
      <c r="U147" s="451"/>
      <c r="V147" s="1042"/>
      <c r="W147" s="1042"/>
      <c r="X147" s="1042"/>
      <c r="Y147" s="1042"/>
      <c r="Z147" s="1042"/>
      <c r="AA147" s="1496"/>
      <c r="AB147" s="473"/>
      <c r="AC147" s="473"/>
      <c r="AD147" s="473"/>
      <c r="AE147" s="473"/>
    </row>
    <row r="148" spans="1:31" s="4866" customFormat="1" ht="11.25" customHeight="1">
      <c r="A148" s="877"/>
      <c r="B148" s="1500"/>
      <c r="C148" s="1500"/>
      <c r="D148" s="268"/>
      <c r="K148" s="1042"/>
      <c r="L148" s="1500"/>
      <c r="M148" s="1500"/>
      <c r="N148" s="1042"/>
      <c r="O148" s="1042"/>
      <c r="P148" s="1042"/>
      <c r="Q148" s="1042"/>
      <c r="R148" s="1500"/>
      <c r="S148" s="1042"/>
      <c r="T148" s="1042"/>
      <c r="U148" s="451"/>
      <c r="V148" s="1042"/>
      <c r="W148" s="1042"/>
      <c r="X148" s="1042"/>
      <c r="Y148" s="1042"/>
      <c r="Z148" s="1042"/>
      <c r="AA148" s="1496"/>
      <c r="AB148" s="473"/>
      <c r="AC148" s="473"/>
      <c r="AD148" s="473"/>
      <c r="AE148" s="473"/>
    </row>
    <row r="149" spans="1:31" s="4866" customFormat="1" ht="11.25" customHeight="1">
      <c r="A149" s="877"/>
      <c r="B149" s="1500"/>
      <c r="C149" s="1500"/>
      <c r="D149" s="268"/>
      <c r="K149" s="1042"/>
      <c r="L149" s="1500"/>
      <c r="M149" s="1500"/>
      <c r="N149" s="1042"/>
      <c r="O149" s="1042"/>
      <c r="P149" s="1042"/>
      <c r="Q149" s="1042"/>
      <c r="R149" s="1500"/>
      <c r="S149" s="1042"/>
      <c r="T149" s="1042"/>
      <c r="U149" s="451"/>
      <c r="V149" s="1042"/>
      <c r="W149" s="1042"/>
      <c r="X149" s="1042"/>
      <c r="Y149" s="1042"/>
      <c r="Z149" s="1042"/>
      <c r="AA149" s="1496"/>
      <c r="AB149" s="473"/>
      <c r="AC149" s="473"/>
      <c r="AD149" s="473"/>
      <c r="AE149" s="473"/>
    </row>
    <row r="150" spans="1:31" s="4866" customFormat="1" ht="11.25" customHeight="1">
      <c r="A150" s="877"/>
      <c r="B150" s="1500"/>
      <c r="C150" s="1500"/>
      <c r="D150" s="268"/>
      <c r="K150" s="1042"/>
      <c r="L150" s="1500"/>
      <c r="M150" s="1500"/>
      <c r="N150" s="1042"/>
      <c r="O150" s="1042"/>
      <c r="P150" s="1042"/>
      <c r="Q150" s="1042"/>
      <c r="R150" s="1500"/>
      <c r="S150" s="1042"/>
      <c r="T150" s="1042"/>
      <c r="U150" s="451"/>
      <c r="V150" s="1042"/>
      <c r="W150" s="1042"/>
      <c r="X150" s="1042"/>
      <c r="Y150" s="1042"/>
      <c r="Z150" s="1042"/>
      <c r="AA150" s="1496"/>
      <c r="AB150" s="473"/>
      <c r="AC150" s="473"/>
      <c r="AD150" s="473"/>
      <c r="AE150" s="473"/>
    </row>
    <row r="151" spans="1:31" s="4866" customFormat="1" ht="11.25" customHeight="1">
      <c r="A151" s="877"/>
      <c r="B151" s="1500"/>
      <c r="C151" s="1500"/>
      <c r="D151" s="268"/>
      <c r="K151" s="1042"/>
      <c r="L151" s="1500"/>
      <c r="M151" s="1500"/>
      <c r="N151" s="1042"/>
      <c r="O151" s="1042"/>
      <c r="P151" s="1042"/>
      <c r="Q151" s="1042"/>
      <c r="R151" s="1500"/>
      <c r="S151" s="1042"/>
      <c r="T151" s="1042"/>
      <c r="U151" s="451"/>
      <c r="V151" s="1042"/>
      <c r="W151" s="1042"/>
      <c r="X151" s="1042"/>
      <c r="Y151" s="1042"/>
      <c r="Z151" s="1042"/>
      <c r="AA151" s="1496"/>
      <c r="AB151" s="473"/>
      <c r="AC151" s="473"/>
      <c r="AD151" s="473"/>
      <c r="AE151" s="473"/>
    </row>
    <row r="152" spans="1:31" s="4866" customFormat="1" ht="11.25" customHeight="1">
      <c r="A152" s="877"/>
      <c r="B152" s="1500"/>
      <c r="C152" s="1500"/>
      <c r="D152" s="268"/>
      <c r="K152" s="1042"/>
      <c r="L152" s="1500"/>
      <c r="M152" s="1500"/>
      <c r="N152" s="1042"/>
      <c r="O152" s="1042"/>
      <c r="P152" s="1042"/>
      <c r="Q152" s="1042"/>
      <c r="R152" s="1500"/>
      <c r="S152" s="1042"/>
      <c r="T152" s="1042"/>
      <c r="U152" s="451"/>
      <c r="V152" s="1042"/>
      <c r="W152" s="1042"/>
      <c r="X152" s="1042"/>
      <c r="Y152" s="1042"/>
      <c r="Z152" s="1042"/>
      <c r="AA152" s="1496"/>
      <c r="AB152" s="473"/>
      <c r="AC152" s="473"/>
      <c r="AD152" s="473"/>
      <c r="AE152" s="473"/>
    </row>
    <row r="153" spans="1:31" s="4866" customFormat="1" ht="11.25" customHeight="1">
      <c r="A153" s="877"/>
      <c r="B153" s="1500"/>
      <c r="C153" s="1500"/>
      <c r="D153" s="268"/>
      <c r="K153" s="1042"/>
      <c r="L153" s="1500"/>
      <c r="M153" s="1500"/>
      <c r="N153" s="1042"/>
      <c r="O153" s="1042"/>
      <c r="P153" s="1042"/>
      <c r="Q153" s="1042"/>
      <c r="R153" s="1500"/>
      <c r="S153" s="1042"/>
      <c r="T153" s="1042"/>
      <c r="U153" s="451"/>
      <c r="V153" s="1042"/>
      <c r="W153" s="1042"/>
      <c r="X153" s="1042"/>
      <c r="Y153" s="1042"/>
      <c r="Z153" s="1042"/>
      <c r="AA153" s="1496"/>
      <c r="AB153" s="473"/>
      <c r="AC153" s="473"/>
      <c r="AD153" s="473"/>
      <c r="AE153" s="473"/>
    </row>
    <row r="154" spans="1:31" s="4866" customFormat="1" ht="11.25" customHeight="1">
      <c r="A154" s="877"/>
      <c r="B154" s="1500"/>
      <c r="C154" s="1500"/>
      <c r="D154" s="268"/>
      <c r="K154" s="1042"/>
      <c r="L154" s="1500"/>
      <c r="M154" s="1500"/>
      <c r="N154" s="1042"/>
      <c r="O154" s="1042"/>
      <c r="P154" s="1042"/>
      <c r="Q154" s="1042"/>
      <c r="R154" s="1500"/>
      <c r="S154" s="1042"/>
      <c r="T154" s="1042"/>
      <c r="U154" s="451"/>
      <c r="V154" s="1042"/>
      <c r="W154" s="1042"/>
      <c r="X154" s="1042"/>
      <c r="Y154" s="1042"/>
      <c r="Z154" s="1042"/>
      <c r="AA154" s="1496"/>
      <c r="AB154" s="473"/>
      <c r="AC154" s="473"/>
      <c r="AD154" s="473"/>
      <c r="AE154" s="473"/>
    </row>
    <row r="155" spans="1:31" s="4866" customFormat="1" ht="11.25" customHeight="1">
      <c r="A155" s="877"/>
      <c r="B155" s="1500"/>
      <c r="C155" s="1500"/>
      <c r="D155" s="268"/>
      <c r="K155" s="1042"/>
      <c r="L155" s="1500"/>
      <c r="M155" s="1500"/>
      <c r="N155" s="1042"/>
      <c r="O155" s="1042"/>
      <c r="P155" s="1042"/>
      <c r="Q155" s="1042"/>
      <c r="R155" s="1500"/>
      <c r="S155" s="1042"/>
      <c r="T155" s="1042"/>
      <c r="U155" s="451"/>
      <c r="V155" s="1042"/>
      <c r="W155" s="1042"/>
      <c r="X155" s="1042"/>
      <c r="Y155" s="1042"/>
      <c r="Z155" s="1042"/>
      <c r="AA155" s="1496"/>
      <c r="AB155" s="473"/>
      <c r="AC155" s="473"/>
      <c r="AD155" s="473"/>
      <c r="AE155" s="473"/>
    </row>
    <row r="156" spans="1:31" s="4866" customFormat="1" ht="11.25" customHeight="1">
      <c r="A156" s="877"/>
      <c r="B156" s="1500"/>
      <c r="C156" s="1500"/>
      <c r="D156" s="268"/>
      <c r="K156" s="1042"/>
      <c r="L156" s="1500"/>
      <c r="M156" s="1500"/>
      <c r="N156" s="1042"/>
      <c r="O156" s="1042"/>
      <c r="P156" s="1042"/>
      <c r="Q156" s="1042"/>
      <c r="R156" s="1500"/>
      <c r="S156" s="1042"/>
      <c r="T156" s="1042"/>
      <c r="U156" s="451"/>
      <c r="V156" s="1042"/>
      <c r="W156" s="1042"/>
      <c r="X156" s="1042"/>
      <c r="Y156" s="1042"/>
      <c r="Z156" s="1042"/>
      <c r="AA156" s="1496"/>
      <c r="AB156" s="473"/>
      <c r="AC156" s="473"/>
      <c r="AD156" s="473"/>
      <c r="AE156" s="473"/>
    </row>
    <row r="157" spans="1:31" s="4866" customFormat="1" ht="11.25" customHeight="1">
      <c r="A157" s="877"/>
      <c r="B157" s="1500"/>
      <c r="C157" s="1500"/>
      <c r="D157" s="268"/>
      <c r="K157" s="1042"/>
      <c r="L157" s="1500"/>
      <c r="M157" s="1500"/>
      <c r="N157" s="1042"/>
      <c r="O157" s="1042"/>
      <c r="P157" s="1042"/>
      <c r="Q157" s="1042"/>
      <c r="R157" s="1500"/>
      <c r="S157" s="1042"/>
      <c r="T157" s="1042"/>
      <c r="U157" s="451"/>
      <c r="V157" s="1042"/>
      <c r="W157" s="1042"/>
      <c r="X157" s="1042"/>
      <c r="Y157" s="1042"/>
      <c r="Z157" s="1042"/>
      <c r="AA157" s="1496"/>
      <c r="AB157" s="473"/>
      <c r="AC157" s="473"/>
      <c r="AD157" s="473"/>
      <c r="AE157" s="473"/>
    </row>
    <row r="158" spans="1:31" s="4866" customFormat="1" ht="11.25" customHeight="1">
      <c r="A158" s="877"/>
      <c r="B158" s="1500"/>
      <c r="C158" s="1500"/>
      <c r="D158" s="268"/>
      <c r="K158" s="1042"/>
      <c r="L158" s="1500"/>
      <c r="M158" s="1500"/>
      <c r="N158" s="1042"/>
      <c r="O158" s="1042"/>
      <c r="P158" s="1042"/>
      <c r="Q158" s="1042"/>
      <c r="R158" s="1500"/>
      <c r="S158" s="1042"/>
      <c r="T158" s="1042"/>
      <c r="U158" s="451"/>
      <c r="V158" s="1042"/>
      <c r="W158" s="1042"/>
      <c r="X158" s="1042"/>
      <c r="Y158" s="1042"/>
      <c r="Z158" s="1042"/>
      <c r="AA158" s="1496"/>
      <c r="AB158" s="473"/>
      <c r="AC158" s="473"/>
      <c r="AD158" s="473"/>
      <c r="AE158" s="473"/>
    </row>
    <row r="159" spans="1:31" s="4866" customFormat="1" ht="11.25" customHeight="1">
      <c r="A159" s="877"/>
      <c r="B159" s="1500"/>
      <c r="C159" s="1500"/>
      <c r="D159" s="268"/>
      <c r="K159" s="1042"/>
      <c r="L159" s="1500"/>
      <c r="M159" s="1500"/>
      <c r="N159" s="1042"/>
      <c r="O159" s="1042"/>
      <c r="P159" s="1042"/>
      <c r="Q159" s="1042"/>
      <c r="R159" s="1500"/>
      <c r="S159" s="1042"/>
      <c r="T159" s="1042"/>
      <c r="U159" s="451"/>
      <c r="V159" s="1042"/>
      <c r="W159" s="1042"/>
      <c r="X159" s="1042"/>
      <c r="Y159" s="1042"/>
      <c r="Z159" s="1042"/>
      <c r="AA159" s="1496"/>
      <c r="AB159" s="473"/>
      <c r="AC159" s="473"/>
      <c r="AD159" s="473"/>
      <c r="AE159" s="473"/>
    </row>
    <row r="160" spans="1:31" s="4866" customFormat="1" ht="11.25" customHeight="1">
      <c r="A160" s="877"/>
      <c r="B160" s="1500"/>
      <c r="C160" s="1500"/>
      <c r="D160" s="268"/>
      <c r="K160" s="1042"/>
      <c r="L160" s="1500"/>
      <c r="M160" s="1500"/>
      <c r="N160" s="1042"/>
      <c r="O160" s="1042"/>
      <c r="P160" s="1042"/>
      <c r="Q160" s="1042"/>
      <c r="R160" s="1500"/>
      <c r="S160" s="1042"/>
      <c r="T160" s="1042"/>
      <c r="U160" s="451"/>
      <c r="V160" s="1042"/>
      <c r="W160" s="1042"/>
      <c r="X160" s="1042"/>
      <c r="Y160" s="1042"/>
      <c r="Z160" s="1042"/>
      <c r="AA160" s="1496"/>
      <c r="AB160" s="473"/>
      <c r="AC160" s="473"/>
      <c r="AD160" s="473"/>
      <c r="AE160" s="473"/>
    </row>
    <row r="161" spans="1:31" s="4866" customFormat="1" ht="11.25" customHeight="1">
      <c r="A161" s="877"/>
      <c r="B161" s="1500"/>
      <c r="C161" s="1500"/>
      <c r="D161" s="268"/>
      <c r="K161" s="1042"/>
      <c r="L161" s="1500"/>
      <c r="M161" s="1500"/>
      <c r="N161" s="1042"/>
      <c r="O161" s="1042"/>
      <c r="P161" s="1042"/>
      <c r="Q161" s="1042"/>
      <c r="R161" s="1500"/>
      <c r="S161" s="1042"/>
      <c r="T161" s="1042"/>
      <c r="U161" s="451"/>
      <c r="V161" s="1042"/>
      <c r="W161" s="1042"/>
      <c r="X161" s="1042"/>
      <c r="Y161" s="1042"/>
      <c r="Z161" s="1042"/>
      <c r="AA161" s="1496"/>
      <c r="AB161" s="473"/>
      <c r="AC161" s="473"/>
      <c r="AD161" s="473"/>
      <c r="AE161" s="473"/>
    </row>
    <row r="162" spans="1:31" s="4866" customFormat="1" ht="11.25" customHeight="1">
      <c r="A162" s="877"/>
      <c r="B162" s="1500"/>
      <c r="C162" s="1500"/>
      <c r="D162" s="268"/>
      <c r="K162" s="1042"/>
      <c r="L162" s="1500"/>
      <c r="M162" s="1500"/>
      <c r="N162" s="1042"/>
      <c r="O162" s="1042"/>
      <c r="P162" s="1042"/>
      <c r="Q162" s="1042"/>
      <c r="R162" s="1500"/>
      <c r="S162" s="1042"/>
      <c r="T162" s="1042"/>
      <c r="U162" s="451"/>
      <c r="V162" s="1042"/>
      <c r="W162" s="1042"/>
      <c r="X162" s="1042"/>
      <c r="Y162" s="1042"/>
      <c r="Z162" s="1042"/>
      <c r="AA162" s="1496"/>
      <c r="AB162" s="473"/>
      <c r="AC162" s="473"/>
      <c r="AD162" s="473"/>
      <c r="AE162" s="473"/>
    </row>
    <row r="163" spans="1:31" s="4866" customFormat="1" ht="11.25" customHeight="1">
      <c r="A163" s="877"/>
      <c r="B163" s="1500"/>
      <c r="C163" s="1500"/>
      <c r="D163" s="268"/>
      <c r="K163" s="1042"/>
      <c r="L163" s="1500"/>
      <c r="M163" s="1500"/>
      <c r="N163" s="1042"/>
      <c r="O163" s="1042"/>
      <c r="P163" s="1042"/>
      <c r="Q163" s="1042"/>
      <c r="R163" s="1500"/>
      <c r="S163" s="1042"/>
      <c r="T163" s="1042"/>
      <c r="U163" s="451"/>
      <c r="V163" s="1042"/>
      <c r="W163" s="1042"/>
      <c r="X163" s="1042"/>
      <c r="Y163" s="1042"/>
      <c r="Z163" s="1042"/>
      <c r="AA163" s="1496"/>
      <c r="AB163" s="473"/>
      <c r="AC163" s="473"/>
      <c r="AD163" s="473"/>
      <c r="AE163" s="473"/>
    </row>
    <row r="164" spans="1:31" s="4866" customFormat="1" ht="11.25" customHeight="1">
      <c r="A164" s="877"/>
      <c r="B164" s="1500"/>
      <c r="C164" s="1500"/>
      <c r="D164" s="268"/>
      <c r="K164" s="1042"/>
      <c r="L164" s="1500"/>
      <c r="M164" s="1500"/>
      <c r="N164" s="1042"/>
      <c r="O164" s="1042"/>
      <c r="P164" s="1042"/>
      <c r="Q164" s="1042"/>
      <c r="R164" s="1500"/>
      <c r="S164" s="1042"/>
      <c r="T164" s="1042"/>
      <c r="U164" s="451"/>
      <c r="V164" s="1042"/>
      <c r="W164" s="1042"/>
      <c r="X164" s="1042"/>
      <c r="Y164" s="1042"/>
      <c r="Z164" s="1042"/>
      <c r="AA164" s="1496"/>
      <c r="AB164" s="473"/>
      <c r="AC164" s="473"/>
      <c r="AD164" s="473"/>
      <c r="AE164" s="473"/>
    </row>
    <row r="165" spans="1:31" s="4866" customFormat="1" ht="11.25" customHeight="1">
      <c r="A165" s="877"/>
      <c r="B165" s="1500"/>
      <c r="C165" s="1500"/>
      <c r="D165" s="268"/>
      <c r="K165" s="1042"/>
      <c r="L165" s="1500"/>
      <c r="M165" s="1500"/>
      <c r="N165" s="1042"/>
      <c r="O165" s="1042"/>
      <c r="P165" s="1042"/>
      <c r="Q165" s="1042"/>
      <c r="R165" s="1500"/>
      <c r="S165" s="1042"/>
      <c r="T165" s="1042"/>
      <c r="U165" s="451"/>
      <c r="V165" s="1042"/>
      <c r="W165" s="1042"/>
      <c r="X165" s="1042"/>
      <c r="Y165" s="1042"/>
      <c r="Z165" s="1042"/>
      <c r="AA165" s="1496"/>
      <c r="AB165" s="473"/>
      <c r="AC165" s="473"/>
      <c r="AD165" s="473"/>
      <c r="AE165" s="473"/>
    </row>
    <row r="166" spans="1:31" s="4866" customFormat="1" ht="11.25" customHeight="1">
      <c r="A166" s="877"/>
      <c r="B166" s="1500"/>
      <c r="C166" s="1500"/>
      <c r="D166" s="268"/>
      <c r="K166" s="1042"/>
      <c r="L166" s="1500"/>
      <c r="M166" s="1500"/>
      <c r="N166" s="1042"/>
      <c r="O166" s="1042"/>
      <c r="P166" s="1042"/>
      <c r="Q166" s="1042"/>
      <c r="R166" s="1500"/>
      <c r="S166" s="1042"/>
      <c r="T166" s="1042"/>
      <c r="U166" s="451"/>
      <c r="V166" s="1042"/>
      <c r="W166" s="1042"/>
      <c r="X166" s="1042"/>
      <c r="Y166" s="1042"/>
      <c r="Z166" s="1042"/>
      <c r="AA166" s="1496"/>
      <c r="AB166" s="473"/>
      <c r="AC166" s="473"/>
      <c r="AD166" s="473"/>
      <c r="AE166" s="473"/>
    </row>
    <row r="167" spans="1:31" s="4866" customFormat="1" ht="11.25" customHeight="1">
      <c r="A167" s="877"/>
      <c r="B167" s="1500"/>
      <c r="C167" s="1500"/>
      <c r="D167" s="268"/>
      <c r="K167" s="1042"/>
      <c r="L167" s="1500"/>
      <c r="M167" s="1500"/>
      <c r="N167" s="1042"/>
      <c r="O167" s="1042"/>
      <c r="P167" s="1042"/>
      <c r="Q167" s="1042"/>
      <c r="R167" s="1500"/>
      <c r="S167" s="1042"/>
      <c r="T167" s="1042"/>
      <c r="U167" s="451"/>
      <c r="V167" s="1042"/>
      <c r="W167" s="1042"/>
      <c r="X167" s="1042"/>
      <c r="Y167" s="1042"/>
      <c r="Z167" s="1042"/>
      <c r="AA167" s="1496"/>
      <c r="AB167" s="473"/>
      <c r="AC167" s="473"/>
      <c r="AD167" s="473"/>
      <c r="AE167" s="473"/>
    </row>
    <row r="168" spans="1:31" s="4866" customFormat="1" ht="11.25" customHeight="1">
      <c r="A168" s="877"/>
      <c r="B168" s="1500"/>
      <c r="C168" s="1500"/>
      <c r="D168" s="268"/>
      <c r="K168" s="1042"/>
      <c r="L168" s="1500"/>
      <c r="M168" s="1500"/>
      <c r="N168" s="1042"/>
      <c r="O168" s="1042"/>
      <c r="P168" s="1042"/>
      <c r="Q168" s="1042"/>
      <c r="R168" s="1500"/>
      <c r="S168" s="1042"/>
      <c r="T168" s="1042"/>
      <c r="U168" s="451"/>
      <c r="V168" s="1042"/>
      <c r="W168" s="1042"/>
      <c r="X168" s="1042"/>
      <c r="Y168" s="1042"/>
      <c r="Z168" s="1042"/>
      <c r="AA168" s="1496"/>
      <c r="AB168" s="473"/>
      <c r="AC168" s="473"/>
      <c r="AD168" s="473"/>
      <c r="AE168" s="473"/>
    </row>
    <row r="169" spans="1:31" s="4866" customFormat="1" ht="11.25" customHeight="1">
      <c r="A169" s="877"/>
      <c r="B169" s="1500"/>
      <c r="C169" s="1500"/>
      <c r="D169" s="268"/>
      <c r="K169" s="1042"/>
      <c r="L169" s="1500"/>
      <c r="M169" s="1500"/>
      <c r="N169" s="1042"/>
      <c r="O169" s="1042"/>
      <c r="P169" s="1042"/>
      <c r="Q169" s="1042"/>
      <c r="R169" s="1500"/>
      <c r="S169" s="1042"/>
      <c r="T169" s="1042"/>
      <c r="U169" s="451"/>
      <c r="V169" s="1042"/>
      <c r="W169" s="1042"/>
      <c r="X169" s="1042"/>
      <c r="Y169" s="1042"/>
      <c r="Z169" s="1042"/>
      <c r="AA169" s="1496"/>
      <c r="AB169" s="473"/>
      <c r="AC169" s="473"/>
      <c r="AD169" s="473"/>
      <c r="AE169" s="473"/>
    </row>
    <row r="170" spans="1:31" s="4866" customFormat="1" ht="11.25" customHeight="1">
      <c r="A170" s="877"/>
      <c r="B170" s="1500"/>
      <c r="C170" s="1500"/>
      <c r="D170" s="268"/>
      <c r="K170" s="1042"/>
      <c r="L170" s="1500"/>
      <c r="M170" s="1500"/>
      <c r="N170" s="1042"/>
      <c r="O170" s="1042"/>
      <c r="P170" s="1042"/>
      <c r="Q170" s="1042"/>
      <c r="R170" s="1500"/>
      <c r="S170" s="1042"/>
      <c r="T170" s="1042"/>
      <c r="U170" s="451"/>
      <c r="V170" s="1042"/>
      <c r="W170" s="1042"/>
      <c r="X170" s="1042"/>
      <c r="Y170" s="1042"/>
      <c r="Z170" s="1042"/>
      <c r="AA170" s="1496"/>
      <c r="AB170" s="473"/>
      <c r="AC170" s="473"/>
      <c r="AD170" s="473"/>
      <c r="AE170" s="473"/>
    </row>
    <row r="171" spans="1:31" s="4866" customFormat="1" ht="11.25" customHeight="1">
      <c r="A171" s="877"/>
      <c r="B171" s="1500"/>
      <c r="C171" s="1500"/>
      <c r="D171" s="268"/>
      <c r="K171" s="1042"/>
      <c r="L171" s="1500"/>
      <c r="M171" s="1500"/>
      <c r="N171" s="1042"/>
      <c r="O171" s="1042"/>
      <c r="P171" s="1042"/>
      <c r="Q171" s="1042"/>
      <c r="R171" s="1500"/>
      <c r="S171" s="1042"/>
      <c r="T171" s="1042"/>
      <c r="U171" s="451"/>
      <c r="V171" s="1042"/>
      <c r="W171" s="1042"/>
      <c r="X171" s="1042"/>
      <c r="Y171" s="1042"/>
      <c r="Z171" s="1042"/>
      <c r="AA171" s="1496"/>
      <c r="AB171" s="473"/>
      <c r="AC171" s="473"/>
      <c r="AD171" s="473"/>
      <c r="AE171" s="473"/>
    </row>
    <row r="172" spans="1:31" s="4866" customFormat="1" ht="11.25" customHeight="1">
      <c r="A172" s="877"/>
      <c r="B172" s="1500"/>
      <c r="C172" s="1500"/>
      <c r="D172" s="268"/>
      <c r="K172" s="1042"/>
      <c r="L172" s="1500"/>
      <c r="M172" s="1500"/>
      <c r="N172" s="1042"/>
      <c r="O172" s="1042"/>
      <c r="P172" s="1042"/>
      <c r="Q172" s="1042"/>
      <c r="R172" s="1500"/>
      <c r="S172" s="1042"/>
      <c r="T172" s="1042"/>
      <c r="U172" s="451"/>
      <c r="V172" s="1042"/>
      <c r="W172" s="1042"/>
      <c r="X172" s="1042"/>
      <c r="Y172" s="1042"/>
      <c r="Z172" s="1042"/>
      <c r="AA172" s="1496"/>
      <c r="AB172" s="473"/>
      <c r="AC172" s="473"/>
      <c r="AD172" s="473"/>
      <c r="AE172" s="473"/>
    </row>
    <row r="173" spans="1:31" s="4866" customFormat="1" ht="11.25" customHeight="1">
      <c r="A173" s="877"/>
      <c r="B173" s="1500"/>
      <c r="C173" s="1500"/>
      <c r="D173" s="268"/>
      <c r="K173" s="1042"/>
      <c r="L173" s="1500"/>
      <c r="M173" s="1500"/>
      <c r="N173" s="1042"/>
      <c r="O173" s="1042"/>
      <c r="P173" s="1042"/>
      <c r="Q173" s="1042"/>
      <c r="R173" s="1500"/>
      <c r="S173" s="1042"/>
      <c r="T173" s="1042"/>
      <c r="U173" s="451"/>
      <c r="V173" s="1042"/>
      <c r="W173" s="1042"/>
      <c r="X173" s="1042"/>
      <c r="Y173" s="1042"/>
      <c r="Z173" s="1042"/>
      <c r="AA173" s="1496"/>
      <c r="AB173" s="473"/>
      <c r="AC173" s="473"/>
      <c r="AD173" s="473"/>
      <c r="AE173" s="473"/>
    </row>
    <row r="174" spans="1:31" s="4866" customFormat="1" ht="11.25" customHeight="1">
      <c r="A174" s="877"/>
      <c r="B174" s="1500"/>
      <c r="C174" s="1500"/>
      <c r="D174" s="268"/>
      <c r="K174" s="1042"/>
      <c r="L174" s="1500"/>
      <c r="M174" s="1500"/>
      <c r="N174" s="1042"/>
      <c r="O174" s="1042"/>
      <c r="P174" s="1042"/>
      <c r="Q174" s="1042"/>
      <c r="R174" s="1500"/>
      <c r="S174" s="1042"/>
      <c r="T174" s="1042"/>
      <c r="U174" s="451"/>
      <c r="V174" s="1042"/>
      <c r="W174" s="1042"/>
      <c r="X174" s="1042"/>
      <c r="Y174" s="1042"/>
      <c r="Z174" s="1042"/>
      <c r="AA174" s="1496"/>
      <c r="AB174" s="473"/>
      <c r="AC174" s="473"/>
      <c r="AD174" s="473"/>
      <c r="AE174" s="473"/>
    </row>
    <row r="175" spans="1:31" s="4866" customFormat="1" ht="11.25" customHeight="1">
      <c r="A175" s="877"/>
      <c r="B175" s="1500"/>
      <c r="C175" s="1500"/>
      <c r="D175" s="268"/>
      <c r="K175" s="1042"/>
      <c r="L175" s="1500"/>
      <c r="M175" s="1500"/>
      <c r="N175" s="1042"/>
      <c r="O175" s="1042"/>
      <c r="P175" s="1042"/>
      <c r="Q175" s="1042"/>
      <c r="R175" s="1500"/>
      <c r="S175" s="1042"/>
      <c r="T175" s="1042"/>
      <c r="U175" s="451"/>
      <c r="V175" s="1042"/>
      <c r="W175" s="1042"/>
      <c r="X175" s="1042"/>
      <c r="Y175" s="1042"/>
      <c r="Z175" s="1042"/>
      <c r="AA175" s="1496"/>
      <c r="AB175" s="473"/>
      <c r="AC175" s="473"/>
      <c r="AD175" s="473"/>
      <c r="AE175" s="473"/>
    </row>
    <row r="176" spans="1:31" s="4866" customFormat="1" ht="11.25" customHeight="1">
      <c r="A176" s="877"/>
      <c r="B176" s="1500"/>
      <c r="C176" s="1500"/>
      <c r="D176" s="268"/>
      <c r="K176" s="1042"/>
      <c r="L176" s="1500"/>
      <c r="M176" s="1500"/>
      <c r="N176" s="1042"/>
      <c r="O176" s="1042"/>
      <c r="P176" s="1042"/>
      <c r="Q176" s="1042"/>
      <c r="R176" s="1500"/>
      <c r="S176" s="1042"/>
      <c r="T176" s="1042"/>
      <c r="U176" s="451"/>
      <c r="V176" s="1042"/>
      <c r="W176" s="1042"/>
      <c r="X176" s="1042"/>
      <c r="Y176" s="1042"/>
      <c r="Z176" s="1042"/>
      <c r="AA176" s="1496"/>
      <c r="AB176" s="473"/>
      <c r="AC176" s="473"/>
      <c r="AD176" s="473"/>
      <c r="AE176" s="473"/>
    </row>
    <row r="177" spans="1:31" s="4866" customFormat="1" ht="11.25" customHeight="1">
      <c r="A177" s="877"/>
      <c r="B177" s="1500"/>
      <c r="C177" s="1500"/>
      <c r="D177" s="268"/>
      <c r="K177" s="1042"/>
      <c r="L177" s="1500"/>
      <c r="M177" s="1500"/>
      <c r="N177" s="1042"/>
      <c r="O177" s="1042"/>
      <c r="P177" s="1042"/>
      <c r="Q177" s="1042"/>
      <c r="R177" s="1500"/>
      <c r="S177" s="1042"/>
      <c r="T177" s="1042"/>
      <c r="U177" s="451"/>
      <c r="V177" s="1042"/>
      <c r="W177" s="1042"/>
      <c r="X177" s="1042"/>
      <c r="Y177" s="1042"/>
      <c r="Z177" s="1042"/>
      <c r="AA177" s="1496"/>
      <c r="AB177" s="473"/>
      <c r="AC177" s="473"/>
      <c r="AD177" s="473"/>
      <c r="AE177" s="473"/>
    </row>
    <row r="178" spans="1:31" s="4866" customFormat="1" ht="11.25" customHeight="1">
      <c r="A178" s="877"/>
      <c r="B178" s="1500"/>
      <c r="C178" s="1500"/>
      <c r="D178" s="268"/>
      <c r="K178" s="1042"/>
      <c r="L178" s="1500"/>
      <c r="M178" s="1500"/>
      <c r="N178" s="1042"/>
      <c r="O178" s="1042"/>
      <c r="P178" s="1042"/>
      <c r="Q178" s="1042"/>
      <c r="R178" s="1500"/>
      <c r="S178" s="1042"/>
      <c r="T178" s="1042"/>
      <c r="U178" s="451"/>
      <c r="V178" s="1042"/>
      <c r="W178" s="1042"/>
      <c r="X178" s="1042"/>
      <c r="Y178" s="1042"/>
      <c r="Z178" s="1042"/>
      <c r="AA178" s="1496"/>
      <c r="AB178" s="473"/>
      <c r="AC178" s="473"/>
      <c r="AD178" s="473"/>
      <c r="AE178" s="473"/>
    </row>
    <row r="179" spans="1:31" s="4866" customFormat="1" ht="11.25" customHeight="1">
      <c r="A179" s="877"/>
      <c r="B179" s="1500"/>
      <c r="C179" s="1500"/>
      <c r="D179" s="268"/>
      <c r="K179" s="1042"/>
      <c r="L179" s="1500"/>
      <c r="M179" s="1500"/>
      <c r="N179" s="1042"/>
      <c r="O179" s="1042"/>
      <c r="P179" s="1042"/>
      <c r="Q179" s="1042"/>
      <c r="R179" s="1500"/>
      <c r="S179" s="1042"/>
      <c r="T179" s="1042"/>
      <c r="U179" s="451"/>
      <c r="V179" s="1042"/>
      <c r="W179" s="1042"/>
      <c r="X179" s="1042"/>
      <c r="Y179" s="1042"/>
      <c r="Z179" s="1042"/>
      <c r="AA179" s="1496"/>
      <c r="AB179" s="473"/>
      <c r="AC179" s="473"/>
      <c r="AD179" s="473"/>
      <c r="AE179" s="473"/>
    </row>
    <row r="180" spans="1:31" s="4866" customFormat="1" ht="11.25" customHeight="1">
      <c r="A180" s="877"/>
      <c r="B180" s="1500"/>
      <c r="C180" s="1500"/>
      <c r="D180" s="268"/>
      <c r="K180" s="1042"/>
      <c r="L180" s="1500"/>
      <c r="M180" s="1500"/>
      <c r="N180" s="1042"/>
      <c r="O180" s="1042"/>
      <c r="P180" s="1042"/>
      <c r="Q180" s="1042"/>
      <c r="R180" s="1500"/>
      <c r="S180" s="1042"/>
      <c r="T180" s="1042"/>
      <c r="U180" s="451"/>
      <c r="V180" s="1042"/>
      <c r="W180" s="1042"/>
      <c r="X180" s="1042"/>
      <c r="Y180" s="1042"/>
      <c r="Z180" s="1042"/>
      <c r="AA180" s="1496"/>
      <c r="AB180" s="473"/>
      <c r="AC180" s="473"/>
      <c r="AD180" s="473"/>
      <c r="AE180" s="473"/>
    </row>
    <row r="181" spans="1:31" s="4866" customFormat="1" ht="11.25" customHeight="1">
      <c r="A181" s="877"/>
      <c r="B181" s="1500"/>
      <c r="C181" s="1500"/>
      <c r="D181" s="268"/>
      <c r="K181" s="1042"/>
      <c r="L181" s="1500"/>
      <c r="M181" s="1500"/>
      <c r="N181" s="1042"/>
      <c r="O181" s="1042"/>
      <c r="P181" s="1042"/>
      <c r="Q181" s="1042"/>
      <c r="R181" s="1500"/>
      <c r="S181" s="1042"/>
      <c r="T181" s="1042"/>
      <c r="U181" s="451"/>
      <c r="V181" s="1042"/>
      <c r="W181" s="1042"/>
      <c r="X181" s="1042"/>
      <c r="Y181" s="1042"/>
      <c r="Z181" s="1042"/>
      <c r="AA181" s="1496"/>
      <c r="AB181" s="473"/>
      <c r="AC181" s="473"/>
      <c r="AD181" s="473"/>
      <c r="AE181" s="473"/>
    </row>
    <row r="182" spans="1:31" s="4866" customFormat="1" ht="11.25" customHeight="1">
      <c r="A182" s="877"/>
      <c r="B182" s="1500"/>
      <c r="C182" s="1500"/>
      <c r="D182" s="268"/>
      <c r="K182" s="1042"/>
      <c r="L182" s="1500"/>
      <c r="M182" s="1500"/>
      <c r="N182" s="1042"/>
      <c r="O182" s="1042"/>
      <c r="P182" s="1042"/>
      <c r="Q182" s="1042"/>
      <c r="R182" s="1500"/>
      <c r="S182" s="1042"/>
      <c r="T182" s="1042"/>
      <c r="U182" s="451"/>
      <c r="V182" s="1042"/>
      <c r="W182" s="1042"/>
      <c r="X182" s="1042"/>
      <c r="Y182" s="1042"/>
      <c r="Z182" s="1042"/>
      <c r="AA182" s="1496"/>
      <c r="AB182" s="473"/>
      <c r="AC182" s="473"/>
      <c r="AD182" s="473"/>
      <c r="AE182" s="473"/>
    </row>
    <row r="183" spans="1:31" s="4866" customFormat="1" ht="11.25" customHeight="1">
      <c r="A183" s="877"/>
      <c r="B183" s="1500"/>
      <c r="C183" s="1500"/>
      <c r="D183" s="268"/>
      <c r="K183" s="1042"/>
      <c r="L183" s="1500"/>
      <c r="M183" s="1500"/>
      <c r="N183" s="1042"/>
      <c r="O183" s="1042"/>
      <c r="P183" s="1042"/>
      <c r="Q183" s="1042"/>
      <c r="R183" s="1500"/>
      <c r="S183" s="1042"/>
      <c r="T183" s="1042"/>
      <c r="U183" s="451"/>
      <c r="V183" s="1042"/>
      <c r="W183" s="1042"/>
      <c r="X183" s="1042"/>
      <c r="Y183" s="1042"/>
      <c r="Z183" s="1042"/>
      <c r="AA183" s="1496"/>
      <c r="AB183" s="473"/>
      <c r="AC183" s="473"/>
      <c r="AD183" s="473"/>
      <c r="AE183" s="473"/>
    </row>
    <row r="184" spans="1:31" s="4866" customFormat="1" ht="11.25" customHeight="1">
      <c r="A184" s="877"/>
      <c r="B184" s="1500"/>
      <c r="C184" s="1500"/>
      <c r="D184" s="268"/>
      <c r="K184" s="1042"/>
      <c r="L184" s="1500"/>
      <c r="M184" s="1500"/>
      <c r="N184" s="1042"/>
      <c r="O184" s="1042"/>
      <c r="P184" s="1042"/>
      <c r="Q184" s="1042"/>
      <c r="R184" s="1500"/>
      <c r="S184" s="1042"/>
      <c r="T184" s="1042"/>
      <c r="U184" s="451"/>
      <c r="V184" s="1042"/>
      <c r="W184" s="1042"/>
      <c r="X184" s="1042"/>
      <c r="Y184" s="1042"/>
      <c r="Z184" s="1042"/>
      <c r="AA184" s="1496"/>
      <c r="AB184" s="473"/>
      <c r="AC184" s="473"/>
      <c r="AD184" s="473"/>
      <c r="AE184" s="473"/>
    </row>
    <row r="185" spans="1:31" s="4866" customFormat="1" ht="11.25" customHeight="1">
      <c r="A185" s="877"/>
      <c r="B185" s="1500"/>
      <c r="C185" s="1500"/>
      <c r="D185" s="268"/>
      <c r="K185" s="1042"/>
      <c r="L185" s="1500"/>
      <c r="M185" s="1500"/>
      <c r="N185" s="1042"/>
      <c r="O185" s="1042"/>
      <c r="P185" s="1042"/>
      <c r="Q185" s="1042"/>
      <c r="R185" s="1500"/>
      <c r="S185" s="1042"/>
      <c r="T185" s="1042"/>
      <c r="U185" s="451"/>
      <c r="V185" s="1042"/>
      <c r="W185" s="1042"/>
      <c r="X185" s="1042"/>
      <c r="Y185" s="1042"/>
      <c r="Z185" s="1042"/>
      <c r="AA185" s="1496"/>
      <c r="AB185" s="473"/>
      <c r="AC185" s="473"/>
      <c r="AD185" s="473"/>
      <c r="AE185" s="473"/>
    </row>
    <row r="186" spans="1:31" s="4866" customFormat="1" ht="11.25" customHeight="1">
      <c r="A186" s="877"/>
      <c r="B186" s="1500"/>
      <c r="C186" s="1500"/>
      <c r="D186" s="268"/>
      <c r="K186" s="1042"/>
      <c r="L186" s="1500"/>
      <c r="M186" s="1500"/>
      <c r="N186" s="1042"/>
      <c r="O186" s="1042"/>
      <c r="P186" s="1042"/>
      <c r="Q186" s="1042"/>
      <c r="R186" s="1500"/>
      <c r="S186" s="1042"/>
      <c r="T186" s="1042"/>
      <c r="U186" s="451"/>
      <c r="V186" s="1042"/>
      <c r="W186" s="1042"/>
      <c r="X186" s="1042"/>
      <c r="Y186" s="1042"/>
      <c r="Z186" s="1042"/>
      <c r="AA186" s="1496"/>
      <c r="AB186" s="473"/>
      <c r="AC186" s="473"/>
      <c r="AD186" s="473"/>
      <c r="AE186" s="473"/>
    </row>
    <row r="187" spans="1:31" s="4866" customFormat="1" ht="11.25" customHeight="1">
      <c r="A187" s="877"/>
      <c r="B187" s="1500"/>
      <c r="C187" s="1500"/>
      <c r="D187" s="268"/>
      <c r="K187" s="1042"/>
      <c r="L187" s="1500"/>
      <c r="M187" s="1500"/>
      <c r="N187" s="1042"/>
      <c r="O187" s="1042"/>
      <c r="P187" s="1042"/>
      <c r="Q187" s="1042"/>
      <c r="R187" s="1500"/>
      <c r="S187" s="1042"/>
      <c r="T187" s="1042"/>
      <c r="U187" s="451"/>
      <c r="V187" s="1042"/>
      <c r="W187" s="1042"/>
      <c r="X187" s="1042"/>
      <c r="Y187" s="1042"/>
      <c r="Z187" s="1042"/>
      <c r="AA187" s="1496"/>
      <c r="AB187" s="473"/>
      <c r="AC187" s="473"/>
      <c r="AD187" s="473"/>
      <c r="AE187" s="473"/>
    </row>
    <row r="188" spans="1:31" s="4866" customFormat="1" ht="11.25" customHeight="1">
      <c r="A188" s="877"/>
      <c r="B188" s="1500"/>
      <c r="C188" s="1500"/>
      <c r="D188" s="268"/>
      <c r="K188" s="1042"/>
      <c r="L188" s="1500"/>
      <c r="M188" s="1500"/>
      <c r="N188" s="1042"/>
      <c r="O188" s="1042"/>
      <c r="P188" s="1042"/>
      <c r="Q188" s="1042"/>
      <c r="R188" s="1500"/>
      <c r="S188" s="1042"/>
      <c r="T188" s="1042"/>
      <c r="U188" s="451"/>
      <c r="V188" s="1042"/>
      <c r="W188" s="1042"/>
      <c r="X188" s="1042"/>
      <c r="Y188" s="1042"/>
      <c r="Z188" s="1042"/>
      <c r="AA188" s="1496"/>
      <c r="AB188" s="473"/>
      <c r="AC188" s="473"/>
      <c r="AD188" s="473"/>
      <c r="AE188" s="473"/>
    </row>
    <row r="189" spans="1:31" s="4866" customFormat="1" ht="11.25" customHeight="1">
      <c r="A189" s="877"/>
      <c r="B189" s="1500"/>
      <c r="C189" s="1500"/>
      <c r="D189" s="268"/>
      <c r="K189" s="1042"/>
      <c r="L189" s="1500"/>
      <c r="M189" s="1500"/>
      <c r="N189" s="1042"/>
      <c r="O189" s="1042"/>
      <c r="P189" s="1042"/>
      <c r="Q189" s="1042"/>
      <c r="R189" s="1500"/>
      <c r="S189" s="1042"/>
      <c r="T189" s="1042"/>
      <c r="U189" s="451"/>
      <c r="V189" s="1042"/>
      <c r="W189" s="1042"/>
      <c r="X189" s="1042"/>
      <c r="Y189" s="1042"/>
      <c r="Z189" s="1042"/>
      <c r="AA189" s="1496"/>
      <c r="AB189" s="473"/>
      <c r="AC189" s="473"/>
      <c r="AD189" s="473"/>
      <c r="AE189" s="473"/>
    </row>
    <row r="190" spans="1:31" s="4866" customFormat="1" ht="11.25" customHeight="1">
      <c r="A190" s="877"/>
      <c r="B190" s="1500"/>
      <c r="C190" s="1500"/>
      <c r="D190" s="268"/>
      <c r="K190" s="1042"/>
      <c r="L190" s="1500"/>
      <c r="M190" s="1500"/>
      <c r="N190" s="1042"/>
      <c r="O190" s="1042"/>
      <c r="P190" s="1042"/>
      <c r="Q190" s="1042"/>
      <c r="R190" s="1500"/>
      <c r="S190" s="1042"/>
      <c r="T190" s="1042"/>
      <c r="U190" s="451"/>
      <c r="V190" s="1042"/>
      <c r="W190" s="1042"/>
      <c r="X190" s="1042"/>
      <c r="Y190" s="1042"/>
      <c r="Z190" s="1042"/>
      <c r="AA190" s="1496"/>
      <c r="AB190" s="473"/>
      <c r="AC190" s="473"/>
      <c r="AD190" s="473"/>
      <c r="AE190" s="473"/>
    </row>
    <row r="191" spans="1:31" s="4866" customFormat="1" ht="11.25" customHeight="1">
      <c r="A191" s="877"/>
      <c r="B191" s="1500"/>
      <c r="C191" s="1500"/>
      <c r="D191" s="268"/>
      <c r="K191" s="1042"/>
      <c r="L191" s="1500"/>
      <c r="M191" s="1500"/>
      <c r="N191" s="1042"/>
      <c r="O191" s="1042"/>
      <c r="P191" s="1042"/>
      <c r="Q191" s="1042"/>
      <c r="R191" s="1500"/>
      <c r="S191" s="1042"/>
      <c r="T191" s="1042"/>
      <c r="U191" s="451"/>
      <c r="V191" s="1042"/>
      <c r="W191" s="1042"/>
      <c r="X191" s="1042"/>
      <c r="Y191" s="1042"/>
      <c r="Z191" s="1042"/>
      <c r="AA191" s="1496"/>
      <c r="AB191" s="473"/>
      <c r="AC191" s="473"/>
      <c r="AD191" s="473"/>
      <c r="AE191" s="473"/>
    </row>
    <row r="192" spans="1:31" s="4866" customFormat="1" ht="11.25" customHeight="1">
      <c r="A192" s="877"/>
      <c r="B192" s="1500"/>
      <c r="C192" s="1500"/>
      <c r="D192" s="268"/>
      <c r="K192" s="1042"/>
      <c r="L192" s="1500"/>
      <c r="M192" s="1500"/>
      <c r="N192" s="1042"/>
      <c r="O192" s="1042"/>
      <c r="P192" s="1042"/>
      <c r="Q192" s="1042"/>
      <c r="R192" s="1500"/>
      <c r="S192" s="1042"/>
      <c r="T192" s="1042"/>
      <c r="U192" s="451"/>
      <c r="V192" s="1042"/>
      <c r="W192" s="1042"/>
      <c r="X192" s="1042"/>
      <c r="Y192" s="1042"/>
      <c r="Z192" s="1042"/>
      <c r="AA192" s="1496"/>
      <c r="AB192" s="473"/>
      <c r="AC192" s="473"/>
      <c r="AD192" s="473"/>
      <c r="AE192" s="473"/>
    </row>
    <row r="193" spans="1:31" s="4866" customFormat="1" ht="11.25" customHeight="1">
      <c r="A193" s="877"/>
      <c r="B193" s="1500"/>
      <c r="C193" s="1500"/>
      <c r="D193" s="268"/>
      <c r="K193" s="1042"/>
      <c r="L193" s="1500"/>
      <c r="M193" s="1500"/>
      <c r="N193" s="1042"/>
      <c r="O193" s="1042"/>
      <c r="P193" s="1042"/>
      <c r="Q193" s="1042"/>
      <c r="R193" s="1500"/>
      <c r="S193" s="1042"/>
      <c r="T193" s="1042"/>
      <c r="U193" s="451"/>
      <c r="V193" s="1042"/>
      <c r="W193" s="1042"/>
      <c r="X193" s="1042"/>
      <c r="Y193" s="1042"/>
      <c r="Z193" s="1042"/>
      <c r="AA193" s="1496"/>
      <c r="AB193" s="473"/>
      <c r="AC193" s="473"/>
      <c r="AD193" s="473"/>
      <c r="AE193" s="473"/>
    </row>
    <row r="194" spans="1:31" s="4866" customFormat="1" ht="11.25" customHeight="1">
      <c r="A194" s="877"/>
      <c r="B194" s="1500"/>
      <c r="C194" s="1500"/>
      <c r="D194" s="268"/>
      <c r="K194" s="1042"/>
      <c r="L194" s="1500"/>
      <c r="M194" s="1500"/>
      <c r="N194" s="1042"/>
      <c r="O194" s="1042"/>
      <c r="P194" s="1042"/>
      <c r="Q194" s="1042"/>
      <c r="R194" s="1500"/>
      <c r="S194" s="1042"/>
      <c r="T194" s="1042"/>
      <c r="U194" s="451"/>
      <c r="V194" s="1042"/>
      <c r="W194" s="1042"/>
      <c r="X194" s="1042"/>
      <c r="Y194" s="1042"/>
      <c r="Z194" s="1042"/>
      <c r="AA194" s="1496"/>
      <c r="AB194" s="473"/>
      <c r="AC194" s="473"/>
      <c r="AD194" s="473"/>
      <c r="AE194" s="473"/>
    </row>
    <row r="195" spans="1:31" s="4866" customFormat="1" ht="11.25" customHeight="1">
      <c r="A195" s="877"/>
      <c r="B195" s="1500"/>
      <c r="C195" s="1500"/>
      <c r="D195" s="268"/>
      <c r="K195" s="1042"/>
      <c r="L195" s="1500"/>
      <c r="M195" s="1500"/>
      <c r="N195" s="1042"/>
      <c r="O195" s="1042"/>
      <c r="P195" s="1042"/>
      <c r="Q195" s="1042"/>
      <c r="R195" s="1500"/>
      <c r="S195" s="1042"/>
      <c r="T195" s="1042"/>
      <c r="U195" s="451"/>
      <c r="V195" s="1042"/>
      <c r="W195" s="1042"/>
      <c r="X195" s="1042"/>
      <c r="Y195" s="1042"/>
      <c r="Z195" s="1042"/>
      <c r="AA195" s="1496"/>
      <c r="AB195" s="473"/>
      <c r="AC195" s="473"/>
      <c r="AD195" s="473"/>
      <c r="AE195" s="473"/>
    </row>
    <row r="196" spans="1:31" s="4866" customFormat="1" ht="11.25" customHeight="1">
      <c r="A196" s="877"/>
      <c r="B196" s="1500"/>
      <c r="C196" s="1500"/>
      <c r="D196" s="268"/>
      <c r="K196" s="1042"/>
      <c r="L196" s="1500"/>
      <c r="M196" s="1500"/>
      <c r="N196" s="1042"/>
      <c r="O196" s="1042"/>
      <c r="P196" s="1042"/>
      <c r="Q196" s="1042"/>
      <c r="R196" s="1500"/>
      <c r="S196" s="1042"/>
      <c r="T196" s="1042"/>
      <c r="U196" s="451"/>
      <c r="V196" s="1042"/>
      <c r="W196" s="1042"/>
      <c r="X196" s="1042"/>
      <c r="Y196" s="1042"/>
      <c r="Z196" s="1042"/>
      <c r="AA196" s="1496"/>
      <c r="AB196" s="473"/>
      <c r="AC196" s="473"/>
      <c r="AD196" s="473"/>
      <c r="AE196" s="473"/>
    </row>
    <row r="197" spans="1:31" s="4866" customFormat="1" ht="11.25" customHeight="1">
      <c r="A197" s="877"/>
      <c r="B197" s="1500"/>
      <c r="C197" s="1500"/>
      <c r="D197" s="268"/>
      <c r="K197" s="1042"/>
      <c r="L197" s="1500"/>
      <c r="M197" s="1500"/>
      <c r="N197" s="1042"/>
      <c r="O197" s="1042"/>
      <c r="P197" s="1042"/>
      <c r="Q197" s="1042"/>
      <c r="R197" s="1500"/>
      <c r="S197" s="1042"/>
      <c r="T197" s="1042"/>
      <c r="U197" s="451"/>
      <c r="V197" s="1042"/>
      <c r="W197" s="1042"/>
      <c r="X197" s="1042"/>
      <c r="Y197" s="1042"/>
      <c r="Z197" s="1042"/>
      <c r="AA197" s="1496"/>
      <c r="AB197" s="473"/>
      <c r="AC197" s="473"/>
      <c r="AD197" s="473"/>
      <c r="AE197" s="473"/>
    </row>
    <row r="198" spans="1:31" s="4866" customFormat="1" ht="11.25" customHeight="1">
      <c r="A198" s="877"/>
      <c r="B198" s="1500"/>
      <c r="C198" s="1500"/>
      <c r="D198" s="268"/>
      <c r="K198" s="1042"/>
      <c r="L198" s="1500"/>
      <c r="M198" s="1500"/>
      <c r="N198" s="1042"/>
      <c r="O198" s="1042"/>
      <c r="P198" s="1042"/>
      <c r="Q198" s="1042"/>
      <c r="R198" s="1500"/>
      <c r="S198" s="1042"/>
      <c r="T198" s="1042"/>
      <c r="U198" s="451"/>
      <c r="V198" s="1042"/>
      <c r="W198" s="1042"/>
      <c r="X198" s="1042"/>
      <c r="Y198" s="1042"/>
      <c r="Z198" s="1042"/>
      <c r="AA198" s="1496"/>
      <c r="AB198" s="473"/>
      <c r="AC198" s="473"/>
      <c r="AD198" s="473"/>
      <c r="AE198" s="473"/>
    </row>
    <row r="199" spans="1:31" s="4866" customFormat="1" ht="11.25" customHeight="1">
      <c r="A199" s="877"/>
      <c r="B199" s="1500"/>
      <c r="C199" s="1500"/>
      <c r="D199" s="268"/>
      <c r="K199" s="1042"/>
      <c r="L199" s="1500"/>
      <c r="M199" s="1500"/>
      <c r="N199" s="1042"/>
      <c r="O199" s="1042"/>
      <c r="P199" s="1042"/>
      <c r="Q199" s="1042"/>
      <c r="R199" s="1500"/>
      <c r="S199" s="1042"/>
      <c r="T199" s="1042"/>
      <c r="U199" s="451"/>
      <c r="V199" s="1042"/>
      <c r="W199" s="1042"/>
      <c r="X199" s="1042"/>
      <c r="Y199" s="1042"/>
      <c r="Z199" s="1042"/>
      <c r="AA199" s="1496"/>
      <c r="AB199" s="473"/>
      <c r="AC199" s="473"/>
      <c r="AD199" s="473"/>
      <c r="AE199" s="473"/>
    </row>
    <row r="200" spans="1:31" s="4866" customFormat="1" ht="11.25" customHeight="1">
      <c r="A200" s="877"/>
      <c r="B200" s="1500"/>
      <c r="C200" s="1500"/>
      <c r="D200" s="268"/>
      <c r="K200" s="1042"/>
      <c r="L200" s="1500"/>
      <c r="M200" s="1500"/>
      <c r="N200" s="1042"/>
      <c r="O200" s="1042"/>
      <c r="P200" s="1042"/>
      <c r="Q200" s="1042"/>
      <c r="R200" s="1500"/>
      <c r="S200" s="1042"/>
      <c r="T200" s="1042"/>
      <c r="U200" s="451"/>
      <c r="V200" s="1042"/>
      <c r="W200" s="1042"/>
      <c r="X200" s="1042"/>
      <c r="Y200" s="1042"/>
      <c r="Z200" s="1042"/>
      <c r="AA200" s="1496"/>
      <c r="AB200" s="473"/>
      <c r="AC200" s="473"/>
      <c r="AD200" s="473"/>
      <c r="AE200" s="473"/>
    </row>
    <row r="201" spans="1:31" s="4866" customFormat="1" ht="11.25" customHeight="1">
      <c r="A201" s="877"/>
      <c r="B201" s="1500"/>
      <c r="C201" s="1500"/>
      <c r="D201" s="268"/>
      <c r="K201" s="1042"/>
      <c r="L201" s="1500"/>
      <c r="M201" s="1500"/>
      <c r="N201" s="1042"/>
      <c r="O201" s="1042"/>
      <c r="P201" s="1042"/>
      <c r="Q201" s="1042"/>
      <c r="R201" s="1500"/>
      <c r="S201" s="1042"/>
      <c r="T201" s="1042"/>
      <c r="U201" s="451"/>
      <c r="V201" s="1042"/>
      <c r="W201" s="1042"/>
      <c r="X201" s="1042"/>
      <c r="Y201" s="1042"/>
      <c r="Z201" s="1042"/>
      <c r="AA201" s="1496"/>
      <c r="AB201" s="473"/>
      <c r="AC201" s="473"/>
      <c r="AD201" s="473"/>
      <c r="AE201" s="473"/>
    </row>
    <row r="202" spans="1:31" s="4866" customFormat="1" ht="11.25" customHeight="1">
      <c r="A202" s="877"/>
      <c r="B202" s="1500"/>
      <c r="C202" s="1500"/>
      <c r="D202" s="268"/>
      <c r="K202" s="1042"/>
      <c r="L202" s="1500"/>
      <c r="M202" s="1500"/>
      <c r="N202" s="1042"/>
      <c r="O202" s="1042"/>
      <c r="P202" s="1042"/>
      <c r="Q202" s="1042"/>
      <c r="R202" s="1500"/>
      <c r="S202" s="1042"/>
      <c r="T202" s="1042"/>
      <c r="U202" s="451"/>
      <c r="V202" s="1042"/>
      <c r="W202" s="1042"/>
      <c r="X202" s="1042"/>
      <c r="Y202" s="1042"/>
      <c r="Z202" s="1042"/>
      <c r="AA202" s="1496"/>
      <c r="AB202" s="473"/>
      <c r="AC202" s="473"/>
      <c r="AD202" s="473"/>
      <c r="AE202" s="473"/>
    </row>
    <row r="203" spans="1:31" s="4866" customFormat="1" ht="11.25" customHeight="1">
      <c r="A203" s="877"/>
      <c r="B203" s="1500"/>
      <c r="C203" s="1500"/>
      <c r="D203" s="268"/>
      <c r="K203" s="1042"/>
      <c r="L203" s="1500"/>
      <c r="M203" s="1500"/>
      <c r="N203" s="1042"/>
      <c r="O203" s="1042"/>
      <c r="P203" s="1042"/>
      <c r="Q203" s="1042"/>
      <c r="R203" s="1500"/>
      <c r="S203" s="1042"/>
      <c r="T203" s="1042"/>
      <c r="U203" s="451"/>
      <c r="V203" s="1042"/>
      <c r="W203" s="1042"/>
      <c r="X203" s="1042"/>
      <c r="Y203" s="1042"/>
      <c r="Z203" s="1042"/>
      <c r="AA203" s="1496"/>
      <c r="AB203" s="473"/>
      <c r="AC203" s="473"/>
      <c r="AD203" s="473"/>
      <c r="AE203" s="473"/>
    </row>
    <row r="204" spans="1:31" s="4866" customFormat="1" ht="11.25" customHeight="1">
      <c r="A204" s="877"/>
      <c r="B204" s="1500"/>
      <c r="C204" s="1500"/>
      <c r="D204" s="268"/>
      <c r="K204" s="1042"/>
      <c r="L204" s="1500"/>
      <c r="M204" s="1500"/>
      <c r="N204" s="1042"/>
      <c r="O204" s="1042"/>
      <c r="P204" s="1042"/>
      <c r="Q204" s="1042"/>
      <c r="R204" s="1500"/>
      <c r="S204" s="1042"/>
      <c r="T204" s="1042"/>
      <c r="U204" s="451"/>
      <c r="V204" s="1042"/>
      <c r="W204" s="1042"/>
      <c r="X204" s="1042"/>
      <c r="Y204" s="1042"/>
      <c r="Z204" s="1042"/>
      <c r="AA204" s="1496"/>
      <c r="AB204" s="473"/>
      <c r="AC204" s="473"/>
      <c r="AD204" s="473"/>
      <c r="AE204" s="473"/>
    </row>
    <row r="205" spans="1:31" s="4866" customFormat="1" ht="11.25" customHeight="1">
      <c r="A205" s="877"/>
      <c r="B205" s="1500"/>
      <c r="C205" s="1500"/>
      <c r="D205" s="268"/>
      <c r="K205" s="1042"/>
      <c r="L205" s="1500"/>
      <c r="M205" s="1500"/>
      <c r="N205" s="1042"/>
      <c r="O205" s="1042"/>
      <c r="P205" s="1042"/>
      <c r="Q205" s="1042"/>
      <c r="R205" s="1500"/>
      <c r="S205" s="1042"/>
      <c r="T205" s="1042"/>
      <c r="U205" s="451"/>
      <c r="V205" s="1042"/>
      <c r="W205" s="1042"/>
      <c r="X205" s="1042"/>
      <c r="Y205" s="1042"/>
      <c r="Z205" s="1042"/>
      <c r="AA205" s="1496"/>
      <c r="AB205" s="473"/>
      <c r="AC205" s="473"/>
      <c r="AD205" s="473"/>
      <c r="AE205" s="473"/>
    </row>
    <row r="206" spans="1:31" s="4866" customFormat="1" ht="11.25" customHeight="1">
      <c r="A206" s="877"/>
      <c r="B206" s="1500"/>
      <c r="C206" s="1500"/>
      <c r="D206" s="268"/>
      <c r="K206" s="1042"/>
      <c r="L206" s="1500"/>
      <c r="M206" s="1500"/>
      <c r="N206" s="1042"/>
      <c r="O206" s="1042"/>
      <c r="P206" s="1042"/>
      <c r="Q206" s="1042"/>
      <c r="R206" s="1500"/>
      <c r="S206" s="1042"/>
      <c r="T206" s="1042"/>
      <c r="U206" s="451"/>
      <c r="V206" s="1042"/>
      <c r="W206" s="1042"/>
      <c r="X206" s="1042"/>
      <c r="Y206" s="1042"/>
      <c r="Z206" s="1042"/>
      <c r="AA206" s="1496"/>
      <c r="AB206" s="473"/>
      <c r="AC206" s="473"/>
      <c r="AD206" s="473"/>
      <c r="AE206" s="473"/>
    </row>
    <row r="207" spans="1:31" s="4866" customFormat="1" ht="11.25" customHeight="1">
      <c r="A207" s="877"/>
      <c r="B207" s="1500"/>
      <c r="C207" s="1500"/>
      <c r="D207" s="268"/>
      <c r="K207" s="1042"/>
      <c r="L207" s="1500"/>
      <c r="M207" s="1500"/>
      <c r="N207" s="1042"/>
      <c r="O207" s="1042"/>
      <c r="P207" s="1042"/>
      <c r="Q207" s="1042"/>
      <c r="R207" s="1500"/>
      <c r="S207" s="1042"/>
      <c r="T207" s="1042"/>
      <c r="U207" s="451"/>
      <c r="V207" s="1042"/>
      <c r="W207" s="1042"/>
      <c r="X207" s="1042"/>
      <c r="Y207" s="1042"/>
      <c r="Z207" s="1042"/>
      <c r="AA207" s="1496"/>
      <c r="AB207" s="473"/>
      <c r="AC207" s="473"/>
      <c r="AD207" s="473"/>
      <c r="AE207" s="473"/>
    </row>
    <row r="208" spans="1:31" s="4866" customFormat="1" ht="11.25" customHeight="1">
      <c r="A208" s="877"/>
      <c r="B208" s="1500"/>
      <c r="C208" s="1500"/>
      <c r="D208" s="268"/>
      <c r="K208" s="1042"/>
      <c r="L208" s="1500"/>
      <c r="M208" s="1500"/>
      <c r="N208" s="1042"/>
      <c r="O208" s="1042"/>
      <c r="P208" s="1042"/>
      <c r="Q208" s="1042"/>
      <c r="R208" s="1500"/>
      <c r="S208" s="1042"/>
      <c r="T208" s="1042"/>
      <c r="U208" s="451"/>
      <c r="V208" s="1042"/>
      <c r="W208" s="1042"/>
      <c r="X208" s="1042"/>
      <c r="Y208" s="1042"/>
      <c r="Z208" s="1042"/>
      <c r="AA208" s="1496"/>
      <c r="AB208" s="473"/>
      <c r="AC208" s="473"/>
      <c r="AD208" s="473"/>
      <c r="AE208" s="473"/>
    </row>
    <row r="209" spans="1:31" s="4866" customFormat="1" ht="11.25" customHeight="1">
      <c r="A209" s="877"/>
      <c r="B209" s="1500"/>
      <c r="C209" s="1500"/>
      <c r="D209" s="268"/>
      <c r="K209" s="1042"/>
      <c r="L209" s="1500"/>
      <c r="M209" s="1500"/>
      <c r="N209" s="1042"/>
      <c r="O209" s="1042"/>
      <c r="P209" s="1042"/>
      <c r="Q209" s="1042"/>
      <c r="R209" s="1500"/>
      <c r="S209" s="1042"/>
      <c r="T209" s="1042"/>
      <c r="U209" s="451"/>
      <c r="V209" s="1042"/>
      <c r="W209" s="1042"/>
      <c r="X209" s="1042"/>
      <c r="Y209" s="1042"/>
      <c r="Z209" s="1042"/>
      <c r="AA209" s="1496"/>
      <c r="AB209" s="473"/>
      <c r="AC209" s="473"/>
      <c r="AD209" s="473"/>
      <c r="AE209" s="473"/>
    </row>
    <row r="210" spans="1:31" s="4866" customFormat="1" ht="11.25" customHeight="1">
      <c r="A210" s="877"/>
      <c r="B210" s="1500"/>
      <c r="C210" s="1500"/>
      <c r="D210" s="268"/>
      <c r="K210" s="1042"/>
      <c r="L210" s="1500"/>
      <c r="M210" s="1500"/>
      <c r="N210" s="1042"/>
      <c r="O210" s="1042"/>
      <c r="P210" s="1042"/>
      <c r="Q210" s="1042"/>
      <c r="R210" s="1500"/>
      <c r="S210" s="1042"/>
      <c r="T210" s="1042"/>
      <c r="U210" s="451"/>
      <c r="V210" s="1042"/>
      <c r="W210" s="1042"/>
      <c r="X210" s="1042"/>
      <c r="Y210" s="1042"/>
      <c r="Z210" s="1042"/>
      <c r="AA210" s="1496"/>
      <c r="AB210" s="473"/>
      <c r="AC210" s="473"/>
      <c r="AD210" s="473"/>
      <c r="AE210" s="473"/>
    </row>
    <row r="211" spans="1:31" s="4866" customFormat="1" ht="11.25" customHeight="1">
      <c r="A211" s="877"/>
      <c r="B211" s="1500"/>
      <c r="C211" s="1500"/>
      <c r="D211" s="268"/>
      <c r="K211" s="1042"/>
      <c r="L211" s="1500"/>
      <c r="M211" s="1500"/>
      <c r="N211" s="1042"/>
      <c r="O211" s="1042"/>
      <c r="P211" s="1042"/>
      <c r="Q211" s="1042"/>
      <c r="R211" s="1500"/>
      <c r="S211" s="1042"/>
      <c r="T211" s="1042"/>
      <c r="U211" s="451"/>
      <c r="V211" s="1042"/>
      <c r="W211" s="1042"/>
      <c r="X211" s="1042"/>
      <c r="Y211" s="1042"/>
      <c r="Z211" s="1042"/>
      <c r="AA211" s="1496"/>
      <c r="AB211" s="473"/>
      <c r="AC211" s="473"/>
      <c r="AD211" s="473"/>
      <c r="AE211" s="473"/>
    </row>
    <row r="212" spans="1:31" s="4866" customFormat="1" ht="11.25" customHeight="1">
      <c r="A212" s="877"/>
      <c r="B212" s="1500"/>
      <c r="C212" s="1500"/>
      <c r="D212" s="268"/>
      <c r="K212" s="1042"/>
      <c r="L212" s="1500"/>
      <c r="M212" s="1500"/>
      <c r="N212" s="1042"/>
      <c r="O212" s="1042"/>
      <c r="P212" s="1042"/>
      <c r="Q212" s="1042"/>
      <c r="R212" s="1500"/>
      <c r="S212" s="1042"/>
      <c r="T212" s="1042"/>
      <c r="U212" s="451"/>
      <c r="V212" s="1042"/>
      <c r="W212" s="1042"/>
      <c r="X212" s="1042"/>
      <c r="Y212" s="1042"/>
      <c r="Z212" s="1042"/>
      <c r="AA212" s="1496"/>
      <c r="AB212" s="473"/>
      <c r="AC212" s="473"/>
      <c r="AD212" s="473"/>
      <c r="AE212" s="473"/>
    </row>
    <row r="213" spans="1:31" s="4866" customFormat="1" ht="11.25" customHeight="1">
      <c r="A213" s="877"/>
      <c r="B213" s="1500"/>
      <c r="C213" s="1500"/>
      <c r="D213" s="268"/>
      <c r="K213" s="1042"/>
      <c r="L213" s="1500"/>
      <c r="M213" s="1500"/>
      <c r="N213" s="1042"/>
      <c r="O213" s="1042"/>
      <c r="P213" s="1042"/>
      <c r="Q213" s="1042"/>
      <c r="R213" s="1500"/>
      <c r="S213" s="1042"/>
      <c r="T213" s="1042"/>
      <c r="U213" s="451"/>
      <c r="V213" s="1042"/>
      <c r="W213" s="1042"/>
      <c r="X213" s="1042"/>
      <c r="Y213" s="1042"/>
      <c r="Z213" s="1042"/>
      <c r="AA213" s="1496"/>
      <c r="AB213" s="473"/>
      <c r="AC213" s="473"/>
      <c r="AD213" s="473"/>
      <c r="AE213" s="473"/>
    </row>
    <row r="214" spans="1:31" s="4866" customFormat="1" ht="11.25" customHeight="1">
      <c r="A214" s="877"/>
      <c r="B214" s="1500"/>
      <c r="C214" s="1500"/>
      <c r="D214" s="268"/>
      <c r="K214" s="1042"/>
      <c r="L214" s="1500"/>
      <c r="M214" s="1500"/>
      <c r="N214" s="1042"/>
      <c r="O214" s="1042"/>
      <c r="P214" s="1042"/>
      <c r="Q214" s="1042"/>
      <c r="R214" s="1500"/>
      <c r="S214" s="1042"/>
      <c r="T214" s="1042"/>
      <c r="U214" s="451"/>
      <c r="V214" s="1042"/>
      <c r="W214" s="1042"/>
      <c r="X214" s="1042"/>
      <c r="Y214" s="1042"/>
      <c r="Z214" s="1042"/>
      <c r="AA214" s="1496"/>
      <c r="AB214" s="473"/>
      <c r="AC214" s="473"/>
      <c r="AD214" s="473"/>
      <c r="AE214" s="473"/>
    </row>
    <row r="215" spans="1:31" s="4866" customFormat="1" ht="11.25" customHeight="1">
      <c r="A215" s="877"/>
      <c r="B215" s="1500"/>
      <c r="C215" s="1500"/>
      <c r="D215" s="268"/>
      <c r="K215" s="1042"/>
      <c r="L215" s="1500"/>
      <c r="M215" s="1500"/>
      <c r="N215" s="1042"/>
      <c r="O215" s="1042"/>
      <c r="P215" s="1042"/>
      <c r="Q215" s="1042"/>
      <c r="R215" s="1500"/>
      <c r="S215" s="1042"/>
      <c r="T215" s="1042"/>
      <c r="U215" s="451"/>
      <c r="V215" s="1042"/>
      <c r="W215" s="1042"/>
      <c r="X215" s="1042"/>
      <c r="Y215" s="1042"/>
      <c r="Z215" s="1042"/>
      <c r="AA215" s="1496"/>
      <c r="AB215" s="473"/>
      <c r="AC215" s="473"/>
      <c r="AD215" s="473"/>
      <c r="AE215" s="473"/>
    </row>
    <row r="216" spans="1:31" s="4866" customFormat="1" ht="11.25" customHeight="1">
      <c r="A216" s="877"/>
      <c r="B216" s="1500"/>
      <c r="C216" s="1500"/>
      <c r="D216" s="268"/>
      <c r="K216" s="1042"/>
      <c r="L216" s="1500"/>
      <c r="M216" s="1500"/>
      <c r="N216" s="1042"/>
      <c r="O216" s="1042"/>
      <c r="P216" s="1042"/>
      <c r="Q216" s="1042"/>
      <c r="R216" s="1500"/>
      <c r="S216" s="1042"/>
      <c r="T216" s="1042"/>
      <c r="U216" s="451"/>
      <c r="V216" s="1042"/>
      <c r="W216" s="1042"/>
      <c r="X216" s="1042"/>
      <c r="Y216" s="1042"/>
      <c r="Z216" s="1042"/>
      <c r="AA216" s="1496"/>
      <c r="AB216" s="473"/>
      <c r="AC216" s="473"/>
      <c r="AD216" s="473"/>
      <c r="AE216" s="473"/>
    </row>
    <row r="217" spans="1:31" s="4866" customFormat="1" ht="11.25" customHeight="1">
      <c r="A217" s="877"/>
      <c r="B217" s="1500"/>
      <c r="C217" s="1500"/>
      <c r="D217" s="268"/>
      <c r="K217" s="1042"/>
      <c r="L217" s="1500"/>
      <c r="M217" s="1500"/>
      <c r="N217" s="1042"/>
      <c r="O217" s="1042"/>
      <c r="P217" s="1042"/>
      <c r="Q217" s="1042"/>
      <c r="R217" s="1500"/>
      <c r="S217" s="1042"/>
      <c r="T217" s="1042"/>
      <c r="U217" s="451"/>
      <c r="V217" s="1042"/>
      <c r="W217" s="1042"/>
      <c r="X217" s="1042"/>
      <c r="Y217" s="1042"/>
      <c r="Z217" s="1042"/>
      <c r="AA217" s="1496"/>
      <c r="AB217" s="473"/>
      <c r="AC217" s="473"/>
      <c r="AD217" s="473"/>
      <c r="AE217" s="473"/>
    </row>
    <row r="218" spans="1:31" s="4866" customFormat="1" ht="11.25" customHeight="1">
      <c r="A218" s="877"/>
      <c r="B218" s="1500"/>
      <c r="C218" s="1500"/>
      <c r="D218" s="268"/>
      <c r="K218" s="1042"/>
      <c r="L218" s="1500"/>
      <c r="M218" s="1500"/>
      <c r="N218" s="1042"/>
      <c r="O218" s="1042"/>
      <c r="P218" s="1042"/>
      <c r="Q218" s="1042"/>
      <c r="R218" s="1500"/>
      <c r="S218" s="1042"/>
      <c r="T218" s="1042"/>
      <c r="U218" s="451"/>
      <c r="V218" s="1042"/>
      <c r="W218" s="1042"/>
      <c r="X218" s="1042"/>
      <c r="Y218" s="1042"/>
      <c r="Z218" s="1042"/>
      <c r="AA218" s="1496"/>
      <c r="AB218" s="473"/>
      <c r="AC218" s="473"/>
      <c r="AD218" s="473"/>
      <c r="AE218" s="473"/>
    </row>
    <row r="219" spans="1:31" s="4866" customFormat="1" ht="11.25" customHeight="1">
      <c r="A219" s="877"/>
      <c r="B219" s="1500"/>
      <c r="C219" s="1500"/>
      <c r="D219" s="268"/>
      <c r="K219" s="1042"/>
      <c r="L219" s="1500"/>
      <c r="M219" s="1500"/>
      <c r="N219" s="1042"/>
      <c r="O219" s="1042"/>
      <c r="P219" s="1042"/>
      <c r="Q219" s="1042"/>
      <c r="R219" s="1500"/>
      <c r="S219" s="1042"/>
      <c r="T219" s="1042"/>
      <c r="U219" s="451"/>
      <c r="V219" s="1042"/>
      <c r="W219" s="1042"/>
      <c r="X219" s="1042"/>
      <c r="Y219" s="1042"/>
      <c r="Z219" s="1042"/>
      <c r="AA219" s="1496"/>
      <c r="AB219" s="473"/>
      <c r="AC219" s="473"/>
      <c r="AD219" s="473"/>
      <c r="AE219" s="473"/>
    </row>
    <row r="220" spans="1:31" s="4866" customFormat="1" ht="11.25" customHeight="1">
      <c r="A220" s="877"/>
      <c r="B220" s="1500"/>
      <c r="C220" s="1500"/>
      <c r="D220" s="268"/>
      <c r="K220" s="1042"/>
      <c r="L220" s="1500"/>
      <c r="M220" s="1500"/>
      <c r="N220" s="1042"/>
      <c r="O220" s="1042"/>
      <c r="P220" s="1042"/>
      <c r="Q220" s="1042"/>
      <c r="R220" s="1500"/>
      <c r="S220" s="1042"/>
      <c r="T220" s="1042"/>
      <c r="U220" s="451"/>
      <c r="V220" s="1042"/>
      <c r="W220" s="1042"/>
      <c r="X220" s="1042"/>
      <c r="Y220" s="1042"/>
      <c r="Z220" s="1042"/>
      <c r="AA220" s="1496"/>
      <c r="AB220" s="473"/>
      <c r="AC220" s="473"/>
      <c r="AD220" s="473"/>
      <c r="AE220" s="473"/>
    </row>
    <row r="221" spans="1:31" s="4866" customFormat="1" ht="11.25" customHeight="1">
      <c r="A221" s="877"/>
      <c r="B221" s="1500"/>
      <c r="C221" s="1500"/>
      <c r="D221" s="268"/>
      <c r="K221" s="1042"/>
      <c r="L221" s="1500"/>
      <c r="M221" s="1500"/>
      <c r="N221" s="1042"/>
      <c r="O221" s="1042"/>
      <c r="P221" s="1042"/>
      <c r="Q221" s="1042"/>
      <c r="R221" s="1500"/>
      <c r="S221" s="1042"/>
      <c r="T221" s="1042"/>
      <c r="U221" s="451"/>
      <c r="V221" s="1042"/>
      <c r="W221" s="1042"/>
      <c r="X221" s="1042"/>
      <c r="Y221" s="1042"/>
      <c r="Z221" s="1042"/>
      <c r="AA221" s="1496"/>
      <c r="AB221" s="473"/>
      <c r="AC221" s="473"/>
      <c r="AD221" s="473"/>
      <c r="AE221" s="473"/>
    </row>
    <row r="222" spans="1:31" s="4866" customFormat="1" ht="11.25" customHeight="1">
      <c r="A222" s="877"/>
      <c r="B222" s="1500"/>
      <c r="C222" s="1500"/>
      <c r="D222" s="268"/>
      <c r="K222" s="1042"/>
      <c r="L222" s="1500"/>
      <c r="M222" s="1500"/>
      <c r="N222" s="1042"/>
      <c r="O222" s="1042"/>
      <c r="P222" s="1042"/>
      <c r="Q222" s="1042"/>
      <c r="R222" s="1500"/>
      <c r="S222" s="1042"/>
      <c r="T222" s="1042"/>
      <c r="U222" s="451"/>
      <c r="V222" s="1042"/>
      <c r="W222" s="1042"/>
      <c r="X222" s="1042"/>
      <c r="Y222" s="1042"/>
      <c r="Z222" s="1042"/>
      <c r="AA222" s="1496"/>
      <c r="AB222" s="473"/>
      <c r="AC222" s="473"/>
      <c r="AD222" s="473"/>
      <c r="AE222" s="473"/>
    </row>
    <row r="223" spans="1:31" s="4866" customFormat="1" ht="11.25" customHeight="1">
      <c r="A223" s="877"/>
      <c r="B223" s="1500"/>
      <c r="C223" s="1500"/>
      <c r="D223" s="268"/>
      <c r="K223" s="1042"/>
      <c r="L223" s="1500"/>
      <c r="M223" s="1500"/>
      <c r="N223" s="1042"/>
      <c r="O223" s="1042"/>
      <c r="P223" s="1042"/>
      <c r="Q223" s="1042"/>
      <c r="R223" s="1500"/>
      <c r="S223" s="1042"/>
      <c r="T223" s="1042"/>
      <c r="U223" s="451"/>
      <c r="V223" s="1042"/>
      <c r="W223" s="1042"/>
      <c r="X223" s="1042"/>
      <c r="Y223" s="1042"/>
      <c r="Z223" s="1042"/>
      <c r="AA223" s="1496"/>
      <c r="AB223" s="473"/>
      <c r="AC223" s="473"/>
      <c r="AD223" s="473"/>
      <c r="AE223" s="473"/>
    </row>
    <row r="224" spans="1:31" s="4866" customFormat="1" ht="11.25" customHeight="1">
      <c r="A224" s="877"/>
      <c r="B224" s="1500"/>
      <c r="C224" s="1500"/>
      <c r="D224" s="268"/>
      <c r="K224" s="1042"/>
      <c r="L224" s="1500"/>
      <c r="M224" s="1500"/>
      <c r="N224" s="1042"/>
      <c r="O224" s="1042"/>
      <c r="P224" s="1042"/>
      <c r="Q224" s="1042"/>
      <c r="R224" s="1500"/>
      <c r="S224" s="1042"/>
      <c r="T224" s="1042"/>
      <c r="U224" s="451"/>
      <c r="V224" s="1042"/>
      <c r="W224" s="1042"/>
      <c r="X224" s="1042"/>
      <c r="Y224" s="1042"/>
      <c r="Z224" s="1042"/>
      <c r="AA224" s="1496"/>
      <c r="AB224" s="473"/>
      <c r="AC224" s="473"/>
      <c r="AD224" s="473"/>
      <c r="AE224" s="473"/>
    </row>
    <row r="225" spans="1:31" s="4866" customFormat="1" ht="11.25" customHeight="1">
      <c r="A225" s="877"/>
      <c r="B225" s="1500"/>
      <c r="C225" s="1500"/>
      <c r="D225" s="268"/>
      <c r="K225" s="1042"/>
      <c r="L225" s="1500"/>
      <c r="M225" s="1500"/>
      <c r="N225" s="1042"/>
      <c r="O225" s="1042"/>
      <c r="P225" s="1042"/>
      <c r="Q225" s="1042"/>
      <c r="R225" s="1500"/>
      <c r="S225" s="1042"/>
      <c r="T225" s="1042"/>
      <c r="U225" s="451"/>
      <c r="V225" s="1042"/>
      <c r="W225" s="1042"/>
      <c r="X225" s="1042"/>
      <c r="Y225" s="1042"/>
      <c r="Z225" s="1042"/>
      <c r="AA225" s="1496"/>
      <c r="AB225" s="473"/>
      <c r="AC225" s="473"/>
      <c r="AD225" s="473"/>
      <c r="AE225" s="473"/>
    </row>
    <row r="226" spans="1:31" s="4866" customFormat="1" ht="11.25" customHeight="1">
      <c r="A226" s="877"/>
      <c r="B226" s="1500"/>
      <c r="C226" s="1500"/>
      <c r="D226" s="268"/>
      <c r="K226" s="1042"/>
      <c r="L226" s="1500"/>
      <c r="M226" s="1500"/>
      <c r="N226" s="1042"/>
      <c r="O226" s="1042"/>
      <c r="P226" s="1042"/>
      <c r="Q226" s="1042"/>
      <c r="R226" s="1500"/>
      <c r="S226" s="1042"/>
      <c r="T226" s="1042"/>
      <c r="U226" s="451"/>
      <c r="V226" s="1042"/>
      <c r="W226" s="1042"/>
      <c r="X226" s="1042"/>
      <c r="Y226" s="1042"/>
      <c r="Z226" s="1042"/>
      <c r="AA226" s="1496"/>
      <c r="AB226" s="473"/>
      <c r="AC226" s="473"/>
      <c r="AD226" s="473"/>
      <c r="AE226" s="473"/>
    </row>
    <row r="227" spans="1:31" s="4866" customFormat="1" ht="11.25" customHeight="1">
      <c r="A227" s="877"/>
      <c r="B227" s="1500"/>
      <c r="C227" s="1500"/>
      <c r="D227" s="268"/>
      <c r="K227" s="1042"/>
      <c r="L227" s="1500"/>
      <c r="M227" s="1500"/>
      <c r="N227" s="1042"/>
      <c r="O227" s="1042"/>
      <c r="P227" s="1042"/>
      <c r="Q227" s="1042"/>
      <c r="R227" s="1500"/>
      <c r="S227" s="1042"/>
      <c r="T227" s="1042"/>
      <c r="U227" s="451"/>
      <c r="V227" s="1042"/>
      <c r="W227" s="1042"/>
      <c r="X227" s="1042"/>
      <c r="Y227" s="1042"/>
      <c r="Z227" s="1042"/>
      <c r="AA227" s="1496"/>
      <c r="AB227" s="473"/>
      <c r="AC227" s="473"/>
      <c r="AD227" s="473"/>
      <c r="AE227" s="473"/>
    </row>
    <row r="228" spans="1:31" s="4866" customFormat="1" ht="11.25" customHeight="1">
      <c r="A228" s="877"/>
      <c r="B228" s="1500"/>
      <c r="C228" s="1500"/>
      <c r="D228" s="268"/>
      <c r="K228" s="1042"/>
      <c r="L228" s="1500"/>
      <c r="M228" s="1500"/>
      <c r="N228" s="1042"/>
      <c r="O228" s="1042"/>
      <c r="P228" s="1042"/>
      <c r="Q228" s="1042"/>
      <c r="R228" s="1500"/>
      <c r="S228" s="1042"/>
      <c r="T228" s="1042"/>
      <c r="U228" s="451"/>
      <c r="V228" s="1042"/>
      <c r="W228" s="1042"/>
      <c r="X228" s="1042"/>
      <c r="Y228" s="1042"/>
      <c r="Z228" s="1042"/>
      <c r="AA228" s="1496"/>
      <c r="AB228" s="473"/>
      <c r="AC228" s="473"/>
      <c r="AD228" s="473"/>
      <c r="AE228" s="473"/>
    </row>
    <row r="229" spans="1:31" s="4866" customFormat="1" ht="11.25" customHeight="1">
      <c r="A229" s="877"/>
      <c r="B229" s="1500"/>
      <c r="C229" s="1500"/>
      <c r="D229" s="268"/>
      <c r="K229" s="1042"/>
      <c r="L229" s="1500"/>
      <c r="M229" s="1500"/>
      <c r="N229" s="1042"/>
      <c r="O229" s="1042"/>
      <c r="P229" s="1042"/>
      <c r="Q229" s="1042"/>
      <c r="R229" s="1500"/>
      <c r="S229" s="1042"/>
      <c r="T229" s="1042"/>
      <c r="U229" s="451"/>
      <c r="V229" s="1042"/>
      <c r="W229" s="1042"/>
      <c r="X229" s="1042"/>
      <c r="Y229" s="1042"/>
      <c r="Z229" s="1042"/>
      <c r="AA229" s="1496"/>
      <c r="AB229" s="473"/>
      <c r="AC229" s="473"/>
      <c r="AD229" s="473"/>
      <c r="AE229" s="473"/>
    </row>
    <row r="230" spans="1:31" s="4866" customFormat="1" ht="11.25" customHeight="1">
      <c r="A230" s="877"/>
      <c r="B230" s="1500"/>
      <c r="C230" s="1500"/>
      <c r="D230" s="268"/>
      <c r="K230" s="1042"/>
      <c r="L230" s="1500"/>
      <c r="M230" s="1500"/>
      <c r="N230" s="1042"/>
      <c r="O230" s="1042"/>
      <c r="P230" s="1042"/>
      <c r="Q230" s="1042"/>
      <c r="R230" s="1500"/>
      <c r="S230" s="1042"/>
      <c r="T230" s="1042"/>
      <c r="U230" s="451"/>
      <c r="V230" s="1042"/>
      <c r="W230" s="1042"/>
      <c r="X230" s="1042"/>
      <c r="Y230" s="1042"/>
      <c r="Z230" s="1042"/>
      <c r="AA230" s="1496"/>
      <c r="AB230" s="473"/>
      <c r="AC230" s="473"/>
      <c r="AD230" s="473"/>
      <c r="AE230" s="473"/>
    </row>
    <row r="231" spans="1:31" s="4866" customFormat="1" ht="11.25" customHeight="1">
      <c r="A231" s="877"/>
      <c r="B231" s="1500"/>
      <c r="C231" s="1500"/>
      <c r="D231" s="268"/>
      <c r="K231" s="1042"/>
      <c r="L231" s="1500"/>
      <c r="M231" s="1500"/>
      <c r="N231" s="1042"/>
      <c r="O231" s="1042"/>
      <c r="P231" s="1042"/>
      <c r="Q231" s="1042"/>
      <c r="R231" s="1500"/>
      <c r="S231" s="1042"/>
      <c r="T231" s="1042"/>
      <c r="U231" s="451"/>
      <c r="V231" s="1042"/>
      <c r="W231" s="1042"/>
      <c r="X231" s="1042"/>
      <c r="Y231" s="1042"/>
      <c r="Z231" s="1042"/>
      <c r="AA231" s="1496"/>
      <c r="AB231" s="473"/>
      <c r="AC231" s="473"/>
      <c r="AD231" s="473"/>
      <c r="AE231" s="473"/>
    </row>
    <row r="232" spans="1:31" s="4866" customFormat="1" ht="11.25" customHeight="1">
      <c r="A232" s="877"/>
      <c r="B232" s="1500"/>
      <c r="C232" s="1500"/>
      <c r="D232" s="268"/>
      <c r="K232" s="1042"/>
      <c r="L232" s="1500"/>
      <c r="M232" s="1500"/>
      <c r="N232" s="1042"/>
      <c r="O232" s="1042"/>
      <c r="P232" s="1042"/>
      <c r="Q232" s="1042"/>
      <c r="R232" s="1500"/>
      <c r="S232" s="1042"/>
      <c r="T232" s="1042"/>
      <c r="U232" s="451"/>
      <c r="V232" s="1042"/>
      <c r="W232" s="1042"/>
      <c r="X232" s="1042"/>
      <c r="Y232" s="1042"/>
      <c r="Z232" s="1042"/>
      <c r="AA232" s="1496"/>
      <c r="AB232" s="473"/>
      <c r="AC232" s="473"/>
      <c r="AD232" s="473"/>
      <c r="AE232" s="473"/>
    </row>
    <row r="233" spans="1:31" s="4866" customFormat="1" ht="11.25" customHeight="1">
      <c r="A233" s="877"/>
      <c r="B233" s="1500"/>
      <c r="C233" s="1500"/>
      <c r="D233" s="268"/>
      <c r="K233" s="1042"/>
      <c r="L233" s="1500"/>
      <c r="M233" s="1500"/>
      <c r="N233" s="1042"/>
      <c r="O233" s="1042"/>
      <c r="P233" s="1042"/>
      <c r="Q233" s="1042"/>
      <c r="R233" s="1500"/>
      <c r="S233" s="1042"/>
      <c r="T233" s="1042"/>
      <c r="U233" s="451"/>
      <c r="V233" s="1042"/>
      <c r="W233" s="1042"/>
      <c r="X233" s="1042"/>
      <c r="Y233" s="1042"/>
      <c r="Z233" s="1042"/>
      <c r="AA233" s="1496"/>
      <c r="AB233" s="473"/>
      <c r="AC233" s="473"/>
      <c r="AD233" s="473"/>
      <c r="AE233" s="473"/>
    </row>
    <row r="234" spans="1:31" s="4866" customFormat="1" ht="11.25" customHeight="1">
      <c r="A234" s="877"/>
      <c r="B234" s="1500"/>
      <c r="C234" s="1500"/>
      <c r="D234" s="268"/>
      <c r="K234" s="1042"/>
      <c r="L234" s="1500"/>
      <c r="M234" s="1500"/>
      <c r="N234" s="1042"/>
      <c r="O234" s="1042"/>
      <c r="P234" s="1042"/>
      <c r="Q234" s="1042"/>
      <c r="R234" s="1500"/>
      <c r="S234" s="1042"/>
      <c r="T234" s="1042"/>
      <c r="U234" s="451"/>
      <c r="V234" s="1042"/>
      <c r="W234" s="1042"/>
      <c r="X234" s="1042"/>
      <c r="Y234" s="1042"/>
      <c r="Z234" s="1042"/>
      <c r="AA234" s="1496"/>
      <c r="AB234" s="473"/>
      <c r="AC234" s="473"/>
      <c r="AD234" s="473"/>
      <c r="AE234" s="473"/>
    </row>
    <row r="235" spans="1:31" s="4866" customFormat="1" ht="11.25" customHeight="1">
      <c r="A235" s="877"/>
      <c r="B235" s="1500"/>
      <c r="C235" s="1500"/>
      <c r="D235" s="268"/>
      <c r="K235" s="1042"/>
      <c r="L235" s="1500"/>
      <c r="M235" s="1500"/>
      <c r="N235" s="1042"/>
      <c r="O235" s="1042"/>
      <c r="P235" s="1042"/>
      <c r="Q235" s="1042"/>
      <c r="R235" s="1500"/>
      <c r="S235" s="1042"/>
      <c r="T235" s="1042"/>
      <c r="U235" s="451"/>
      <c r="V235" s="1042"/>
      <c r="W235" s="1042"/>
      <c r="X235" s="1042"/>
      <c r="Y235" s="1042"/>
      <c r="Z235" s="1042"/>
      <c r="AA235" s="1496"/>
      <c r="AB235" s="473"/>
      <c r="AC235" s="473"/>
      <c r="AD235" s="473"/>
      <c r="AE235" s="473"/>
    </row>
    <row r="236" spans="1:31" s="4866" customFormat="1" ht="11.25" customHeight="1">
      <c r="A236" s="877"/>
      <c r="B236" s="1500"/>
      <c r="C236" s="1500"/>
      <c r="D236" s="268"/>
      <c r="K236" s="1042"/>
      <c r="L236" s="1500"/>
      <c r="M236" s="1500"/>
      <c r="N236" s="1042"/>
      <c r="O236" s="1042"/>
      <c r="P236" s="1042"/>
      <c r="Q236" s="1042"/>
      <c r="R236" s="1500"/>
      <c r="S236" s="1042"/>
      <c r="T236" s="1042"/>
      <c r="U236" s="451"/>
      <c r="V236" s="1042"/>
      <c r="W236" s="1042"/>
      <c r="X236" s="1042"/>
      <c r="Y236" s="1042"/>
      <c r="Z236" s="1042"/>
      <c r="AA236" s="1496"/>
      <c r="AB236" s="473"/>
      <c r="AC236" s="473"/>
      <c r="AD236" s="473"/>
      <c r="AE236" s="473"/>
    </row>
    <row r="237" spans="1:31" s="4866" customFormat="1" ht="11.25" customHeight="1">
      <c r="A237" s="877"/>
      <c r="B237" s="1500"/>
      <c r="C237" s="1500"/>
      <c r="D237" s="268"/>
      <c r="K237" s="1042"/>
      <c r="L237" s="1500"/>
      <c r="M237" s="1500"/>
      <c r="N237" s="1042"/>
      <c r="O237" s="1042"/>
      <c r="P237" s="1042"/>
      <c r="Q237" s="1042"/>
      <c r="R237" s="1500"/>
      <c r="S237" s="1042"/>
      <c r="T237" s="1042"/>
      <c r="U237" s="451"/>
      <c r="V237" s="1042"/>
      <c r="W237" s="1042"/>
      <c r="X237" s="1042"/>
      <c r="Y237" s="1042"/>
      <c r="Z237" s="1042"/>
      <c r="AA237" s="1496"/>
      <c r="AB237" s="473"/>
      <c r="AC237" s="473"/>
      <c r="AD237" s="473"/>
      <c r="AE237" s="473"/>
    </row>
    <row r="238" spans="1:31" s="4866" customFormat="1" ht="11.25" customHeight="1">
      <c r="A238" s="877"/>
      <c r="B238" s="1500"/>
      <c r="C238" s="1500"/>
      <c r="D238" s="268"/>
      <c r="K238" s="1042"/>
      <c r="L238" s="1500"/>
      <c r="M238" s="1500"/>
      <c r="N238" s="1042"/>
      <c r="O238" s="1042"/>
      <c r="P238" s="1042"/>
      <c r="Q238" s="1042"/>
      <c r="R238" s="1500"/>
      <c r="S238" s="1042"/>
      <c r="T238" s="1042"/>
      <c r="U238" s="451"/>
      <c r="V238" s="1042"/>
      <c r="W238" s="1042"/>
      <c r="X238" s="1042"/>
      <c r="Y238" s="1042"/>
      <c r="Z238" s="1042"/>
      <c r="AA238" s="1496"/>
      <c r="AB238" s="473"/>
      <c r="AC238" s="473"/>
      <c r="AD238" s="473"/>
      <c r="AE238" s="473"/>
    </row>
    <row r="239" spans="1:31" s="4866" customFormat="1" ht="11.25" customHeight="1">
      <c r="A239" s="877"/>
      <c r="B239" s="1500"/>
      <c r="C239" s="1500"/>
      <c r="D239" s="268"/>
      <c r="K239" s="1042"/>
      <c r="L239" s="1500"/>
      <c r="M239" s="1500"/>
      <c r="N239" s="1042"/>
      <c r="O239" s="1042"/>
      <c r="P239" s="1042"/>
      <c r="Q239" s="1042"/>
      <c r="R239" s="1500"/>
      <c r="S239" s="1042"/>
      <c r="T239" s="1042"/>
      <c r="U239" s="451"/>
      <c r="V239" s="1042"/>
      <c r="W239" s="1042"/>
      <c r="X239" s="1042"/>
      <c r="Y239" s="1042"/>
      <c r="Z239" s="1042"/>
      <c r="AA239" s="1496"/>
      <c r="AB239" s="473"/>
      <c r="AC239" s="473"/>
      <c r="AD239" s="473"/>
      <c r="AE239" s="473"/>
    </row>
    <row r="240" spans="1:31" s="4866" customFormat="1" ht="11.25" customHeight="1">
      <c r="A240" s="877"/>
      <c r="B240" s="1500"/>
      <c r="C240" s="1500"/>
      <c r="D240" s="268"/>
      <c r="K240" s="1042"/>
      <c r="L240" s="1500"/>
      <c r="M240" s="1500"/>
      <c r="N240" s="1042"/>
      <c r="O240" s="1042"/>
      <c r="P240" s="1042"/>
      <c r="Q240" s="1042"/>
      <c r="R240" s="1500"/>
      <c r="S240" s="1042"/>
      <c r="T240" s="1042"/>
      <c r="U240" s="451"/>
      <c r="V240" s="1042"/>
      <c r="W240" s="1042"/>
      <c r="X240" s="1042"/>
      <c r="Y240" s="1042"/>
      <c r="Z240" s="1042"/>
      <c r="AA240" s="1496"/>
      <c r="AB240" s="473"/>
      <c r="AC240" s="473"/>
      <c r="AD240" s="473"/>
      <c r="AE240" s="473"/>
    </row>
    <row r="241" spans="1:31" s="4866" customFormat="1" ht="11.25" customHeight="1">
      <c r="A241" s="877"/>
      <c r="B241" s="1500"/>
      <c r="C241" s="1500"/>
      <c r="D241" s="268"/>
      <c r="K241" s="1042"/>
      <c r="L241" s="1500"/>
      <c r="M241" s="1500"/>
      <c r="N241" s="1042"/>
      <c r="O241" s="1042"/>
      <c r="P241" s="1042"/>
      <c r="Q241" s="1042"/>
      <c r="R241" s="1500"/>
      <c r="S241" s="1042"/>
      <c r="T241" s="1042"/>
      <c r="U241" s="451"/>
      <c r="V241" s="1042"/>
      <c r="W241" s="1042"/>
      <c r="X241" s="1042"/>
      <c r="Y241" s="1042"/>
      <c r="Z241" s="1042"/>
      <c r="AA241" s="1496"/>
      <c r="AB241" s="473"/>
      <c r="AC241" s="473"/>
      <c r="AD241" s="473"/>
      <c r="AE241" s="473"/>
    </row>
    <row r="242" spans="1:31" s="4866" customFormat="1" ht="11.25" customHeight="1">
      <c r="A242" s="877"/>
      <c r="B242" s="1500"/>
      <c r="C242" s="1500"/>
      <c r="D242" s="268"/>
      <c r="K242" s="1042"/>
      <c r="L242" s="1500"/>
      <c r="M242" s="1500"/>
      <c r="N242" s="1042"/>
      <c r="O242" s="1042"/>
      <c r="P242" s="1042"/>
      <c r="Q242" s="1042"/>
      <c r="R242" s="1500"/>
      <c r="S242" s="1042"/>
      <c r="T242" s="1042"/>
      <c r="U242" s="451"/>
      <c r="V242" s="1042"/>
      <c r="W242" s="1042"/>
      <c r="X242" s="1042"/>
      <c r="Y242" s="1042"/>
      <c r="Z242" s="1042"/>
      <c r="AA242" s="1496"/>
      <c r="AB242" s="473"/>
      <c r="AC242" s="473"/>
      <c r="AD242" s="473"/>
      <c r="AE242" s="473"/>
    </row>
    <row r="243" spans="1:31" s="4866" customFormat="1" ht="11.25" customHeight="1">
      <c r="A243" s="877"/>
      <c r="B243" s="1500"/>
      <c r="C243" s="1500"/>
      <c r="D243" s="268"/>
      <c r="K243" s="1042"/>
      <c r="L243" s="1500"/>
      <c r="M243" s="1500"/>
      <c r="N243" s="1042"/>
      <c r="O243" s="1042"/>
      <c r="P243" s="1042"/>
      <c r="Q243" s="1042"/>
      <c r="R243" s="1500"/>
      <c r="S243" s="1042"/>
      <c r="T243" s="1042"/>
      <c r="U243" s="451"/>
      <c r="V243" s="1042"/>
      <c r="W243" s="1042"/>
      <c r="X243" s="1042"/>
      <c r="Y243" s="1042"/>
      <c r="Z243" s="1042"/>
      <c r="AA243" s="1496"/>
      <c r="AB243" s="473"/>
      <c r="AC243" s="473"/>
      <c r="AD243" s="473"/>
      <c r="AE243" s="473"/>
    </row>
    <row r="244" spans="1:31" s="4866" customFormat="1" ht="11.25" customHeight="1">
      <c r="A244" s="877"/>
      <c r="B244" s="1500"/>
      <c r="C244" s="1500"/>
      <c r="D244" s="268"/>
      <c r="K244" s="1042"/>
      <c r="L244" s="1500"/>
      <c r="M244" s="1500"/>
      <c r="N244" s="1042"/>
      <c r="O244" s="1042"/>
      <c r="P244" s="1042"/>
      <c r="Q244" s="1042"/>
      <c r="R244" s="1500"/>
      <c r="S244" s="1042"/>
      <c r="T244" s="1042"/>
      <c r="U244" s="451"/>
      <c r="V244" s="1042"/>
      <c r="W244" s="1042"/>
      <c r="X244" s="1042"/>
      <c r="Y244" s="1042"/>
      <c r="Z244" s="1042"/>
      <c r="AA244" s="1496"/>
      <c r="AB244" s="473"/>
      <c r="AC244" s="473"/>
      <c r="AD244" s="473"/>
      <c r="AE244" s="473"/>
    </row>
    <row r="245" spans="1:31" s="4866" customFormat="1" ht="11.25" customHeight="1">
      <c r="A245" s="877"/>
      <c r="B245" s="1500"/>
      <c r="C245" s="1500"/>
      <c r="D245" s="268"/>
      <c r="K245" s="1042"/>
      <c r="L245" s="1500"/>
      <c r="M245" s="1500"/>
      <c r="N245" s="1042"/>
      <c r="O245" s="1042"/>
      <c r="P245" s="1042"/>
      <c r="Q245" s="1042"/>
      <c r="R245" s="1500"/>
      <c r="S245" s="1042"/>
      <c r="T245" s="1042"/>
      <c r="U245" s="451"/>
      <c r="V245" s="1042"/>
      <c r="W245" s="1042"/>
      <c r="X245" s="1042"/>
      <c r="Y245" s="1042"/>
      <c r="Z245" s="1042"/>
      <c r="AA245" s="1496"/>
      <c r="AB245" s="473"/>
      <c r="AC245" s="473"/>
      <c r="AD245" s="473"/>
      <c r="AE245" s="473"/>
    </row>
    <row r="246" spans="1:31" s="4866" customFormat="1" ht="11.25" customHeight="1">
      <c r="A246" s="877"/>
      <c r="B246" s="1500"/>
      <c r="C246" s="1500"/>
      <c r="D246" s="268"/>
      <c r="K246" s="1042"/>
      <c r="L246" s="1500"/>
      <c r="M246" s="1500"/>
      <c r="N246" s="1042"/>
      <c r="O246" s="1042"/>
      <c r="P246" s="1042"/>
      <c r="Q246" s="1042"/>
      <c r="R246" s="1500"/>
      <c r="S246" s="1042"/>
      <c r="T246" s="1042"/>
      <c r="U246" s="451"/>
      <c r="V246" s="1042"/>
      <c r="W246" s="1042"/>
      <c r="X246" s="1042"/>
      <c r="Y246" s="1042"/>
      <c r="Z246" s="1042"/>
      <c r="AA246" s="1496"/>
      <c r="AB246" s="473"/>
      <c r="AC246" s="473"/>
      <c r="AD246" s="473"/>
      <c r="AE246" s="473"/>
    </row>
    <row r="247" spans="1:31" s="4866" customFormat="1" ht="11.25" customHeight="1">
      <c r="A247" s="877"/>
      <c r="B247" s="1500"/>
      <c r="C247" s="1500"/>
      <c r="D247" s="268"/>
      <c r="K247" s="1042"/>
      <c r="L247" s="1500"/>
      <c r="M247" s="1500"/>
      <c r="N247" s="1042"/>
      <c r="O247" s="1042"/>
      <c r="P247" s="1042"/>
      <c r="Q247" s="1042"/>
      <c r="R247" s="1500"/>
      <c r="S247" s="1042"/>
      <c r="T247" s="1042"/>
      <c r="U247" s="451"/>
      <c r="V247" s="1042"/>
      <c r="W247" s="1042"/>
      <c r="X247" s="1042"/>
      <c r="Y247" s="1042"/>
      <c r="Z247" s="1042"/>
      <c r="AA247" s="1496"/>
      <c r="AB247" s="473"/>
      <c r="AC247" s="473"/>
      <c r="AD247" s="473"/>
      <c r="AE247" s="473"/>
    </row>
    <row r="248" spans="1:31" s="4866" customFormat="1" ht="11.25" customHeight="1">
      <c r="A248" s="877"/>
      <c r="B248" s="1500"/>
      <c r="C248" s="1500"/>
      <c r="D248" s="268"/>
      <c r="K248" s="1042"/>
      <c r="L248" s="1500"/>
      <c r="M248" s="1500"/>
      <c r="N248" s="1042"/>
      <c r="O248" s="1042"/>
      <c r="P248" s="1042"/>
      <c r="Q248" s="1042"/>
      <c r="R248" s="1500"/>
      <c r="S248" s="1042"/>
      <c r="T248" s="1042"/>
      <c r="U248" s="451"/>
      <c r="V248" s="1042"/>
      <c r="W248" s="1042"/>
      <c r="X248" s="1042"/>
      <c r="Y248" s="1042"/>
      <c r="Z248" s="1042"/>
      <c r="AA248" s="1496"/>
      <c r="AB248" s="473"/>
      <c r="AC248" s="473"/>
      <c r="AD248" s="473"/>
      <c r="AE248" s="473"/>
    </row>
    <row r="249" spans="1:31" s="4866" customFormat="1" ht="11.25" customHeight="1">
      <c r="A249" s="877"/>
      <c r="B249" s="1500"/>
      <c r="C249" s="1500"/>
      <c r="D249" s="268"/>
      <c r="K249" s="1042"/>
      <c r="L249" s="1500"/>
      <c r="M249" s="1500"/>
      <c r="N249" s="1042"/>
      <c r="O249" s="1042"/>
      <c r="P249" s="1042"/>
      <c r="Q249" s="1042"/>
      <c r="R249" s="1500"/>
      <c r="S249" s="1042"/>
      <c r="T249" s="1042"/>
      <c r="U249" s="451"/>
      <c r="V249" s="1042"/>
      <c r="W249" s="1042"/>
      <c r="X249" s="1042"/>
      <c r="Y249" s="1042"/>
      <c r="Z249" s="1042"/>
      <c r="AA249" s="1496"/>
      <c r="AB249" s="473"/>
      <c r="AC249" s="473"/>
      <c r="AD249" s="473"/>
      <c r="AE249" s="473"/>
    </row>
    <row r="250" spans="1:31" s="4866" customFormat="1" ht="11.25" customHeight="1">
      <c r="A250" s="877"/>
      <c r="B250" s="1500"/>
      <c r="C250" s="1500"/>
      <c r="D250" s="268"/>
      <c r="K250" s="1042"/>
      <c r="L250" s="1500"/>
      <c r="M250" s="1500"/>
      <c r="N250" s="1042"/>
      <c r="O250" s="1042"/>
      <c r="P250" s="1042"/>
      <c r="Q250" s="1042"/>
      <c r="R250" s="1500"/>
      <c r="S250" s="1042"/>
      <c r="T250" s="1042"/>
      <c r="U250" s="451"/>
      <c r="V250" s="1042"/>
      <c r="W250" s="1042"/>
      <c r="X250" s="1042"/>
      <c r="Y250" s="1042"/>
      <c r="Z250" s="1042"/>
      <c r="AA250" s="1496"/>
      <c r="AB250" s="473"/>
      <c r="AC250" s="473"/>
      <c r="AD250" s="473"/>
      <c r="AE250" s="473"/>
    </row>
    <row r="251" spans="1:31" s="4866" customFormat="1" ht="11.25" customHeight="1">
      <c r="A251" s="877"/>
      <c r="B251" s="1500"/>
      <c r="C251" s="1500"/>
      <c r="D251" s="268"/>
      <c r="K251" s="1042"/>
      <c r="L251" s="1500"/>
      <c r="M251" s="1500"/>
      <c r="N251" s="1042"/>
      <c r="O251" s="1042"/>
      <c r="P251" s="1042"/>
      <c r="Q251" s="1042"/>
      <c r="R251" s="1500"/>
      <c r="S251" s="1042"/>
      <c r="T251" s="1042"/>
      <c r="U251" s="451"/>
      <c r="V251" s="1042"/>
      <c r="W251" s="1042"/>
      <c r="X251" s="1042"/>
      <c r="Y251" s="1042"/>
      <c r="Z251" s="1042"/>
      <c r="AA251" s="1496"/>
      <c r="AB251" s="473"/>
      <c r="AC251" s="473"/>
      <c r="AD251" s="473"/>
      <c r="AE251" s="473"/>
    </row>
    <row r="252" spans="1:31" s="4866" customFormat="1" ht="11.25" customHeight="1">
      <c r="A252" s="877"/>
      <c r="B252" s="1500"/>
      <c r="C252" s="1500"/>
      <c r="D252" s="268"/>
      <c r="K252" s="1042"/>
      <c r="L252" s="1500"/>
      <c r="M252" s="1500"/>
      <c r="N252" s="1042"/>
      <c r="O252" s="1042"/>
      <c r="P252" s="1042"/>
      <c r="Q252" s="1042"/>
      <c r="R252" s="1500"/>
      <c r="S252" s="1042"/>
      <c r="T252" s="1042"/>
      <c r="U252" s="451"/>
      <c r="V252" s="1042"/>
      <c r="W252" s="1042"/>
      <c r="X252" s="1042"/>
      <c r="Y252" s="1042"/>
      <c r="Z252" s="1042"/>
      <c r="AA252" s="1496"/>
      <c r="AB252" s="473"/>
      <c r="AC252" s="473"/>
      <c r="AD252" s="473"/>
      <c r="AE252" s="473"/>
    </row>
    <row r="253" spans="1:31" s="4866" customFormat="1" ht="11.25" customHeight="1">
      <c r="A253" s="877"/>
      <c r="B253" s="1500"/>
      <c r="C253" s="1500"/>
      <c r="D253" s="268"/>
      <c r="K253" s="1042"/>
      <c r="L253" s="1500"/>
      <c r="M253" s="1500"/>
      <c r="N253" s="1042"/>
      <c r="O253" s="1042"/>
      <c r="P253" s="1042"/>
      <c r="Q253" s="1042"/>
      <c r="R253" s="1500"/>
      <c r="S253" s="1042"/>
      <c r="T253" s="1042"/>
      <c r="U253" s="451"/>
      <c r="V253" s="1042"/>
      <c r="W253" s="1042"/>
      <c r="X253" s="1042"/>
      <c r="Y253" s="1042"/>
      <c r="Z253" s="1042"/>
      <c r="AA253" s="1496"/>
      <c r="AB253" s="473"/>
      <c r="AC253" s="473"/>
      <c r="AD253" s="473"/>
      <c r="AE253" s="473"/>
    </row>
    <row r="254" spans="1:31" s="4866" customFormat="1" ht="11.25" customHeight="1">
      <c r="A254" s="877"/>
      <c r="B254" s="1500"/>
      <c r="C254" s="1500"/>
      <c r="D254" s="268"/>
      <c r="K254" s="1042"/>
      <c r="L254" s="1500"/>
      <c r="M254" s="1500"/>
      <c r="N254" s="1042"/>
      <c r="O254" s="1042"/>
      <c r="P254" s="1042"/>
      <c r="Q254" s="1042"/>
      <c r="R254" s="1500"/>
      <c r="S254" s="1042"/>
      <c r="T254" s="1042"/>
      <c r="U254" s="451"/>
      <c r="V254" s="1042"/>
      <c r="W254" s="1042"/>
      <c r="X254" s="1042"/>
      <c r="Y254" s="1042"/>
      <c r="Z254" s="1042"/>
      <c r="AA254" s="1496"/>
      <c r="AB254" s="473"/>
      <c r="AC254" s="473"/>
      <c r="AD254" s="473"/>
      <c r="AE254" s="473"/>
    </row>
    <row r="255" spans="1:31" s="4866" customFormat="1" ht="11.25" customHeight="1">
      <c r="A255" s="877"/>
      <c r="B255" s="1500"/>
      <c r="C255" s="1500"/>
      <c r="D255" s="268"/>
      <c r="K255" s="1042"/>
      <c r="L255" s="1500"/>
      <c r="M255" s="1500"/>
      <c r="N255" s="1042"/>
      <c r="O255" s="1042"/>
      <c r="P255" s="1042"/>
      <c r="Q255" s="1042"/>
      <c r="R255" s="1500"/>
      <c r="S255" s="1042"/>
      <c r="T255" s="1042"/>
      <c r="U255" s="451"/>
      <c r="V255" s="1042"/>
      <c r="W255" s="1042"/>
      <c r="X255" s="1042"/>
      <c r="Y255" s="1042"/>
      <c r="Z255" s="1042"/>
      <c r="AA255" s="1496"/>
      <c r="AB255" s="473"/>
      <c r="AC255" s="473"/>
      <c r="AD255" s="473"/>
      <c r="AE255" s="473"/>
    </row>
    <row r="256" spans="1:31" s="4866" customFormat="1" ht="11.25" customHeight="1">
      <c r="A256" s="877"/>
      <c r="B256" s="1500"/>
      <c r="C256" s="1500"/>
      <c r="D256" s="268"/>
      <c r="K256" s="1042"/>
      <c r="L256" s="1500"/>
      <c r="M256" s="1500"/>
      <c r="N256" s="1042"/>
      <c r="O256" s="1042"/>
      <c r="P256" s="1042"/>
      <c r="Q256" s="1042"/>
      <c r="R256" s="1500"/>
      <c r="S256" s="1042"/>
      <c r="T256" s="1042"/>
      <c r="U256" s="451"/>
      <c r="V256" s="1042"/>
      <c r="W256" s="1042"/>
      <c r="X256" s="1042"/>
      <c r="Y256" s="1042"/>
      <c r="Z256" s="1042"/>
      <c r="AA256" s="1496"/>
      <c r="AB256" s="473"/>
      <c r="AC256" s="473"/>
      <c r="AD256" s="473"/>
      <c r="AE256" s="473"/>
    </row>
    <row r="257" spans="1:31" s="4866" customFormat="1" ht="11.25" customHeight="1">
      <c r="A257" s="877"/>
      <c r="B257" s="1500"/>
      <c r="C257" s="1500"/>
      <c r="D257" s="268"/>
      <c r="K257" s="1042"/>
      <c r="L257" s="1500"/>
      <c r="M257" s="1500"/>
      <c r="N257" s="1042"/>
      <c r="O257" s="1042"/>
      <c r="P257" s="1042"/>
      <c r="Q257" s="1042"/>
      <c r="R257" s="1500"/>
      <c r="S257" s="1042"/>
      <c r="T257" s="1042"/>
      <c r="U257" s="451"/>
      <c r="V257" s="1042"/>
      <c r="W257" s="1042"/>
      <c r="X257" s="1042"/>
      <c r="Y257" s="1042"/>
      <c r="Z257" s="1042"/>
      <c r="AA257" s="1496"/>
      <c r="AB257" s="473"/>
      <c r="AC257" s="473"/>
      <c r="AD257" s="473"/>
      <c r="AE257" s="473"/>
    </row>
    <row r="258" spans="1:31" s="4866" customFormat="1" ht="11.25" customHeight="1">
      <c r="A258" s="877"/>
      <c r="B258" s="1500"/>
      <c r="C258" s="1500"/>
      <c r="D258" s="268"/>
      <c r="K258" s="1042"/>
      <c r="L258" s="1500"/>
      <c r="M258" s="1500"/>
      <c r="N258" s="1042"/>
      <c r="O258" s="1042"/>
      <c r="P258" s="1042"/>
      <c r="Q258" s="1042"/>
      <c r="R258" s="1500"/>
      <c r="S258" s="1042"/>
      <c r="T258" s="1042"/>
      <c r="U258" s="451"/>
      <c r="V258" s="1042"/>
      <c r="W258" s="1042"/>
      <c r="X258" s="1042"/>
      <c r="Y258" s="1042"/>
      <c r="Z258" s="1042"/>
      <c r="AA258" s="1496"/>
      <c r="AB258" s="473"/>
      <c r="AC258" s="473"/>
      <c r="AD258" s="473"/>
      <c r="AE258" s="473"/>
    </row>
    <row r="259" spans="1:31" s="4866" customFormat="1" ht="11.25" customHeight="1">
      <c r="A259" s="877"/>
      <c r="B259" s="1500"/>
      <c r="C259" s="1500"/>
      <c r="D259" s="268"/>
      <c r="K259" s="1042"/>
      <c r="L259" s="1500"/>
      <c r="M259" s="1500"/>
      <c r="N259" s="1042"/>
      <c r="O259" s="1042"/>
      <c r="P259" s="1042"/>
      <c r="Q259" s="1042"/>
      <c r="R259" s="1500"/>
      <c r="S259" s="1042"/>
      <c r="T259" s="1042"/>
      <c r="U259" s="451"/>
      <c r="V259" s="1042"/>
      <c r="W259" s="1042"/>
      <c r="X259" s="1042"/>
      <c r="Y259" s="1042"/>
      <c r="Z259" s="1042"/>
      <c r="AA259" s="1496"/>
      <c r="AB259" s="473"/>
      <c r="AC259" s="473"/>
      <c r="AD259" s="473"/>
      <c r="AE259" s="473"/>
    </row>
    <row r="260" spans="1:31" s="4866" customFormat="1" ht="11.25" customHeight="1">
      <c r="A260" s="877"/>
      <c r="B260" s="1500"/>
      <c r="C260" s="1500"/>
      <c r="D260" s="268"/>
      <c r="K260" s="1042"/>
      <c r="L260" s="1500"/>
      <c r="M260" s="1500"/>
      <c r="N260" s="1042"/>
      <c r="O260" s="1042"/>
      <c r="P260" s="1042"/>
      <c r="Q260" s="1042"/>
      <c r="R260" s="1500"/>
      <c r="S260" s="1042"/>
      <c r="T260" s="1042"/>
      <c r="U260" s="451"/>
      <c r="V260" s="1042"/>
      <c r="W260" s="1042"/>
      <c r="X260" s="1042"/>
      <c r="Y260" s="1042"/>
      <c r="Z260" s="1042"/>
      <c r="AA260" s="1496"/>
      <c r="AB260" s="473"/>
      <c r="AC260" s="473"/>
      <c r="AD260" s="473"/>
      <c r="AE260" s="473"/>
    </row>
    <row r="261" spans="1:31" s="4866" customFormat="1" ht="11.25" customHeight="1">
      <c r="A261" s="877"/>
      <c r="B261" s="1500"/>
      <c r="C261" s="1500"/>
      <c r="D261" s="268"/>
      <c r="K261" s="1042"/>
      <c r="L261" s="1500"/>
      <c r="M261" s="1500"/>
      <c r="N261" s="1042"/>
      <c r="O261" s="1042"/>
      <c r="P261" s="1042"/>
      <c r="Q261" s="1042"/>
      <c r="R261" s="1500"/>
      <c r="S261" s="1042"/>
      <c r="T261" s="1042"/>
      <c r="U261" s="451"/>
      <c r="V261" s="1042"/>
      <c r="W261" s="1042"/>
      <c r="X261" s="1042"/>
      <c r="Y261" s="1042"/>
      <c r="Z261" s="1042"/>
      <c r="AA261" s="1496"/>
      <c r="AB261" s="473"/>
      <c r="AC261" s="473"/>
      <c r="AD261" s="473"/>
      <c r="AE261" s="473"/>
    </row>
    <row r="262" spans="1:31" s="4866" customFormat="1" ht="11.25" customHeight="1">
      <c r="A262" s="877"/>
      <c r="B262" s="1500"/>
      <c r="C262" s="1500"/>
      <c r="D262" s="268"/>
      <c r="K262" s="1042"/>
      <c r="L262" s="1500"/>
      <c r="M262" s="1500"/>
      <c r="N262" s="1042"/>
      <c r="O262" s="1042"/>
      <c r="P262" s="1042"/>
      <c r="Q262" s="1042"/>
      <c r="R262" s="1500"/>
      <c r="S262" s="1042"/>
      <c r="T262" s="1042"/>
      <c r="U262" s="451"/>
      <c r="V262" s="1042"/>
      <c r="W262" s="1042"/>
      <c r="X262" s="1042"/>
      <c r="Y262" s="1042"/>
      <c r="Z262" s="1042"/>
      <c r="AA262" s="1496"/>
      <c r="AB262" s="473"/>
      <c r="AC262" s="473"/>
      <c r="AD262" s="473"/>
      <c r="AE262" s="473"/>
    </row>
    <row r="263" spans="1:31" s="4866" customFormat="1" ht="11.25" customHeight="1">
      <c r="A263" s="877"/>
      <c r="B263" s="1500"/>
      <c r="C263" s="1500"/>
      <c r="D263" s="268"/>
      <c r="K263" s="1042"/>
      <c r="L263" s="1500"/>
      <c r="M263" s="1500"/>
      <c r="N263" s="1042"/>
      <c r="O263" s="1042"/>
      <c r="P263" s="1042"/>
      <c r="Q263" s="1042"/>
      <c r="R263" s="1500"/>
      <c r="S263" s="1042"/>
      <c r="T263" s="1042"/>
      <c r="U263" s="451"/>
      <c r="V263" s="1042"/>
      <c r="W263" s="1042"/>
      <c r="X263" s="1042"/>
      <c r="Y263" s="1042"/>
      <c r="Z263" s="1042"/>
      <c r="AA263" s="1496"/>
      <c r="AB263" s="473"/>
      <c r="AC263" s="473"/>
      <c r="AD263" s="473"/>
      <c r="AE263" s="473"/>
    </row>
    <row r="264" spans="1:31" s="4866" customFormat="1" ht="11.25" customHeight="1">
      <c r="A264" s="877"/>
      <c r="B264" s="1500"/>
      <c r="C264" s="1500"/>
      <c r="D264" s="268"/>
      <c r="K264" s="1042"/>
      <c r="L264" s="1500"/>
      <c r="M264" s="1500"/>
      <c r="N264" s="1042"/>
      <c r="O264" s="1042"/>
      <c r="P264" s="1042"/>
      <c r="Q264" s="1042"/>
      <c r="R264" s="1500"/>
      <c r="S264" s="1042"/>
      <c r="T264" s="1042"/>
      <c r="U264" s="451"/>
      <c r="V264" s="1042"/>
      <c r="W264" s="1042"/>
      <c r="X264" s="1042"/>
      <c r="Y264" s="1042"/>
      <c r="Z264" s="1042"/>
      <c r="AA264" s="1496"/>
      <c r="AB264" s="473"/>
      <c r="AC264" s="473"/>
      <c r="AD264" s="473"/>
      <c r="AE264" s="473"/>
    </row>
    <row r="265" spans="1:31" s="4866" customFormat="1" ht="11.25" customHeight="1">
      <c r="A265" s="877"/>
      <c r="B265" s="1500"/>
      <c r="C265" s="1500"/>
      <c r="D265" s="268"/>
      <c r="K265" s="1042"/>
      <c r="L265" s="1500"/>
      <c r="M265" s="1500"/>
      <c r="N265" s="1042"/>
      <c r="O265" s="1042"/>
      <c r="P265" s="1042"/>
      <c r="Q265" s="1042"/>
      <c r="R265" s="1500"/>
      <c r="S265" s="1042"/>
      <c r="T265" s="1042"/>
      <c r="U265" s="451"/>
      <c r="V265" s="1042"/>
      <c r="W265" s="1042"/>
      <c r="X265" s="1042"/>
      <c r="Y265" s="1042"/>
      <c r="Z265" s="1042"/>
      <c r="AA265" s="1496"/>
      <c r="AB265" s="473"/>
      <c r="AC265" s="473"/>
      <c r="AD265" s="473"/>
      <c r="AE265" s="473"/>
    </row>
    <row r="266" spans="1:31" s="4866" customFormat="1" ht="11.25" customHeight="1">
      <c r="A266" s="877"/>
      <c r="B266" s="1500"/>
      <c r="C266" s="1500"/>
      <c r="D266" s="268"/>
      <c r="K266" s="1042"/>
      <c r="L266" s="1500"/>
      <c r="M266" s="1500"/>
      <c r="N266" s="1042"/>
      <c r="O266" s="1042"/>
      <c r="P266" s="1042"/>
      <c r="Q266" s="1042"/>
      <c r="R266" s="1500"/>
      <c r="S266" s="1042"/>
      <c r="T266" s="1042"/>
      <c r="U266" s="451"/>
      <c r="V266" s="1042"/>
      <c r="W266" s="1042"/>
      <c r="X266" s="1042"/>
      <c r="Y266" s="1042"/>
      <c r="Z266" s="1042"/>
      <c r="AA266" s="1496"/>
      <c r="AB266" s="473"/>
      <c r="AC266" s="473"/>
      <c r="AD266" s="473"/>
      <c r="AE266" s="473"/>
    </row>
    <row r="267" spans="1:31" s="4866" customFormat="1" ht="11.25" customHeight="1">
      <c r="A267" s="877"/>
      <c r="B267" s="1500"/>
      <c r="C267" s="1500"/>
      <c r="D267" s="268"/>
      <c r="K267" s="1042"/>
      <c r="L267" s="1500"/>
      <c r="M267" s="1500"/>
      <c r="N267" s="1042"/>
      <c r="O267" s="1042"/>
      <c r="P267" s="1042"/>
      <c r="Q267" s="1042"/>
      <c r="R267" s="1500"/>
      <c r="S267" s="1042"/>
      <c r="T267" s="1042"/>
      <c r="U267" s="451"/>
      <c r="V267" s="1042"/>
      <c r="W267" s="1042"/>
      <c r="X267" s="1042"/>
      <c r="Y267" s="1042"/>
      <c r="Z267" s="1042"/>
      <c r="AA267" s="1496"/>
      <c r="AB267" s="473"/>
      <c r="AC267" s="473"/>
      <c r="AD267" s="473"/>
      <c r="AE267" s="473"/>
    </row>
    <row r="268" spans="1:31" s="4866" customFormat="1" ht="11.25" customHeight="1">
      <c r="A268" s="877"/>
      <c r="B268" s="1500"/>
      <c r="C268" s="1500"/>
      <c r="D268" s="268"/>
      <c r="K268" s="1042"/>
      <c r="L268" s="1500"/>
      <c r="M268" s="1500"/>
      <c r="N268" s="1042"/>
      <c r="O268" s="1042"/>
      <c r="P268" s="1042"/>
      <c r="Q268" s="1042"/>
      <c r="R268" s="1500"/>
      <c r="S268" s="1042"/>
      <c r="T268" s="1042"/>
      <c r="U268" s="451"/>
      <c r="V268" s="1042"/>
      <c r="W268" s="1042"/>
      <c r="X268" s="1042"/>
      <c r="Y268" s="1042"/>
      <c r="Z268" s="1042"/>
      <c r="AA268" s="1496"/>
      <c r="AB268" s="473"/>
      <c r="AC268" s="473"/>
      <c r="AD268" s="473"/>
      <c r="AE268" s="473"/>
    </row>
    <row r="269" spans="1:31" s="4866" customFormat="1" ht="11.25" customHeight="1">
      <c r="A269" s="877"/>
      <c r="B269" s="1500"/>
      <c r="C269" s="1500"/>
      <c r="D269" s="268"/>
      <c r="K269" s="1042"/>
      <c r="L269" s="1500"/>
      <c r="M269" s="1500"/>
      <c r="N269" s="1042"/>
      <c r="O269" s="1042"/>
      <c r="P269" s="1042"/>
      <c r="Q269" s="1042"/>
      <c r="R269" s="1500"/>
      <c r="S269" s="1042"/>
      <c r="T269" s="1042"/>
      <c r="U269" s="451"/>
      <c r="V269" s="1042"/>
      <c r="W269" s="1042"/>
      <c r="X269" s="1042"/>
      <c r="Y269" s="1042"/>
      <c r="Z269" s="1042"/>
      <c r="AA269" s="1496"/>
      <c r="AB269" s="473"/>
      <c r="AC269" s="473"/>
      <c r="AD269" s="473"/>
      <c r="AE269" s="473"/>
    </row>
    <row r="270" spans="1:31" s="4866" customFormat="1" ht="11.25" customHeight="1">
      <c r="A270" s="877"/>
      <c r="B270" s="1500"/>
      <c r="C270" s="1500"/>
      <c r="D270" s="268"/>
      <c r="K270" s="1042"/>
      <c r="L270" s="1500"/>
      <c r="M270" s="1500"/>
      <c r="N270" s="1042"/>
      <c r="O270" s="1042"/>
      <c r="P270" s="1042"/>
      <c r="Q270" s="1042"/>
      <c r="R270" s="1500"/>
      <c r="S270" s="1042"/>
      <c r="T270" s="1042"/>
      <c r="U270" s="451"/>
      <c r="V270" s="1042"/>
      <c r="W270" s="1042"/>
      <c r="X270" s="1042"/>
      <c r="Y270" s="1042"/>
      <c r="Z270" s="1042"/>
      <c r="AA270" s="1496"/>
      <c r="AB270" s="473"/>
      <c r="AC270" s="473"/>
      <c r="AD270" s="473"/>
      <c r="AE270" s="473"/>
    </row>
    <row r="271" spans="1:31" s="4866" customFormat="1" ht="11.25" customHeight="1">
      <c r="A271" s="877"/>
      <c r="B271" s="1500"/>
      <c r="C271" s="1500"/>
      <c r="D271" s="268"/>
      <c r="K271" s="1042"/>
      <c r="L271" s="1500"/>
      <c r="M271" s="1500"/>
      <c r="N271" s="1042"/>
      <c r="O271" s="1042"/>
      <c r="P271" s="1042"/>
      <c r="Q271" s="1042"/>
      <c r="R271" s="1500"/>
      <c r="S271" s="1042"/>
      <c r="T271" s="1042"/>
      <c r="U271" s="451"/>
      <c r="V271" s="1042"/>
      <c r="W271" s="1042"/>
      <c r="X271" s="1042"/>
      <c r="Y271" s="1042"/>
      <c r="Z271" s="1042"/>
      <c r="AA271" s="1496"/>
      <c r="AB271" s="473"/>
      <c r="AC271" s="473"/>
      <c r="AD271" s="473"/>
      <c r="AE271" s="473"/>
    </row>
    <row r="272" spans="1:31" s="4866" customFormat="1" ht="11.25" customHeight="1">
      <c r="A272" s="877"/>
      <c r="B272" s="1500"/>
      <c r="C272" s="1500"/>
      <c r="D272" s="268"/>
      <c r="K272" s="1042"/>
      <c r="L272" s="1500"/>
      <c r="M272" s="1500"/>
      <c r="N272" s="1042"/>
      <c r="O272" s="1042"/>
      <c r="P272" s="1042"/>
      <c r="Q272" s="1042"/>
      <c r="R272" s="1500"/>
      <c r="S272" s="1042"/>
      <c r="T272" s="1042"/>
      <c r="U272" s="451"/>
      <c r="V272" s="1042"/>
      <c r="W272" s="1042"/>
      <c r="X272" s="1042"/>
      <c r="Y272" s="1042"/>
      <c r="Z272" s="1042"/>
      <c r="AA272" s="1496"/>
      <c r="AB272" s="473"/>
      <c r="AC272" s="473"/>
      <c r="AD272" s="473"/>
      <c r="AE272" s="473"/>
    </row>
    <row r="273" spans="1:31" s="4866" customFormat="1" ht="11.25" customHeight="1">
      <c r="A273" s="877"/>
      <c r="B273" s="1500"/>
      <c r="C273" s="1500"/>
      <c r="D273" s="268"/>
      <c r="K273" s="1042"/>
      <c r="L273" s="1500"/>
      <c r="M273" s="1500"/>
      <c r="N273" s="1042"/>
      <c r="O273" s="1042"/>
      <c r="P273" s="1042"/>
      <c r="Q273" s="1042"/>
      <c r="R273" s="1500"/>
      <c r="S273" s="1042"/>
      <c r="T273" s="1042"/>
      <c r="U273" s="451"/>
      <c r="V273" s="1042"/>
      <c r="W273" s="1042"/>
      <c r="X273" s="1042"/>
      <c r="Y273" s="1042"/>
      <c r="Z273" s="1042"/>
      <c r="AA273" s="1496"/>
      <c r="AB273" s="473"/>
      <c r="AC273" s="473"/>
      <c r="AD273" s="473"/>
      <c r="AE273" s="473"/>
    </row>
    <row r="274" spans="1:31" s="4866" customFormat="1" ht="11.25" customHeight="1">
      <c r="A274" s="877"/>
      <c r="B274" s="1500"/>
      <c r="C274" s="1500"/>
      <c r="D274" s="268"/>
      <c r="K274" s="1042"/>
      <c r="L274" s="1500"/>
      <c r="M274" s="1500"/>
      <c r="N274" s="1042"/>
      <c r="O274" s="1042"/>
      <c r="P274" s="1042"/>
      <c r="Q274" s="1042"/>
      <c r="R274" s="1500"/>
      <c r="S274" s="1042"/>
      <c r="T274" s="1042"/>
      <c r="U274" s="451"/>
      <c r="V274" s="1042"/>
      <c r="W274" s="1042"/>
      <c r="X274" s="1042"/>
      <c r="Y274" s="1042"/>
      <c r="Z274" s="1042"/>
      <c r="AA274" s="1496"/>
      <c r="AB274" s="473"/>
      <c r="AC274" s="473"/>
      <c r="AD274" s="473"/>
      <c r="AE274" s="473"/>
    </row>
    <row r="275" spans="1:31" s="4866" customFormat="1" ht="11.25" customHeight="1">
      <c r="A275" s="877"/>
      <c r="B275" s="1500"/>
      <c r="C275" s="1500"/>
      <c r="D275" s="268"/>
      <c r="K275" s="1042"/>
      <c r="L275" s="1500"/>
      <c r="M275" s="1500"/>
      <c r="N275" s="1042"/>
      <c r="O275" s="1042"/>
      <c r="P275" s="1042"/>
      <c r="Q275" s="1042"/>
      <c r="R275" s="1500"/>
      <c r="S275" s="1042"/>
      <c r="T275" s="1042"/>
      <c r="U275" s="451"/>
      <c r="V275" s="1042"/>
      <c r="W275" s="1042"/>
      <c r="X275" s="1042"/>
      <c r="Y275" s="1042"/>
      <c r="Z275" s="1042"/>
      <c r="AA275" s="1496"/>
      <c r="AB275" s="473"/>
      <c r="AC275" s="473"/>
      <c r="AD275" s="473"/>
      <c r="AE275" s="473"/>
    </row>
    <row r="276" spans="1:31" s="4866" customFormat="1" ht="11.25" customHeight="1">
      <c r="A276" s="877"/>
      <c r="B276" s="1500"/>
      <c r="C276" s="1500"/>
      <c r="D276" s="268"/>
      <c r="K276" s="1042"/>
      <c r="L276" s="1500"/>
      <c r="M276" s="1500"/>
      <c r="N276" s="1042"/>
      <c r="O276" s="1042"/>
      <c r="P276" s="1042"/>
      <c r="Q276" s="1042"/>
      <c r="R276" s="1500"/>
      <c r="S276" s="1042"/>
      <c r="T276" s="1042"/>
      <c r="U276" s="451"/>
      <c r="V276" s="1042"/>
      <c r="W276" s="1042"/>
      <c r="X276" s="1042"/>
      <c r="Y276" s="1042"/>
      <c r="Z276" s="1042"/>
      <c r="AA276" s="1496"/>
      <c r="AB276" s="473"/>
      <c r="AC276" s="473"/>
      <c r="AD276" s="473"/>
      <c r="AE276" s="473"/>
    </row>
    <row r="277" spans="1:31" s="4866" customFormat="1" ht="11.25" customHeight="1">
      <c r="A277" s="877"/>
      <c r="B277" s="1500"/>
      <c r="C277" s="1500"/>
      <c r="D277" s="268"/>
      <c r="K277" s="1042"/>
      <c r="L277" s="1500"/>
      <c r="M277" s="1500"/>
      <c r="N277" s="1042"/>
      <c r="O277" s="1042"/>
      <c r="P277" s="1042"/>
      <c r="Q277" s="1042"/>
      <c r="R277" s="1500"/>
      <c r="S277" s="1042"/>
      <c r="T277" s="1042"/>
      <c r="U277" s="451"/>
      <c r="V277" s="1042"/>
      <c r="W277" s="1042"/>
      <c r="X277" s="1042"/>
      <c r="Y277" s="1042"/>
      <c r="Z277" s="1042"/>
      <c r="AA277" s="1496"/>
      <c r="AB277" s="473"/>
      <c r="AC277" s="473"/>
      <c r="AD277" s="473"/>
      <c r="AE277" s="473"/>
    </row>
    <row r="278" spans="1:31" s="4866" customFormat="1" ht="11.25" customHeight="1">
      <c r="A278" s="877"/>
      <c r="B278" s="1500"/>
      <c r="C278" s="1500"/>
      <c r="D278" s="268"/>
      <c r="K278" s="1042"/>
      <c r="L278" s="1500"/>
      <c r="M278" s="1500"/>
      <c r="N278" s="1042"/>
      <c r="O278" s="1042"/>
      <c r="P278" s="1042"/>
      <c r="Q278" s="1042"/>
      <c r="R278" s="1500"/>
      <c r="S278" s="1042"/>
      <c r="T278" s="1042"/>
      <c r="U278" s="451"/>
      <c r="V278" s="1042"/>
      <c r="W278" s="1042"/>
      <c r="X278" s="1042"/>
      <c r="Y278" s="1042"/>
      <c r="Z278" s="1042"/>
      <c r="AA278" s="1496"/>
      <c r="AB278" s="473"/>
      <c r="AC278" s="473"/>
      <c r="AD278" s="473"/>
      <c r="AE278" s="473"/>
    </row>
    <row r="279" spans="1:31" s="4866" customFormat="1" ht="11.25" customHeight="1">
      <c r="A279" s="877"/>
      <c r="B279" s="1500"/>
      <c r="C279" s="1500"/>
      <c r="D279" s="268"/>
      <c r="K279" s="1042"/>
      <c r="L279" s="1500"/>
      <c r="M279" s="1500"/>
      <c r="N279" s="1042"/>
      <c r="O279" s="1042"/>
      <c r="P279" s="1042"/>
      <c r="Q279" s="1042"/>
      <c r="R279" s="1500"/>
      <c r="S279" s="1042"/>
      <c r="T279" s="1042"/>
      <c r="U279" s="451"/>
      <c r="V279" s="1042"/>
      <c r="W279" s="1042"/>
      <c r="X279" s="1042"/>
      <c r="Y279" s="1042"/>
      <c r="Z279" s="1042"/>
      <c r="AA279" s="1496"/>
      <c r="AB279" s="473"/>
      <c r="AC279" s="473"/>
      <c r="AD279" s="473"/>
      <c r="AE279" s="473"/>
    </row>
    <row r="280" spans="1:31" s="4866" customFormat="1" ht="11.25" customHeight="1">
      <c r="A280" s="877"/>
      <c r="B280" s="1500"/>
      <c r="C280" s="1500"/>
      <c r="D280" s="268"/>
      <c r="K280" s="1042"/>
      <c r="L280" s="1500"/>
      <c r="M280" s="1500"/>
      <c r="N280" s="1042"/>
      <c r="O280" s="1042"/>
      <c r="P280" s="1042"/>
      <c r="Q280" s="1042"/>
      <c r="R280" s="1500"/>
      <c r="S280" s="1042"/>
      <c r="T280" s="1042"/>
      <c r="U280" s="451"/>
      <c r="V280" s="1042"/>
      <c r="W280" s="1042"/>
      <c r="X280" s="1042"/>
      <c r="Y280" s="1042"/>
      <c r="Z280" s="1042"/>
      <c r="AA280" s="1496"/>
      <c r="AB280" s="473"/>
      <c r="AC280" s="473"/>
      <c r="AD280" s="473"/>
      <c r="AE280" s="473"/>
    </row>
    <row r="281" spans="1:31" s="4866" customFormat="1" ht="11.25" customHeight="1">
      <c r="A281" s="877"/>
      <c r="B281" s="1500"/>
      <c r="C281" s="1500"/>
      <c r="D281" s="268"/>
      <c r="K281" s="1042"/>
      <c r="L281" s="1500"/>
      <c r="M281" s="1500"/>
      <c r="N281" s="1042"/>
      <c r="O281" s="1042"/>
      <c r="P281" s="1042"/>
      <c r="Q281" s="1042"/>
      <c r="R281" s="1500"/>
      <c r="S281" s="1042"/>
      <c r="T281" s="1042"/>
      <c r="U281" s="451"/>
      <c r="V281" s="1042"/>
      <c r="W281" s="1042"/>
      <c r="X281" s="1042"/>
      <c r="Y281" s="1042"/>
      <c r="Z281" s="1042"/>
      <c r="AA281" s="1496"/>
      <c r="AB281" s="473"/>
      <c r="AC281" s="473"/>
      <c r="AD281" s="473"/>
      <c r="AE281" s="473"/>
    </row>
    <row r="282" spans="1:31" s="4866" customFormat="1" ht="11.25" customHeight="1">
      <c r="A282" s="877"/>
      <c r="B282" s="1500"/>
      <c r="C282" s="1500"/>
      <c r="D282" s="268"/>
      <c r="K282" s="1042"/>
      <c r="L282" s="1500"/>
      <c r="M282" s="1500"/>
      <c r="N282" s="1042"/>
      <c r="O282" s="1042"/>
      <c r="P282" s="1042"/>
      <c r="Q282" s="1042"/>
      <c r="R282" s="1500"/>
      <c r="S282" s="1042"/>
      <c r="T282" s="1042"/>
      <c r="U282" s="451"/>
      <c r="V282" s="1042"/>
      <c r="W282" s="1042"/>
      <c r="X282" s="1042"/>
      <c r="Y282" s="1042"/>
      <c r="Z282" s="1042"/>
      <c r="AA282" s="1496"/>
      <c r="AB282" s="473"/>
      <c r="AC282" s="473"/>
      <c r="AD282" s="473"/>
      <c r="AE282" s="473"/>
    </row>
    <row r="283" spans="1:31" s="4866" customFormat="1" ht="11.25" customHeight="1">
      <c r="A283" s="877"/>
      <c r="B283" s="1500"/>
      <c r="C283" s="1500"/>
      <c r="D283" s="268"/>
      <c r="K283" s="1042"/>
      <c r="L283" s="1500"/>
      <c r="M283" s="1500"/>
      <c r="N283" s="1042"/>
      <c r="O283" s="1042"/>
      <c r="P283" s="1042"/>
      <c r="Q283" s="1042"/>
      <c r="R283" s="1500"/>
      <c r="S283" s="1042"/>
      <c r="T283" s="1042"/>
      <c r="U283" s="451"/>
      <c r="V283" s="1042"/>
      <c r="W283" s="1042"/>
      <c r="X283" s="1042"/>
      <c r="Y283" s="1042"/>
      <c r="Z283" s="1042"/>
      <c r="AA283" s="1496"/>
      <c r="AB283" s="473"/>
      <c r="AC283" s="473"/>
      <c r="AD283" s="473"/>
      <c r="AE283" s="473"/>
    </row>
    <row r="284" spans="1:31" s="4866" customFormat="1" ht="11.25" customHeight="1">
      <c r="A284" s="877"/>
      <c r="B284" s="1500"/>
      <c r="C284" s="1500"/>
      <c r="D284" s="268"/>
      <c r="K284" s="1042"/>
      <c r="L284" s="1500"/>
      <c r="M284" s="1500"/>
      <c r="N284" s="1042"/>
      <c r="O284" s="1042"/>
      <c r="P284" s="1042"/>
      <c r="Q284" s="1042"/>
      <c r="R284" s="1500"/>
      <c r="S284" s="1042"/>
      <c r="T284" s="1042"/>
      <c r="U284" s="451"/>
      <c r="V284" s="1042"/>
      <c r="W284" s="1042"/>
      <c r="X284" s="1042"/>
      <c r="Y284" s="1042"/>
      <c r="Z284" s="1042"/>
      <c r="AA284" s="1496"/>
      <c r="AB284" s="473"/>
      <c r="AC284" s="473"/>
      <c r="AD284" s="473"/>
      <c r="AE284" s="473"/>
    </row>
    <row r="285" spans="1:31" s="4866" customFormat="1" ht="11.25" customHeight="1">
      <c r="A285" s="877"/>
      <c r="B285" s="1500"/>
      <c r="C285" s="1500"/>
      <c r="D285" s="268"/>
      <c r="K285" s="1042"/>
      <c r="L285" s="1500"/>
      <c r="M285" s="1500"/>
      <c r="N285" s="1042"/>
      <c r="O285" s="1042"/>
      <c r="P285" s="1042"/>
      <c r="Q285" s="1042"/>
      <c r="R285" s="1500"/>
      <c r="S285" s="1042"/>
      <c r="T285" s="1042"/>
      <c r="U285" s="451"/>
      <c r="V285" s="1042"/>
      <c r="W285" s="1042"/>
      <c r="X285" s="1042"/>
      <c r="Y285" s="1042"/>
      <c r="Z285" s="1042"/>
      <c r="AA285" s="1496"/>
      <c r="AB285" s="473"/>
      <c r="AC285" s="473"/>
      <c r="AD285" s="473"/>
      <c r="AE285" s="473"/>
    </row>
    <row r="286" spans="1:31" s="4866" customFormat="1" ht="11.25" customHeight="1">
      <c r="A286" s="877"/>
      <c r="B286" s="1500"/>
      <c r="C286" s="1500"/>
      <c r="D286" s="268"/>
      <c r="K286" s="1042"/>
      <c r="L286" s="1500"/>
      <c r="M286" s="1500"/>
      <c r="N286" s="1042"/>
      <c r="O286" s="1042"/>
      <c r="P286" s="1042"/>
      <c r="Q286" s="1042"/>
      <c r="R286" s="1500"/>
      <c r="S286" s="1042"/>
      <c r="T286" s="1042"/>
      <c r="U286" s="451"/>
      <c r="V286" s="1042"/>
      <c r="W286" s="1042"/>
      <c r="X286" s="1042"/>
      <c r="Y286" s="1042"/>
      <c r="Z286" s="1042"/>
      <c r="AA286" s="1496"/>
      <c r="AB286" s="473"/>
      <c r="AC286" s="473"/>
      <c r="AD286" s="473"/>
      <c r="AE286" s="473"/>
    </row>
    <row r="287" spans="1:31" s="4866" customFormat="1" ht="11.25" customHeight="1">
      <c r="A287" s="877"/>
      <c r="B287" s="1500"/>
      <c r="C287" s="1500"/>
      <c r="D287" s="268"/>
      <c r="K287" s="1042"/>
      <c r="L287" s="1500"/>
      <c r="M287" s="1500"/>
      <c r="N287" s="1042"/>
      <c r="O287" s="1042"/>
      <c r="P287" s="1042"/>
      <c r="Q287" s="1042"/>
      <c r="R287" s="1500"/>
      <c r="S287" s="1042"/>
      <c r="T287" s="1042"/>
      <c r="U287" s="451"/>
      <c r="V287" s="1042"/>
      <c r="W287" s="1042"/>
      <c r="X287" s="1042"/>
      <c r="Y287" s="1042"/>
      <c r="Z287" s="1042"/>
      <c r="AA287" s="1496"/>
      <c r="AB287" s="473"/>
      <c r="AC287" s="473"/>
      <c r="AD287" s="473"/>
      <c r="AE287" s="473"/>
    </row>
    <row r="288" spans="1:31" s="4866" customFormat="1" ht="11.25" customHeight="1">
      <c r="A288" s="877"/>
      <c r="B288" s="1500"/>
      <c r="C288" s="1500"/>
      <c r="D288" s="268"/>
      <c r="K288" s="1042"/>
      <c r="L288" s="1500"/>
      <c r="M288" s="1500"/>
      <c r="N288" s="1042"/>
      <c r="O288" s="1042"/>
      <c r="P288" s="1042"/>
      <c r="Q288" s="1042"/>
      <c r="R288" s="1500"/>
      <c r="S288" s="1042"/>
      <c r="T288" s="1042"/>
      <c r="U288" s="451"/>
      <c r="V288" s="1042"/>
      <c r="W288" s="1042"/>
      <c r="X288" s="1042"/>
      <c r="Y288" s="1042"/>
      <c r="Z288" s="1042"/>
      <c r="AA288" s="1496"/>
      <c r="AB288" s="473"/>
      <c r="AC288" s="473"/>
      <c r="AD288" s="473"/>
      <c r="AE288" s="473"/>
    </row>
    <row r="292" spans="1:31" ht="11.25" customHeight="1">
      <c r="A292" s="880"/>
      <c r="B292" s="1495"/>
      <c r="D292" s="1495"/>
      <c r="K292" s="1495"/>
      <c r="N292" s="1495"/>
      <c r="O292" s="1495"/>
      <c r="P292" s="1495"/>
      <c r="Q292" s="1495"/>
      <c r="S292" s="1495"/>
      <c r="T292" s="1495"/>
      <c r="U292" s="1495"/>
      <c r="V292" s="1495"/>
      <c r="W292" s="1495"/>
      <c r="X292" s="1495"/>
      <c r="Y292" s="1495"/>
      <c r="Z292" s="1495"/>
      <c r="AA292" s="1495"/>
      <c r="AB292" s="1495"/>
      <c r="AC292" s="1495"/>
      <c r="AD292" s="1495"/>
      <c r="AE292" s="1495"/>
    </row>
    <row r="293" spans="1:31" ht="11.25" customHeight="1">
      <c r="A293" s="880"/>
      <c r="B293" s="1495"/>
      <c r="D293" s="1495"/>
      <c r="K293" s="1495"/>
      <c r="N293" s="1495"/>
      <c r="O293" s="1495"/>
      <c r="P293" s="1495"/>
      <c r="Q293" s="1495"/>
      <c r="S293" s="1495"/>
      <c r="T293" s="1495"/>
      <c r="U293" s="1495"/>
      <c r="V293" s="1495"/>
      <c r="W293" s="1495"/>
      <c r="X293" s="1495"/>
      <c r="Y293" s="1495"/>
      <c r="Z293" s="1495"/>
      <c r="AA293" s="1495"/>
      <c r="AB293" s="1495"/>
      <c r="AC293" s="1495"/>
      <c r="AD293" s="1495"/>
      <c r="AE293" s="1495"/>
    </row>
    <row r="294" spans="1:31" ht="11.25" customHeight="1">
      <c r="A294" s="880"/>
      <c r="B294" s="1495"/>
      <c r="D294" s="1495"/>
      <c r="K294" s="1495"/>
      <c r="N294" s="1495"/>
      <c r="O294" s="1495"/>
      <c r="P294" s="1495"/>
      <c r="Q294" s="1495"/>
      <c r="S294" s="1495"/>
      <c r="T294" s="1495"/>
      <c r="U294" s="1495"/>
      <c r="V294" s="1495"/>
      <c r="W294" s="1495"/>
      <c r="X294" s="1495"/>
      <c r="Y294" s="1495"/>
      <c r="Z294" s="1495"/>
      <c r="AA294" s="1495"/>
      <c r="AB294" s="1495"/>
      <c r="AC294" s="1495"/>
      <c r="AD294" s="1495"/>
      <c r="AE294" s="1495"/>
    </row>
    <row r="295" spans="1:31" ht="11.25" customHeight="1">
      <c r="A295" s="880"/>
      <c r="B295" s="1495"/>
      <c r="D295" s="1495"/>
      <c r="K295" s="1495"/>
      <c r="N295" s="1495"/>
      <c r="O295" s="1495"/>
      <c r="P295" s="1495"/>
      <c r="Q295" s="1495"/>
      <c r="S295" s="1495"/>
      <c r="T295" s="1495"/>
      <c r="U295" s="1495"/>
      <c r="V295" s="1495"/>
      <c r="W295" s="1495"/>
      <c r="X295" s="1495"/>
      <c r="Y295" s="1495"/>
      <c r="Z295" s="1495"/>
      <c r="AA295" s="1495"/>
      <c r="AB295" s="1495"/>
      <c r="AC295" s="1495"/>
      <c r="AD295" s="1495"/>
      <c r="AE295" s="1495"/>
    </row>
    <row r="296" spans="1:31" ht="11.25" customHeight="1">
      <c r="A296" s="880"/>
      <c r="B296" s="1495"/>
      <c r="D296" s="1495"/>
      <c r="K296" s="1495"/>
      <c r="N296" s="1495"/>
      <c r="O296" s="1495"/>
      <c r="P296" s="1495"/>
      <c r="Q296" s="1495"/>
      <c r="S296" s="1495"/>
      <c r="T296" s="1495"/>
      <c r="U296" s="1495"/>
      <c r="V296" s="1495"/>
      <c r="W296" s="1495"/>
      <c r="X296" s="1495"/>
      <c r="Y296" s="1495"/>
      <c r="Z296" s="1495"/>
      <c r="AA296" s="1495"/>
      <c r="AB296" s="1495"/>
      <c r="AC296" s="1495"/>
      <c r="AD296" s="1495"/>
      <c r="AE296" s="1495"/>
    </row>
    <row r="297" spans="1:31" ht="11.25" customHeight="1">
      <c r="A297" s="880"/>
      <c r="B297" s="1495"/>
      <c r="D297" s="1495"/>
      <c r="K297" s="1495"/>
      <c r="N297" s="1495"/>
      <c r="O297" s="1495"/>
      <c r="P297" s="1495"/>
      <c r="Q297" s="1495"/>
      <c r="S297" s="1495"/>
      <c r="T297" s="1495"/>
      <c r="U297" s="1495"/>
      <c r="V297" s="1495"/>
      <c r="W297" s="1495"/>
      <c r="X297" s="1495"/>
      <c r="Y297" s="1495"/>
      <c r="Z297" s="1495"/>
      <c r="AA297" s="1495"/>
      <c r="AB297" s="1495"/>
      <c r="AC297" s="1495"/>
      <c r="AD297" s="1495"/>
      <c r="AE297" s="1495"/>
    </row>
    <row r="298" spans="1:31" ht="11.25" customHeight="1">
      <c r="A298" s="880"/>
      <c r="B298" s="1495"/>
      <c r="D298" s="1495"/>
      <c r="K298" s="1495"/>
      <c r="N298" s="1495"/>
      <c r="O298" s="1495"/>
      <c r="P298" s="1495"/>
      <c r="Q298" s="1495"/>
      <c r="S298" s="1495"/>
      <c r="T298" s="1495"/>
      <c r="U298" s="1495"/>
      <c r="V298" s="1495"/>
      <c r="W298" s="1495"/>
      <c r="X298" s="1495"/>
      <c r="Y298" s="1495"/>
      <c r="Z298" s="1495"/>
      <c r="AA298" s="1495"/>
      <c r="AB298" s="1495"/>
      <c r="AC298" s="1495"/>
      <c r="AD298" s="1495"/>
      <c r="AE298" s="1495"/>
    </row>
    <row r="299" spans="1:31" ht="11.25" customHeight="1">
      <c r="A299" s="880"/>
      <c r="B299" s="1495"/>
      <c r="D299" s="1495"/>
      <c r="K299" s="1495"/>
      <c r="N299" s="1495"/>
      <c r="O299" s="1495"/>
      <c r="P299" s="1495"/>
      <c r="Q299" s="1495"/>
      <c r="S299" s="1495"/>
      <c r="T299" s="1495"/>
      <c r="U299" s="1495"/>
      <c r="V299" s="1495"/>
      <c r="W299" s="1495"/>
      <c r="X299" s="1495"/>
      <c r="Y299" s="1495"/>
      <c r="Z299" s="1495"/>
      <c r="AA299" s="1495"/>
      <c r="AB299" s="1495"/>
      <c r="AC299" s="1495"/>
      <c r="AD299" s="1495"/>
      <c r="AE299" s="1495"/>
    </row>
    <row r="300" spans="1:31" ht="11.25" customHeight="1">
      <c r="A300" s="880"/>
      <c r="B300" s="1495"/>
      <c r="D300" s="1495"/>
      <c r="K300" s="1495"/>
      <c r="N300" s="1495"/>
      <c r="O300" s="1495"/>
      <c r="P300" s="1495"/>
      <c r="Q300" s="1495"/>
      <c r="S300" s="1495"/>
      <c r="T300" s="1495"/>
      <c r="U300" s="1495"/>
      <c r="V300" s="1495"/>
      <c r="W300" s="1495"/>
      <c r="X300" s="1495"/>
      <c r="Y300" s="1495"/>
      <c r="Z300" s="1495"/>
      <c r="AA300" s="1495"/>
      <c r="AB300" s="1495"/>
      <c r="AC300" s="1495"/>
      <c r="AD300" s="1495"/>
      <c r="AE300" s="1495"/>
    </row>
    <row r="301" spans="1:31" ht="11.25" customHeight="1">
      <c r="A301" s="880"/>
      <c r="B301" s="1495"/>
      <c r="D301" s="1495"/>
      <c r="K301" s="1495"/>
      <c r="N301" s="1495"/>
      <c r="O301" s="1495"/>
      <c r="P301" s="1495"/>
      <c r="Q301" s="1495"/>
      <c r="S301" s="1495"/>
      <c r="T301" s="1495"/>
      <c r="U301" s="1495"/>
      <c r="V301" s="1495"/>
      <c r="W301" s="1495"/>
      <c r="X301" s="1495"/>
      <c r="Y301" s="1495"/>
      <c r="Z301" s="1495"/>
      <c r="AA301" s="1495"/>
      <c r="AB301" s="1495"/>
      <c r="AC301" s="1495"/>
      <c r="AD301" s="1495"/>
      <c r="AE301" s="1495"/>
    </row>
    <row r="302" spans="1:31" ht="11.25" customHeight="1">
      <c r="A302" s="880"/>
      <c r="B302" s="1495"/>
      <c r="D302" s="1495"/>
      <c r="K302" s="1495"/>
      <c r="N302" s="1495"/>
      <c r="O302" s="1495"/>
      <c r="P302" s="1495"/>
      <c r="Q302" s="1495"/>
      <c r="S302" s="1495"/>
      <c r="T302" s="1495"/>
      <c r="U302" s="1495"/>
      <c r="V302" s="1495"/>
      <c r="W302" s="1495"/>
      <c r="X302" s="1495"/>
      <c r="Y302" s="1495"/>
      <c r="Z302" s="1495"/>
      <c r="AA302" s="1495"/>
      <c r="AB302" s="1495"/>
      <c r="AC302" s="1495"/>
      <c r="AD302" s="1495"/>
      <c r="AE302" s="1495"/>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5121" hidden="1" customWidth="1"/>
    <col min="2" max="2" width="17" style="4841" hidden="1" customWidth="1"/>
    <col min="3" max="3" width="3.7109375" style="4844" customWidth="1"/>
    <col min="4" max="4" width="1.85546875" style="4844" hidden="1" customWidth="1"/>
    <col min="5" max="6" width="7.7109375" style="4844" customWidth="1"/>
    <col min="7" max="7" width="29.7109375" style="4844" customWidth="1"/>
    <col min="8" max="8" width="3.7109375" style="4844" customWidth="1"/>
    <col min="9" max="9" width="5.42578125" style="4844" customWidth="1"/>
    <col min="10" max="10" width="24.5703125" style="4844" customWidth="1"/>
    <col min="11" max="11" width="24.42578125" style="4844" customWidth="1"/>
    <col min="12" max="12" width="3.7109375" style="4844" customWidth="1"/>
    <col min="13" max="13" width="6.28515625" style="4844" customWidth="1"/>
    <col min="14" max="14" width="25.85546875" style="4844" customWidth="1"/>
    <col min="15" max="18" width="18.7109375" style="4844" customWidth="1"/>
    <col min="19" max="19" width="93.42578125" style="4844" customWidth="1"/>
    <col min="20" max="20" width="10.5703125" style="4844" customWidth="1"/>
    <col min="21" max="21" width="10.5703125" style="5122" customWidth="1"/>
    <col min="22" max="22" width="11.7109375" style="5122" customWidth="1"/>
    <col min="23" max="23" width="10.5703125" style="5123" customWidth="1"/>
    <col min="24" max="27" width="10.5703125" style="4841" customWidth="1"/>
    <col min="28" max="83" width="9.140625" style="4844"/>
  </cols>
  <sheetData>
    <row r="1" spans="1:83" ht="11.25" hidden="1" customHeight="1"/>
    <row r="2" spans="1:83" ht="11.25" hidden="1" customHeight="1"/>
    <row r="3" spans="1:83" ht="11.25" hidden="1" customHeight="1"/>
    <row r="4" spans="1:83" ht="3" customHeight="1">
      <c r="C4" s="417"/>
      <c r="D4" s="417"/>
      <c r="E4" s="417"/>
      <c r="F4" s="417"/>
      <c r="G4" s="417"/>
      <c r="H4" s="417"/>
      <c r="I4" s="417"/>
      <c r="J4" s="417"/>
      <c r="K4" s="89"/>
      <c r="L4" s="89"/>
      <c r="M4" s="89"/>
    </row>
    <row r="5" spans="1:83" ht="28.5" customHeight="1">
      <c r="C5" s="417"/>
      <c r="D5" s="946"/>
      <c r="E5" s="536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5360"/>
      <c r="G5" s="5360"/>
      <c r="H5" s="5360"/>
      <c r="I5" s="5360"/>
      <c r="J5" s="5360"/>
      <c r="K5" s="5360"/>
      <c r="L5" s="516"/>
      <c r="M5" s="516"/>
    </row>
    <row r="6" spans="1:83" s="4796" customFormat="1" ht="16.5" customHeight="1">
      <c r="A6" s="513"/>
      <c r="B6" s="658"/>
      <c r="C6" s="417"/>
      <c r="D6" s="947"/>
      <c r="E6" s="5308" t="str">
        <f>IF(org=0,"Не определено",org)</f>
        <v>ООО «Газпром теплоэнерго МО»</v>
      </c>
      <c r="F6" s="5308"/>
      <c r="G6" s="5308"/>
      <c r="H6" s="5308"/>
      <c r="I6" s="5308"/>
      <c r="J6" s="5308"/>
      <c r="K6" s="5308"/>
      <c r="L6" s="516"/>
      <c r="M6" s="516"/>
      <c r="U6" s="514"/>
      <c r="V6" s="514"/>
      <c r="W6" s="515"/>
      <c r="X6" s="658"/>
      <c r="Y6" s="658"/>
      <c r="Z6" s="658"/>
      <c r="AA6" s="658"/>
    </row>
    <row r="7" spans="1:83" ht="11.25" customHeight="1">
      <c r="C7" s="417"/>
      <c r="D7" s="417"/>
      <c r="E7" s="417"/>
      <c r="F7" s="417"/>
      <c r="G7" s="430"/>
      <c r="H7" s="430"/>
      <c r="I7" s="430"/>
      <c r="J7" s="430"/>
      <c r="K7" s="517"/>
      <c r="L7" s="517"/>
      <c r="M7" s="517"/>
      <c r="R7" s="651"/>
    </row>
    <row r="8" spans="1:83" s="4840" customFormat="1" ht="5.25" customHeight="1">
      <c r="A8" s="524"/>
      <c r="B8" s="473"/>
      <c r="C8" s="268"/>
      <c r="D8" s="268"/>
      <c r="E8" s="268"/>
      <c r="F8" s="268"/>
      <c r="G8" s="866"/>
      <c r="H8" s="866"/>
      <c r="I8" s="866"/>
      <c r="J8" s="866"/>
      <c r="K8" s="907"/>
      <c r="L8" s="907"/>
      <c r="M8" s="907"/>
      <c r="R8" s="908"/>
      <c r="U8" s="514"/>
      <c r="V8" s="514"/>
      <c r="W8" s="525"/>
      <c r="X8" s="473"/>
      <c r="Y8" s="473"/>
      <c r="Z8" s="473"/>
      <c r="AA8" s="473"/>
    </row>
    <row r="9" spans="1:83" ht="18.75" customHeight="1">
      <c r="D9" s="207"/>
      <c r="E9" s="5215" t="s">
        <v>378</v>
      </c>
      <c r="F9" s="5220"/>
      <c r="G9" s="5220"/>
      <c r="H9" s="5220"/>
      <c r="I9" s="5220"/>
      <c r="J9" s="5220"/>
      <c r="K9" s="5220"/>
      <c r="L9" s="5220"/>
      <c r="M9" s="5220"/>
      <c r="N9" s="5220"/>
      <c r="O9" s="5220"/>
      <c r="P9" s="5220"/>
      <c r="Q9" s="5220"/>
      <c r="R9" s="5214"/>
      <c r="S9" s="5244" t="s">
        <v>379</v>
      </c>
      <c r="T9" s="252"/>
    </row>
    <row r="10" spans="1:83" ht="33.75" customHeight="1">
      <c r="D10" s="458" t="s">
        <v>85</v>
      </c>
      <c r="E10" s="5244" t="s">
        <v>85</v>
      </c>
      <c r="F10" s="5244"/>
      <c r="G10" s="429" t="s">
        <v>380</v>
      </c>
      <c r="H10" s="5244" t="s">
        <v>85</v>
      </c>
      <c r="I10" s="5244"/>
      <c r="J10" s="429" t="s">
        <v>691</v>
      </c>
      <c r="K10" s="429" t="s">
        <v>692</v>
      </c>
      <c r="L10" s="5244" t="s">
        <v>85</v>
      </c>
      <c r="M10" s="5244"/>
      <c r="N10" s="429" t="s">
        <v>693</v>
      </c>
      <c r="O10" s="429" t="s">
        <v>694</v>
      </c>
      <c r="P10" s="429" t="s">
        <v>695</v>
      </c>
      <c r="Q10" s="429" t="s">
        <v>696</v>
      </c>
      <c r="R10" s="429" t="s">
        <v>697</v>
      </c>
      <c r="S10" s="5244"/>
      <c r="T10" s="252"/>
    </row>
    <row r="11" spans="1:83" s="4856" customFormat="1" ht="15" hidden="1" customHeight="1">
      <c r="A11" s="941"/>
      <c r="D11" s="914" t="s">
        <v>129</v>
      </c>
      <c r="E11" s="914"/>
      <c r="F11" s="914" t="s">
        <v>100</v>
      </c>
      <c r="G11" s="914" t="s">
        <v>87</v>
      </c>
      <c r="H11" s="914"/>
      <c r="I11" s="914" t="s">
        <v>88</v>
      </c>
      <c r="J11" s="914" t="s">
        <v>114</v>
      </c>
      <c r="K11" s="914" t="s">
        <v>89</v>
      </c>
      <c r="L11" s="914"/>
      <c r="M11" s="914" t="s">
        <v>90</v>
      </c>
      <c r="N11" s="914" t="s">
        <v>130</v>
      </c>
      <c r="O11" s="914" t="s">
        <v>166</v>
      </c>
      <c r="P11" s="914" t="s">
        <v>167</v>
      </c>
      <c r="Q11" s="914" t="s">
        <v>168</v>
      </c>
      <c r="R11" s="914" t="s">
        <v>97</v>
      </c>
      <c r="S11" s="914" t="s">
        <v>169</v>
      </c>
      <c r="U11" s="514"/>
      <c r="V11" s="514"/>
      <c r="W11" s="514"/>
    </row>
    <row r="12" spans="1:83" s="5120" customFormat="1" ht="0.75" customHeight="1">
      <c r="A12" s="518"/>
      <c r="B12" s="279"/>
      <c r="D12" s="455"/>
      <c r="E12" s="263"/>
      <c r="F12" s="263"/>
      <c r="Q12" s="519"/>
      <c r="R12" s="520"/>
      <c r="T12" s="521"/>
      <c r="U12" s="522"/>
      <c r="V12" s="522"/>
      <c r="W12" s="523"/>
      <c r="X12" s="279"/>
      <c r="Y12" s="279"/>
      <c r="Z12" s="279"/>
      <c r="AA12" s="279"/>
    </row>
    <row r="13" spans="1:83" s="4840" customFormat="1" ht="0.75" customHeight="1">
      <c r="A13" s="524"/>
      <c r="B13" s="473"/>
      <c r="D13" s="455" t="s">
        <v>454</v>
      </c>
      <c r="E13" s="467"/>
      <c r="F13" s="467"/>
      <c r="G13" s="467"/>
      <c r="H13" s="467"/>
      <c r="I13" s="467"/>
      <c r="J13" s="467"/>
      <c r="K13" s="467"/>
      <c r="L13" s="467"/>
      <c r="M13" s="467"/>
      <c r="N13" s="467"/>
      <c r="O13" s="467"/>
      <c r="P13" s="467"/>
      <c r="Q13" s="467"/>
      <c r="R13" s="467"/>
      <c r="T13" s="252"/>
      <c r="U13" s="514"/>
      <c r="V13" s="514"/>
      <c r="W13" s="525"/>
      <c r="X13" s="473"/>
      <c r="Y13" s="473"/>
      <c r="Z13" s="473"/>
      <c r="AA13" s="473"/>
    </row>
    <row r="14" spans="1:83" s="4830" customFormat="1" ht="15" hidden="1" customHeight="1">
      <c r="A14" s="526" t="s">
        <v>135</v>
      </c>
      <c r="B14" s="527"/>
      <c r="C14" s="527"/>
      <c r="D14" s="5467" t="s">
        <v>129</v>
      </c>
      <c r="E14" s="5464" t="s">
        <v>125</v>
      </c>
      <c r="F14" s="5465"/>
      <c r="G14" s="5466"/>
      <c r="H14" s="5470">
        <f>IF(A14="","",INDEX(DIFFERENTIATION_UNMERGE_VD,MATCH(A14,DIFFERENTIATION_ID_DIFF,0)))</f>
        <v>0</v>
      </c>
      <c r="I14" s="5470"/>
      <c r="J14" s="5470"/>
      <c r="K14" s="5470"/>
      <c r="L14" s="5470"/>
      <c r="M14" s="5470"/>
      <c r="N14" s="5470"/>
      <c r="O14" s="5470"/>
      <c r="P14" s="5470"/>
      <c r="Q14" s="5470"/>
      <c r="R14" s="5470"/>
      <c r="S14" s="620"/>
      <c r="T14" s="617"/>
      <c r="U14" s="528"/>
      <c r="V14" s="528"/>
      <c r="W14" s="529"/>
      <c r="X14" s="529"/>
      <c r="Y14" s="529"/>
      <c r="Z14" s="529"/>
      <c r="AA14" s="530"/>
      <c r="AB14" s="531"/>
      <c r="AC14" s="5462"/>
      <c r="AD14" s="532"/>
      <c r="AE14" s="533" t="s">
        <v>24</v>
      </c>
      <c r="AF14" s="533"/>
      <c r="AG14" s="534" t="s">
        <v>698</v>
      </c>
      <c r="AH14" s="535">
        <v>3</v>
      </c>
      <c r="AI14" s="528"/>
      <c r="AJ14" s="528"/>
      <c r="AK14" s="528"/>
      <c r="AL14" s="528"/>
      <c r="AM14" s="528"/>
      <c r="AN14" s="528"/>
      <c r="AO14" s="528"/>
      <c r="AP14" s="528"/>
      <c r="AQ14" s="528"/>
      <c r="AR14" s="528"/>
      <c r="AS14" s="528"/>
      <c r="AT14" s="528"/>
      <c r="AU14" s="528"/>
      <c r="AV14" s="528"/>
      <c r="AW14" s="528"/>
      <c r="AX14" s="528"/>
      <c r="AY14" s="528"/>
      <c r="AZ14" s="528"/>
      <c r="BA14" s="528"/>
      <c r="BB14" s="528"/>
      <c r="BC14" s="528"/>
      <c r="BD14" s="528"/>
      <c r="BE14" s="528"/>
      <c r="BF14" s="528"/>
      <c r="BG14" s="528"/>
      <c r="BH14" s="528"/>
      <c r="BI14" s="528"/>
      <c r="BJ14" s="528"/>
      <c r="BK14" s="528"/>
      <c r="BL14" s="528"/>
      <c r="BM14" s="528"/>
      <c r="BN14" s="528"/>
      <c r="BO14" s="528"/>
      <c r="BP14" s="528"/>
      <c r="BQ14" s="528"/>
      <c r="BR14" s="528"/>
      <c r="BS14" s="528"/>
      <c r="BT14" s="528"/>
      <c r="BU14" s="528"/>
      <c r="BV14" s="529"/>
      <c r="BW14" s="529"/>
      <c r="BX14" s="529"/>
      <c r="BY14" s="529"/>
      <c r="BZ14" s="529"/>
      <c r="CA14" s="529"/>
      <c r="CB14" s="529"/>
      <c r="CC14" s="529"/>
      <c r="CD14" s="529"/>
      <c r="CE14" s="529"/>
    </row>
    <row r="15" spans="1:83" s="4830" customFormat="1" ht="15" hidden="1" customHeight="1">
      <c r="A15" s="526"/>
      <c r="B15" s="527"/>
      <c r="C15" s="527"/>
      <c r="D15" s="5468"/>
      <c r="E15" s="5464" t="s">
        <v>653</v>
      </c>
      <c r="F15" s="5465"/>
      <c r="G15" s="5466"/>
      <c r="H15" s="5470" t="str">
        <f>IF(A14="","",INDEX(DIFFERENTIATION_UNMERGE_AREA,MATCH(A14,DIFFERENTIATION_ID_DIFF,0)))</f>
        <v/>
      </c>
      <c r="I15" s="5470"/>
      <c r="J15" s="5470"/>
      <c r="K15" s="5470"/>
      <c r="L15" s="5470"/>
      <c r="M15" s="5470"/>
      <c r="N15" s="5470"/>
      <c r="O15" s="5470"/>
      <c r="P15" s="5470"/>
      <c r="Q15" s="5470"/>
      <c r="R15" s="5470"/>
      <c r="S15" s="620"/>
      <c r="T15" s="617"/>
      <c r="U15" s="528"/>
      <c r="V15" s="528"/>
      <c r="W15" s="529"/>
      <c r="X15" s="529"/>
      <c r="Y15" s="529"/>
      <c r="Z15" s="529"/>
      <c r="AA15" s="530"/>
      <c r="AB15" s="531"/>
      <c r="AC15" s="5462"/>
      <c r="AD15" s="532"/>
      <c r="AE15" s="533"/>
      <c r="AF15" s="533"/>
      <c r="AG15" s="534"/>
      <c r="AH15" s="535"/>
      <c r="AI15" s="528"/>
      <c r="AJ15" s="528"/>
      <c r="AK15" s="528"/>
      <c r="AL15" s="528"/>
      <c r="AM15" s="528"/>
      <c r="AN15" s="528"/>
      <c r="AO15" s="528"/>
      <c r="AP15" s="528"/>
      <c r="AQ15" s="528"/>
      <c r="AR15" s="528"/>
      <c r="AS15" s="528"/>
      <c r="AT15" s="528"/>
      <c r="AU15" s="528"/>
      <c r="AV15" s="528"/>
      <c r="AW15" s="528"/>
      <c r="AX15" s="528"/>
      <c r="AY15" s="528"/>
      <c r="AZ15" s="528"/>
      <c r="BA15" s="528"/>
      <c r="BB15" s="528"/>
      <c r="BC15" s="528"/>
      <c r="BD15" s="528"/>
      <c r="BE15" s="528"/>
      <c r="BF15" s="528"/>
      <c r="BG15" s="528"/>
      <c r="BH15" s="528"/>
      <c r="BI15" s="528"/>
      <c r="BJ15" s="528"/>
      <c r="BK15" s="528"/>
      <c r="BL15" s="528"/>
      <c r="BM15" s="528"/>
      <c r="BN15" s="528"/>
      <c r="BO15" s="528"/>
      <c r="BP15" s="528"/>
      <c r="BQ15" s="528"/>
      <c r="BR15" s="528"/>
      <c r="BS15" s="528"/>
      <c r="BT15" s="528"/>
      <c r="BU15" s="528"/>
      <c r="BV15" s="529"/>
      <c r="BW15" s="529"/>
      <c r="BX15" s="529"/>
      <c r="BY15" s="529"/>
      <c r="BZ15" s="529"/>
      <c r="CA15" s="529"/>
      <c r="CB15" s="529"/>
      <c r="CC15" s="529"/>
      <c r="CD15" s="529"/>
      <c r="CE15" s="529"/>
    </row>
    <row r="16" spans="1:83" s="4830" customFormat="1" ht="15" hidden="1" customHeight="1">
      <c r="A16" s="526"/>
      <c r="B16" s="527"/>
      <c r="C16" s="527"/>
      <c r="D16" s="5468"/>
      <c r="E16" s="5464" t="s">
        <v>654</v>
      </c>
      <c r="F16" s="5465"/>
      <c r="G16" s="5466"/>
      <c r="H16" s="5470" t="str">
        <f>IF(A14="","",INDEX(DIFFERENTIATION_UNMERGE_SYSTEM,MATCH(A14,DIFFERENTIATION_ID_DIFF,0)))</f>
        <v>без дифференциации</v>
      </c>
      <c r="I16" s="5470"/>
      <c r="J16" s="5470"/>
      <c r="K16" s="5470"/>
      <c r="L16" s="5470"/>
      <c r="M16" s="5470"/>
      <c r="N16" s="5470"/>
      <c r="O16" s="5470"/>
      <c r="P16" s="5470"/>
      <c r="Q16" s="5470"/>
      <c r="R16" s="5470"/>
      <c r="S16" s="620"/>
      <c r="T16" s="617"/>
      <c r="U16" s="528"/>
      <c r="V16" s="528"/>
      <c r="W16" s="529"/>
      <c r="X16" s="529"/>
      <c r="Y16" s="529"/>
      <c r="Z16" s="529"/>
      <c r="AA16" s="530"/>
      <c r="AB16" s="531"/>
      <c r="AC16" s="5462"/>
      <c r="AD16" s="532"/>
      <c r="AE16" s="533"/>
      <c r="AF16" s="533"/>
      <c r="AG16" s="534"/>
      <c r="AH16" s="535"/>
      <c r="AI16" s="528"/>
      <c r="AJ16" s="528"/>
      <c r="AK16" s="528"/>
      <c r="AL16" s="528"/>
      <c r="AM16" s="528"/>
      <c r="AN16" s="528"/>
      <c r="AO16" s="528"/>
      <c r="AP16" s="528"/>
      <c r="AQ16" s="528"/>
      <c r="AR16" s="528"/>
      <c r="AS16" s="528"/>
      <c r="AT16" s="528"/>
      <c r="AU16" s="528"/>
      <c r="AV16" s="528"/>
      <c r="AW16" s="528"/>
      <c r="AX16" s="528"/>
      <c r="AY16" s="528"/>
      <c r="AZ16" s="528"/>
      <c r="BA16" s="528"/>
      <c r="BB16" s="528"/>
      <c r="BC16" s="528"/>
      <c r="BD16" s="528"/>
      <c r="BE16" s="528"/>
      <c r="BF16" s="528"/>
      <c r="BG16" s="528"/>
      <c r="BH16" s="528"/>
      <c r="BI16" s="528"/>
      <c r="BJ16" s="528"/>
      <c r="BK16" s="528"/>
      <c r="BL16" s="528"/>
      <c r="BM16" s="528"/>
      <c r="BN16" s="528"/>
      <c r="BO16" s="528"/>
      <c r="BP16" s="528"/>
      <c r="BQ16" s="528"/>
      <c r="BR16" s="528"/>
      <c r="BS16" s="528"/>
      <c r="BT16" s="528"/>
      <c r="BU16" s="528"/>
      <c r="BV16" s="529"/>
      <c r="BW16" s="529"/>
      <c r="BX16" s="529"/>
      <c r="BY16" s="529"/>
      <c r="BZ16" s="529"/>
      <c r="CA16" s="529"/>
      <c r="CB16" s="529"/>
      <c r="CC16" s="529"/>
      <c r="CD16" s="529"/>
      <c r="CE16" s="529"/>
    </row>
    <row r="17" spans="1:83" s="4830" customFormat="1" ht="22.5" hidden="1" customHeight="1">
      <c r="A17" s="536"/>
      <c r="B17" s="333"/>
      <c r="C17" s="328"/>
      <c r="D17" s="5468"/>
      <c r="E17" s="5463" t="s">
        <v>699</v>
      </c>
      <c r="F17" s="5463"/>
      <c r="G17" s="5463"/>
      <c r="H17" s="5463"/>
      <c r="I17" s="5463"/>
      <c r="J17" s="5463"/>
      <c r="K17" s="5463"/>
      <c r="L17" s="5463"/>
      <c r="M17" s="5463"/>
      <c r="N17" s="5463"/>
      <c r="O17" s="5463"/>
      <c r="P17" s="5463"/>
      <c r="Q17" s="465">
        <f>SUMIF(T18:T19,"i",Q18:Q19)</f>
        <v>0</v>
      </c>
      <c r="R17" s="906"/>
      <c r="S17" s="792" t="s">
        <v>700</v>
      </c>
      <c r="T17" s="618" t="s">
        <v>701</v>
      </c>
      <c r="U17" s="5375">
        <v>1</v>
      </c>
      <c r="V17" s="5375" t="str">
        <f>INDEX(B_FHD_FLAG_INDEX_1,1,MATCH(A14,B_FHD_FLAG_DIFFERENTIATION,0))</f>
        <v>отсутствует</v>
      </c>
      <c r="W17" s="333"/>
      <c r="X17" s="333"/>
      <c r="Y17" s="333"/>
      <c r="Z17" s="333"/>
      <c r="AA17" s="419"/>
      <c r="AB17" s="333"/>
      <c r="AC17" s="5462"/>
      <c r="AD17" s="532"/>
      <c r="AE17" s="333"/>
      <c r="AF17" s="333"/>
      <c r="AG17" s="419"/>
      <c r="AH17" s="419"/>
      <c r="AI17" s="419"/>
      <c r="AJ17" s="419"/>
      <c r="AK17" s="419"/>
      <c r="AL17" s="419"/>
      <c r="AM17" s="419"/>
      <c r="AN17" s="419"/>
      <c r="AO17" s="419"/>
      <c r="AP17" s="419"/>
      <c r="AQ17" s="419"/>
      <c r="AR17" s="419"/>
      <c r="AS17" s="419"/>
      <c r="AT17" s="419"/>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c r="BQ17" s="419"/>
      <c r="BR17" s="419"/>
      <c r="BS17" s="419"/>
      <c r="BT17" s="419"/>
      <c r="BU17" s="419"/>
      <c r="BV17" s="333"/>
      <c r="BW17" s="333"/>
      <c r="BX17" s="333"/>
      <c r="BY17" s="333"/>
      <c r="BZ17" s="333"/>
      <c r="CA17" s="333"/>
      <c r="CB17" s="333"/>
      <c r="CC17" s="333"/>
      <c r="CD17" s="333"/>
      <c r="CE17" s="333"/>
    </row>
    <row r="18" spans="1:83" s="4830" customFormat="1" ht="11.25" hidden="1" customHeight="1">
      <c r="A18" s="537"/>
      <c r="B18" s="419"/>
      <c r="C18" s="419"/>
      <c r="D18" s="5468"/>
      <c r="E18" s="538"/>
      <c r="F18" s="538">
        <v>0</v>
      </c>
      <c r="G18" s="538"/>
      <c r="H18" s="538"/>
      <c r="I18" s="538"/>
      <c r="J18" s="538"/>
      <c r="K18" s="538"/>
      <c r="L18" s="538"/>
      <c r="M18" s="538"/>
      <c r="N18" s="538"/>
      <c r="O18" s="538"/>
      <c r="P18" s="538"/>
      <c r="Q18" s="538"/>
      <c r="R18" s="538"/>
      <c r="S18" s="539"/>
      <c r="T18" s="619"/>
      <c r="U18" s="5375"/>
      <c r="V18" s="5375"/>
      <c r="W18" s="419"/>
      <c r="X18" s="419"/>
      <c r="Y18" s="419"/>
      <c r="Z18" s="419"/>
      <c r="AA18" s="419"/>
      <c r="AB18" s="333"/>
      <c r="AC18" s="5462"/>
      <c r="AD18" s="532"/>
      <c r="AE18" s="333"/>
      <c r="AF18" s="333"/>
      <c r="AG18" s="419"/>
      <c r="AH18" s="419"/>
      <c r="AI18" s="419"/>
      <c r="AJ18" s="419"/>
      <c r="AK18" s="419"/>
      <c r="AL18" s="419"/>
      <c r="AM18" s="419"/>
      <c r="AN18" s="419"/>
      <c r="AO18" s="419"/>
      <c r="AP18" s="419"/>
      <c r="AQ18" s="419"/>
      <c r="AR18" s="419"/>
      <c r="AS18" s="419"/>
      <c r="AT18" s="419"/>
      <c r="AU18" s="419"/>
      <c r="AV18" s="419"/>
      <c r="AW18" s="419"/>
      <c r="AX18" s="419"/>
      <c r="AY18" s="419"/>
      <c r="AZ18" s="419"/>
      <c r="BA18" s="419"/>
      <c r="BB18" s="419"/>
      <c r="BC18" s="419"/>
      <c r="BD18" s="419"/>
      <c r="BE18" s="419"/>
      <c r="BF18" s="419"/>
      <c r="BG18" s="419"/>
      <c r="BH18" s="419"/>
      <c r="BI18" s="419"/>
      <c r="BJ18" s="419"/>
      <c r="BK18" s="419"/>
      <c r="BL18" s="419"/>
      <c r="BM18" s="419"/>
      <c r="BN18" s="419"/>
      <c r="BO18" s="419"/>
      <c r="BP18" s="419"/>
      <c r="BQ18" s="419"/>
      <c r="BR18" s="419"/>
      <c r="BS18" s="419"/>
      <c r="BT18" s="419"/>
      <c r="BU18" s="419"/>
      <c r="BV18" s="419"/>
      <c r="BW18" s="419"/>
      <c r="BX18" s="419"/>
      <c r="BY18" s="419"/>
      <c r="BZ18" s="419"/>
      <c r="CA18" s="419"/>
      <c r="CB18" s="419"/>
      <c r="CC18" s="419"/>
      <c r="CD18" s="419"/>
      <c r="CE18" s="419"/>
    </row>
    <row r="19" spans="1:83" s="4830" customFormat="1" ht="11.25" hidden="1" customHeight="1">
      <c r="A19" s="536"/>
      <c r="B19" s="333"/>
      <c r="C19" s="328"/>
      <c r="D19" s="5468"/>
      <c r="E19" s="552" t="s">
        <v>24</v>
      </c>
      <c r="F19" s="553" t="s">
        <v>24</v>
      </c>
      <c r="G19" s="553" t="s">
        <v>24</v>
      </c>
      <c r="H19" s="554" t="s">
        <v>24</v>
      </c>
      <c r="I19" s="554"/>
      <c r="J19" s="554"/>
      <c r="K19" s="554"/>
      <c r="L19" s="554"/>
      <c r="M19" s="554"/>
      <c r="N19" s="554"/>
      <c r="O19" s="554"/>
      <c r="P19" s="554"/>
      <c r="Q19" s="554"/>
      <c r="R19" s="555"/>
      <c r="S19" s="909"/>
      <c r="T19" s="619"/>
      <c r="U19" s="5375"/>
      <c r="V19" s="5375"/>
      <c r="W19" s="333"/>
      <c r="X19" s="333"/>
      <c r="Y19" s="333"/>
      <c r="Z19" s="333"/>
      <c r="AA19" s="419"/>
      <c r="AB19" s="333"/>
      <c r="AC19" s="5462"/>
      <c r="AD19" s="532"/>
      <c r="AE19" s="333"/>
      <c r="AF19" s="333"/>
      <c r="AG19" s="419"/>
      <c r="AH19" s="419"/>
      <c r="AI19" s="419"/>
      <c r="AJ19" s="419"/>
      <c r="AK19" s="419"/>
      <c r="AL19" s="419"/>
      <c r="AM19" s="419"/>
      <c r="AN19" s="419"/>
      <c r="AO19" s="419"/>
      <c r="AP19" s="419"/>
      <c r="AQ19" s="419"/>
      <c r="AR19" s="419"/>
      <c r="AS19" s="419"/>
      <c r="AT19" s="419"/>
      <c r="AU19" s="419"/>
      <c r="AV19" s="419"/>
      <c r="AW19" s="419"/>
      <c r="AX19" s="419"/>
      <c r="AY19" s="419"/>
      <c r="AZ19" s="419"/>
      <c r="BA19" s="419"/>
      <c r="BB19" s="419"/>
      <c r="BC19" s="419"/>
      <c r="BD19" s="419"/>
      <c r="BE19" s="419"/>
      <c r="BF19" s="419"/>
      <c r="BG19" s="419"/>
      <c r="BH19" s="419"/>
      <c r="BI19" s="419"/>
      <c r="BJ19" s="419"/>
      <c r="BK19" s="419"/>
      <c r="BL19" s="419"/>
      <c r="BM19" s="419"/>
      <c r="BN19" s="419"/>
      <c r="BO19" s="419"/>
      <c r="BP19" s="419"/>
      <c r="BQ19" s="419"/>
      <c r="BR19" s="419"/>
      <c r="BS19" s="419"/>
      <c r="BT19" s="419"/>
      <c r="BU19" s="419"/>
      <c r="BV19" s="333"/>
      <c r="BW19" s="333"/>
      <c r="BX19" s="333"/>
      <c r="BY19" s="333"/>
      <c r="BZ19" s="333"/>
      <c r="CA19" s="333"/>
      <c r="CB19" s="333"/>
      <c r="CC19" s="333"/>
      <c r="CD19" s="333"/>
      <c r="CE19" s="333"/>
    </row>
    <row r="20" spans="1:83" s="4830" customFormat="1" ht="22.5" hidden="1" customHeight="1">
      <c r="A20" s="536"/>
      <c r="B20" s="333"/>
      <c r="C20" s="328"/>
      <c r="D20" s="5468"/>
      <c r="E20" s="5463" t="s">
        <v>702</v>
      </c>
      <c r="F20" s="5463"/>
      <c r="G20" s="5463"/>
      <c r="H20" s="5463"/>
      <c r="I20" s="5463"/>
      <c r="J20" s="5463"/>
      <c r="K20" s="5463"/>
      <c r="L20" s="5463"/>
      <c r="M20" s="5463"/>
      <c r="N20" s="5463"/>
      <c r="O20" s="5463"/>
      <c r="P20" s="5463"/>
      <c r="Q20" s="465">
        <f>SUMIF(T21:T22,"i",Q21:Q22)</f>
        <v>0</v>
      </c>
      <c r="R20" s="906"/>
      <c r="S20" s="610" t="s">
        <v>703</v>
      </c>
      <c r="T20" s="618" t="s">
        <v>701</v>
      </c>
      <c r="U20" s="5375">
        <v>2</v>
      </c>
      <c r="V20" s="5375" t="str">
        <f>INDEX(B_FHD_FLAG_INDEX_2,1,MATCH(A14,B_FHD_FLAG_DIFFERENTIATION,0))</f>
        <v>отсутствует</v>
      </c>
      <c r="W20" s="333"/>
      <c r="X20" s="333"/>
      <c r="Y20" s="333"/>
      <c r="Z20" s="333"/>
      <c r="AA20" s="419"/>
      <c r="AB20" s="333"/>
      <c r="AC20" s="607"/>
      <c r="AD20" s="532"/>
      <c r="AE20" s="333"/>
      <c r="AF20" s="333"/>
      <c r="AG20" s="419"/>
      <c r="AH20" s="419"/>
      <c r="AI20" s="419"/>
      <c r="AJ20" s="419"/>
      <c r="AK20" s="419"/>
      <c r="AL20" s="419"/>
      <c r="AM20" s="419"/>
      <c r="AN20" s="419"/>
      <c r="AO20" s="419"/>
      <c r="AP20" s="419"/>
      <c r="AQ20" s="419"/>
      <c r="AR20" s="419"/>
      <c r="AS20" s="419"/>
      <c r="AT20" s="419"/>
      <c r="AU20" s="419"/>
      <c r="AV20" s="419"/>
      <c r="AW20" s="419"/>
      <c r="AX20" s="419"/>
      <c r="AY20" s="419"/>
      <c r="AZ20" s="419"/>
      <c r="BA20" s="419"/>
      <c r="BB20" s="419"/>
      <c r="BC20" s="419"/>
      <c r="BD20" s="419"/>
      <c r="BE20" s="419"/>
      <c r="BF20" s="419"/>
      <c r="BG20" s="419"/>
      <c r="BH20" s="419"/>
      <c r="BI20" s="419"/>
      <c r="BJ20" s="419"/>
      <c r="BK20" s="419"/>
      <c r="BL20" s="419"/>
      <c r="BM20" s="419"/>
      <c r="BN20" s="419"/>
      <c r="BO20" s="419"/>
      <c r="BP20" s="419"/>
      <c r="BQ20" s="419"/>
      <c r="BR20" s="419"/>
      <c r="BS20" s="419"/>
      <c r="BT20" s="419"/>
      <c r="BU20" s="419"/>
      <c r="BV20" s="333"/>
      <c r="BW20" s="333"/>
      <c r="BX20" s="333"/>
      <c r="BY20" s="333"/>
      <c r="BZ20" s="333"/>
      <c r="CA20" s="333"/>
      <c r="CB20" s="333"/>
      <c r="CC20" s="333"/>
      <c r="CD20" s="333"/>
      <c r="CE20" s="333"/>
    </row>
    <row r="21" spans="1:83" s="4830" customFormat="1" ht="11.25" hidden="1" customHeight="1">
      <c r="A21" s="609"/>
      <c r="B21" s="419"/>
      <c r="C21" s="419"/>
      <c r="D21" s="5468"/>
      <c r="E21" s="538"/>
      <c r="F21" s="538">
        <v>0</v>
      </c>
      <c r="G21" s="538"/>
      <c r="H21" s="538"/>
      <c r="I21" s="538"/>
      <c r="J21" s="538"/>
      <c r="K21" s="538"/>
      <c r="L21" s="538"/>
      <c r="M21" s="538"/>
      <c r="N21" s="538"/>
      <c r="O21" s="538"/>
      <c r="P21" s="538"/>
      <c r="Q21" s="538"/>
      <c r="R21" s="538"/>
      <c r="S21" s="539"/>
      <c r="T21" s="619"/>
      <c r="U21" s="5375"/>
      <c r="V21" s="5375"/>
      <c r="W21" s="419"/>
      <c r="X21" s="419"/>
      <c r="Y21" s="419"/>
      <c r="Z21" s="419"/>
      <c r="AA21" s="419"/>
      <c r="AB21" s="333"/>
      <c r="AC21" s="607"/>
      <c r="AD21" s="532"/>
      <c r="AE21" s="333"/>
      <c r="AF21" s="333"/>
      <c r="AG21" s="419"/>
      <c r="AH21" s="419"/>
      <c r="AI21" s="419"/>
      <c r="AJ21" s="419"/>
      <c r="AK21" s="419"/>
      <c r="AL21" s="419"/>
      <c r="AM21" s="419"/>
      <c r="AN21" s="419"/>
      <c r="AO21" s="419"/>
      <c r="AP21" s="419"/>
      <c r="AQ21" s="419"/>
      <c r="AR21" s="419"/>
      <c r="AS21" s="419"/>
      <c r="AT21" s="419"/>
      <c r="AU21" s="419"/>
      <c r="AV21" s="419"/>
      <c r="AW21" s="419"/>
      <c r="AX21" s="419"/>
      <c r="AY21" s="419"/>
      <c r="AZ21" s="419"/>
      <c r="BA21" s="419"/>
      <c r="BB21" s="419"/>
      <c r="BC21" s="419"/>
      <c r="BD21" s="419"/>
      <c r="BE21" s="419"/>
      <c r="BF21" s="419"/>
      <c r="BG21" s="419"/>
      <c r="BH21" s="419"/>
      <c r="BI21" s="419"/>
      <c r="BJ21" s="419"/>
      <c r="BK21" s="419"/>
      <c r="BL21" s="419"/>
      <c r="BM21" s="419"/>
      <c r="BN21" s="419"/>
      <c r="BO21" s="419"/>
      <c r="BP21" s="419"/>
      <c r="BQ21" s="419"/>
      <c r="BR21" s="419"/>
      <c r="BS21" s="419"/>
      <c r="BT21" s="419"/>
      <c r="BU21" s="419"/>
      <c r="BV21" s="419"/>
      <c r="BW21" s="419"/>
      <c r="BX21" s="419"/>
      <c r="BY21" s="419"/>
      <c r="BZ21" s="419"/>
      <c r="CA21" s="419"/>
      <c r="CB21" s="419"/>
      <c r="CC21" s="419"/>
      <c r="CD21" s="419"/>
      <c r="CE21" s="419"/>
    </row>
    <row r="22" spans="1:83" s="4830" customFormat="1" ht="11.25" hidden="1" customHeight="1">
      <c r="A22" s="536"/>
      <c r="B22" s="333"/>
      <c r="C22" s="328"/>
      <c r="D22" s="5469"/>
      <c r="E22" s="552" t="s">
        <v>24</v>
      </c>
      <c r="F22" s="553" t="s">
        <v>24</v>
      </c>
      <c r="G22" s="553" t="s">
        <v>24</v>
      </c>
      <c r="H22" s="554" t="s">
        <v>24</v>
      </c>
      <c r="I22" s="554"/>
      <c r="J22" s="554"/>
      <c r="K22" s="554"/>
      <c r="L22" s="554"/>
      <c r="M22" s="554"/>
      <c r="N22" s="554"/>
      <c r="O22" s="554"/>
      <c r="P22" s="554"/>
      <c r="Q22" s="554"/>
      <c r="R22" s="555"/>
      <c r="S22" s="909"/>
      <c r="T22" s="619"/>
      <c r="U22" s="5375"/>
      <c r="V22" s="5375"/>
      <c r="W22" s="333"/>
      <c r="X22" s="333"/>
      <c r="Y22" s="333"/>
      <c r="Z22" s="333"/>
      <c r="AA22" s="419"/>
      <c r="AB22" s="333"/>
      <c r="AC22" s="607"/>
      <c r="AD22" s="532"/>
      <c r="AE22" s="333"/>
      <c r="AF22" s="333"/>
      <c r="AG22" s="419"/>
      <c r="AH22" s="419"/>
      <c r="AI22" s="419"/>
      <c r="AJ22" s="419"/>
      <c r="AK22" s="419"/>
      <c r="AL22" s="419"/>
      <c r="AM22" s="419"/>
      <c r="AN22" s="419"/>
      <c r="AO22" s="419"/>
      <c r="AP22" s="419"/>
      <c r="AQ22" s="419"/>
      <c r="AR22" s="419"/>
      <c r="AS22" s="419"/>
      <c r="AT22" s="419"/>
      <c r="AU22" s="419"/>
      <c r="AV22" s="419"/>
      <c r="AW22" s="419"/>
      <c r="AX22" s="419"/>
      <c r="AY22" s="419"/>
      <c r="AZ22" s="419"/>
      <c r="BA22" s="419"/>
      <c r="BB22" s="419"/>
      <c r="BC22" s="419"/>
      <c r="BD22" s="419"/>
      <c r="BE22" s="419"/>
      <c r="BF22" s="419"/>
      <c r="BG22" s="419"/>
      <c r="BH22" s="419"/>
      <c r="BI22" s="419"/>
      <c r="BJ22" s="419"/>
      <c r="BK22" s="419"/>
      <c r="BL22" s="419"/>
      <c r="BM22" s="419"/>
      <c r="BN22" s="419"/>
      <c r="BO22" s="419"/>
      <c r="BP22" s="419"/>
      <c r="BQ22" s="419"/>
      <c r="BR22" s="419"/>
      <c r="BS22" s="419"/>
      <c r="BT22" s="419"/>
      <c r="BU22" s="419"/>
      <c r="BV22" s="333"/>
      <c r="BW22" s="333"/>
      <c r="BX22" s="333"/>
      <c r="BY22" s="333"/>
      <c r="BZ22" s="333"/>
      <c r="CA22" s="333"/>
      <c r="CB22" s="333"/>
      <c r="CC22" s="333"/>
      <c r="CD22" s="333"/>
      <c r="CE22" s="333"/>
    </row>
    <row r="23" spans="1:83" ht="18.75" customHeight="1">
      <c r="D23" s="936"/>
      <c r="E23" s="936"/>
      <c r="F23" s="936"/>
      <c r="G23" s="936"/>
      <c r="H23" s="936"/>
      <c r="I23" s="936"/>
      <c r="J23" s="936"/>
      <c r="K23" s="936"/>
      <c r="L23" s="936"/>
      <c r="M23" s="936"/>
      <c r="N23" s="936"/>
      <c r="O23" s="936"/>
      <c r="P23" s="936"/>
      <c r="Q23" s="936"/>
      <c r="R23" s="936"/>
      <c r="S23" s="936"/>
      <c r="T23" s="252"/>
    </row>
    <row r="24" spans="1:83" ht="11.25" customHeight="1">
      <c r="D24" s="417"/>
    </row>
    <row r="25" spans="1:83" ht="11.25" customHeight="1">
      <c r="D25" s="557"/>
      <c r="E25" s="557"/>
      <c r="F25" s="557"/>
      <c r="G25" s="558"/>
    </row>
    <row r="27" spans="1:83" ht="11.25" customHeight="1">
      <c r="D27" s="559"/>
      <c r="E27" s="5471"/>
      <c r="F27" s="5471"/>
      <c r="G27" s="5471"/>
      <c r="H27" s="5471"/>
      <c r="I27" s="5471"/>
      <c r="J27" s="5471"/>
      <c r="K27" s="5471"/>
      <c r="L27" s="5471"/>
      <c r="M27" s="5471"/>
      <c r="N27" s="5471"/>
      <c r="O27" s="5471"/>
      <c r="P27" s="5471"/>
      <c r="Q27" s="5471"/>
      <c r="R27" s="5471"/>
    </row>
    <row r="28" spans="1:83" ht="11.25" customHeight="1">
      <c r="F28" s="657"/>
      <c r="G28" s="657"/>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5117" hidden="1" customWidth="1"/>
    <col min="2" max="2" width="16.85546875" style="4854" hidden="1" customWidth="1"/>
    <col min="3" max="3" width="5.5703125" style="4867" hidden="1" customWidth="1"/>
    <col min="4" max="4" width="3.7109375" style="5118" customWidth="1"/>
    <col min="5" max="5" width="7.7109375" style="4868" customWidth="1"/>
    <col min="6" max="6" width="56.140625" style="4868" customWidth="1"/>
    <col min="7" max="7" width="10.42578125" style="4868" customWidth="1"/>
    <col min="8" max="8" width="40.7109375" style="4868" hidden="1" customWidth="1"/>
    <col min="9" max="9" width="40.7109375" style="4868" customWidth="1"/>
    <col min="10" max="10" width="102.85546875" style="4868" customWidth="1"/>
    <col min="11" max="11" width="9.7109375" style="4854" customWidth="1"/>
    <col min="12" max="12" width="5.28515625" style="4867" customWidth="1"/>
    <col min="13" max="13" width="3.7109375" style="4867" customWidth="1"/>
    <col min="14" max="17" width="3.7109375" style="4854" customWidth="1"/>
    <col min="18" max="18" width="10.5703125" style="4867" customWidth="1"/>
    <col min="19" max="19" width="34.7109375" style="4854" customWidth="1"/>
    <col min="20" max="20" width="9.42578125" style="4854" customWidth="1"/>
    <col min="21" max="21" width="9.140625" style="5119"/>
    <col min="22" max="26" width="9.140625" style="4854"/>
    <col min="27" max="31" width="9.140625" style="5113"/>
  </cols>
  <sheetData>
    <row r="1" spans="1:31" s="4854" customFormat="1" ht="11.25" hidden="1" customHeight="1">
      <c r="A1" s="877"/>
      <c r="C1" s="1500"/>
      <c r="D1" s="444"/>
      <c r="H1" s="1042">
        <v>4</v>
      </c>
      <c r="I1" s="1042">
        <v>4</v>
      </c>
      <c r="L1" s="1500"/>
      <c r="M1" s="1500"/>
      <c r="R1" s="1500"/>
    </row>
    <row r="2" spans="1:31" s="4854" customFormat="1" ht="22.5" hidden="1" customHeight="1">
      <c r="A2" s="877"/>
      <c r="C2" s="1500"/>
      <c r="D2" s="445"/>
      <c r="E2" s="1501"/>
      <c r="F2" s="447"/>
      <c r="G2" s="1503" t="s">
        <v>641</v>
      </c>
      <c r="H2" s="448"/>
      <c r="I2" s="448"/>
      <c r="J2" s="449" t="s">
        <v>704</v>
      </c>
      <c r="K2" s="450"/>
      <c r="L2" s="1500"/>
      <c r="M2" s="1500"/>
      <c r="R2" s="1500"/>
      <c r="U2" s="451"/>
      <c r="AA2" s="1496"/>
      <c r="AB2" s="1496"/>
      <c r="AC2" s="1496"/>
      <c r="AD2" s="1496"/>
      <c r="AE2" s="1496"/>
    </row>
    <row r="3" spans="1:31" ht="11.25" hidden="1" customHeight="1"/>
    <row r="4" spans="1:31" s="5113" customFormat="1" ht="11.25" hidden="1" customHeight="1">
      <c r="A4" s="877"/>
      <c r="B4" s="1042"/>
      <c r="C4" s="1500"/>
      <c r="D4" s="279"/>
      <c r="J4" s="1496">
        <v>4</v>
      </c>
      <c r="K4" s="1042"/>
      <c r="L4" s="1500"/>
      <c r="M4" s="1500"/>
      <c r="N4" s="1042"/>
      <c r="O4" s="1042"/>
      <c r="P4" s="1042"/>
      <c r="Q4" s="1042"/>
      <c r="R4" s="1500"/>
      <c r="S4" s="1042"/>
      <c r="T4" s="1042"/>
      <c r="U4" s="451"/>
      <c r="V4" s="1042"/>
      <c r="W4" s="1042"/>
      <c r="X4" s="1042"/>
      <c r="Y4" s="1042"/>
      <c r="Z4" s="1042"/>
    </row>
    <row r="6" spans="1:31" ht="22.5" customHeight="1">
      <c r="E6" s="5321" t="s">
        <v>705</v>
      </c>
      <c r="F6" s="5321"/>
      <c r="G6" s="5321"/>
      <c r="H6" s="5321"/>
      <c r="I6" s="5321"/>
      <c r="J6" s="463"/>
    </row>
    <row r="7" spans="1:31" ht="24" customHeight="1">
      <c r="E7" s="5308" t="str">
        <f>IF(org=0,"Не определено",org)</f>
        <v>ООО «Газпром теплоэнерго МО»</v>
      </c>
      <c r="F7" s="5308"/>
      <c r="G7" s="5308"/>
      <c r="H7" s="5308"/>
      <c r="I7" s="5308"/>
    </row>
    <row r="8" spans="1:31" ht="11.25" customHeight="1">
      <c r="E8" s="1019"/>
      <c r="F8" s="1019"/>
      <c r="G8" s="1019"/>
      <c r="H8" s="1019"/>
      <c r="I8" s="1019"/>
    </row>
    <row r="9" spans="1:31" s="4867" customFormat="1" ht="0.75" customHeight="1">
      <c r="A9" s="1049"/>
      <c r="D9" s="1506"/>
      <c r="H9" s="784"/>
      <c r="I9" s="784" t="s">
        <v>135</v>
      </c>
    </row>
    <row r="10" spans="1:31" ht="11.25" customHeight="1">
      <c r="E10" s="612"/>
      <c r="F10" s="5456" t="s">
        <v>125</v>
      </c>
      <c r="G10" s="5457"/>
      <c r="H10" s="1422" t="str">
        <f>IF(H9="","",INDEX(DIFFERENTIATION_UNMERGE_VD,MATCH(H9,DIFFERENTIATION_ID_DIFF,0)))</f>
        <v/>
      </c>
      <c r="I10" s="1422">
        <f>IF(I9="","",INDEX(DIFFERENTIATION_UNMERGE_VD,MATCH(I9,DIFFERENTIATION_ID_DIFF,0)))</f>
        <v>0</v>
      </c>
      <c r="J10" s="5244"/>
    </row>
    <row r="11" spans="1:31" ht="11.25" customHeight="1">
      <c r="E11" s="612"/>
      <c r="F11" s="5456" t="s">
        <v>653</v>
      </c>
      <c r="G11" s="5457"/>
      <c r="H11" s="1422" t="str">
        <f>IF(H9="","",INDEX(DIFFERENTIATION_UNMERGE_AREA,MATCH(H9,DIFFERENTIATION_ID_DIFF,0)))</f>
        <v/>
      </c>
      <c r="I11" s="1422" t="str">
        <f>IF(I9="","",INDEX(DIFFERENTIATION_UNMERGE_AREA,MATCH(I9,DIFFERENTIATION_ID_DIFF,0)))</f>
        <v/>
      </c>
      <c r="J11" s="5244"/>
    </row>
    <row r="12" spans="1:31" ht="11.25" hidden="1" customHeight="1">
      <c r="E12" s="1526"/>
      <c r="F12" s="5472" t="s">
        <v>654</v>
      </c>
      <c r="G12" s="5473"/>
      <c r="H12" s="1527" t="str">
        <f>IF(H9="","",INDEX(DIFFERENTIATION_UNMERGE_SYSTEM,MATCH(H9,DIFFERENTIATION_ID_DIFF,0)))</f>
        <v/>
      </c>
      <c r="I12" s="1527" t="str">
        <f>IF(I9="","",INDEX(DIFFERENTIATION_UNMERGE_SYSTEM,MATCH(I9,DIFFERENTIATION_ID_DIFF,0)))</f>
        <v>без дифференциации</v>
      </c>
      <c r="J12" s="5244"/>
    </row>
    <row r="13" spans="1:31" ht="11.25" customHeight="1">
      <c r="E13" s="5458" t="s">
        <v>378</v>
      </c>
      <c r="F13" s="5459"/>
      <c r="G13" s="5459"/>
      <c r="H13" s="1421"/>
      <c r="I13" s="1421"/>
      <c r="J13" s="5244"/>
    </row>
    <row r="14" spans="1:31" ht="22.5" customHeight="1">
      <c r="E14" s="1503" t="s">
        <v>85</v>
      </c>
      <c r="F14" s="1498" t="s">
        <v>380</v>
      </c>
      <c r="G14" s="1498" t="s">
        <v>655</v>
      </c>
      <c r="H14" s="1498" t="s">
        <v>381</v>
      </c>
      <c r="I14" s="1498" t="s">
        <v>381</v>
      </c>
      <c r="J14" s="5244"/>
    </row>
    <row r="15" spans="1:31" ht="18.75" customHeight="1">
      <c r="D15" s="1502"/>
      <c r="E15" s="1494" t="s">
        <v>129</v>
      </c>
      <c r="F15" s="608" t="s">
        <v>706</v>
      </c>
      <c r="G15" s="1510" t="s">
        <v>641</v>
      </c>
      <c r="H15" s="464"/>
      <c r="I15" s="464"/>
      <c r="J15" s="207" t="s">
        <v>707</v>
      </c>
      <c r="K15" s="450" t="s">
        <v>708</v>
      </c>
    </row>
    <row r="16" spans="1:31" ht="33.75" customHeight="1">
      <c r="D16" s="1502"/>
      <c r="E16" s="1494" t="s">
        <v>100</v>
      </c>
      <c r="F16" s="608" t="s">
        <v>709</v>
      </c>
      <c r="G16" s="1510" t="s">
        <v>641</v>
      </c>
      <c r="H16" s="465">
        <f>SUM(H17,H20:H32)</f>
        <v>0</v>
      </c>
      <c r="I16" s="465">
        <f>SUM(I17,I20:I32)</f>
        <v>0</v>
      </c>
      <c r="J16" s="207" t="s">
        <v>710</v>
      </c>
      <c r="K16" s="450" t="s">
        <v>708</v>
      </c>
    </row>
    <row r="17" spans="1:31" ht="18.75" customHeight="1">
      <c r="D17" s="1502"/>
      <c r="E17" s="1528" t="s">
        <v>711</v>
      </c>
      <c r="F17" s="845" t="s">
        <v>712</v>
      </c>
      <c r="G17" s="1507" t="s">
        <v>641</v>
      </c>
      <c r="H17" s="464"/>
      <c r="I17" s="464"/>
      <c r="J17" s="207" t="s">
        <v>713</v>
      </c>
      <c r="K17" s="450"/>
    </row>
    <row r="18" spans="1:31" ht="22.5" customHeight="1">
      <c r="D18" s="1502"/>
      <c r="E18" s="1528" t="s">
        <v>714</v>
      </c>
      <c r="F18" s="1514" t="s">
        <v>715</v>
      </c>
      <c r="G18" s="1507" t="s">
        <v>641</v>
      </c>
      <c r="H18" s="464"/>
      <c r="I18" s="464"/>
      <c r="J18" s="207" t="s">
        <v>716</v>
      </c>
      <c r="K18" s="450"/>
    </row>
    <row r="19" spans="1:31" ht="33.75" customHeight="1">
      <c r="D19" s="1502"/>
      <c r="E19" s="1528" t="s">
        <v>717</v>
      </c>
      <c r="F19" s="1514" t="s">
        <v>718</v>
      </c>
      <c r="G19" s="1507" t="s">
        <v>641</v>
      </c>
      <c r="H19" s="464"/>
      <c r="I19" s="464"/>
      <c r="J19" s="207"/>
      <c r="K19" s="450"/>
    </row>
    <row r="20" spans="1:31" ht="18.75" customHeight="1">
      <c r="D20" s="1502"/>
      <c r="E20" s="1528" t="s">
        <v>385</v>
      </c>
      <c r="F20" s="845" t="s">
        <v>719</v>
      </c>
      <c r="G20" s="1507" t="s">
        <v>641</v>
      </c>
      <c r="H20" s="464"/>
      <c r="I20" s="464"/>
      <c r="J20" s="207" t="s">
        <v>720</v>
      </c>
      <c r="K20" s="450"/>
    </row>
    <row r="21" spans="1:31" ht="18.75" customHeight="1">
      <c r="D21" s="1502"/>
      <c r="E21" s="1528" t="s">
        <v>721</v>
      </c>
      <c r="F21" s="1514" t="s">
        <v>722</v>
      </c>
      <c r="G21" s="1507" t="s">
        <v>641</v>
      </c>
      <c r="H21" s="464"/>
      <c r="I21" s="464"/>
      <c r="J21" s="207"/>
      <c r="K21" s="450"/>
    </row>
    <row r="22" spans="1:31" ht="18.75" customHeight="1">
      <c r="D22" s="1502"/>
      <c r="E22" s="1528" t="s">
        <v>723</v>
      </c>
      <c r="F22" s="1514" t="s">
        <v>724</v>
      </c>
      <c r="G22" s="1507" t="s">
        <v>641</v>
      </c>
      <c r="H22" s="464"/>
      <c r="I22" s="464"/>
      <c r="J22" s="207"/>
      <c r="K22" s="450"/>
    </row>
    <row r="23" spans="1:31" ht="22.5" customHeight="1">
      <c r="D23" s="1502"/>
      <c r="E23" s="1528" t="s">
        <v>388</v>
      </c>
      <c r="F23" s="845" t="s">
        <v>725</v>
      </c>
      <c r="G23" s="1507" t="s">
        <v>641</v>
      </c>
      <c r="H23" s="464"/>
      <c r="I23" s="464"/>
      <c r="J23" s="207" t="s">
        <v>726</v>
      </c>
      <c r="K23" s="450"/>
    </row>
    <row r="24" spans="1:31" ht="18.75" customHeight="1">
      <c r="D24" s="1502"/>
      <c r="E24" s="1528" t="s">
        <v>727</v>
      </c>
      <c r="F24" s="1514" t="s">
        <v>728</v>
      </c>
      <c r="G24" s="1507" t="s">
        <v>641</v>
      </c>
      <c r="H24" s="464"/>
      <c r="I24" s="464"/>
      <c r="J24" s="207"/>
      <c r="K24" s="450"/>
    </row>
    <row r="25" spans="1:31" ht="33.75" customHeight="1">
      <c r="D25" s="1502"/>
      <c r="E25" s="1528" t="s">
        <v>729</v>
      </c>
      <c r="F25" s="1514" t="s">
        <v>730</v>
      </c>
      <c r="G25" s="1507" t="s">
        <v>641</v>
      </c>
      <c r="H25" s="464"/>
      <c r="I25" s="464"/>
      <c r="J25" s="207"/>
      <c r="K25" s="450"/>
    </row>
    <row r="26" spans="1:31" ht="22.5" customHeight="1">
      <c r="D26" s="1502"/>
      <c r="E26" s="1528" t="s">
        <v>731</v>
      </c>
      <c r="F26" s="845" t="s">
        <v>732</v>
      </c>
      <c r="G26" s="1507" t="s">
        <v>641</v>
      </c>
      <c r="H26" s="464"/>
      <c r="I26" s="464"/>
      <c r="J26" s="207" t="s">
        <v>733</v>
      </c>
      <c r="K26" s="450"/>
    </row>
    <row r="27" spans="1:31" ht="18.75" customHeight="1">
      <c r="D27" s="1502"/>
      <c r="E27" s="1539" t="s">
        <v>734</v>
      </c>
      <c r="F27" s="1514" t="s">
        <v>735</v>
      </c>
      <c r="G27" s="1518" t="s">
        <v>641</v>
      </c>
      <c r="H27" s="1540"/>
      <c r="I27" s="1540"/>
      <c r="J27" s="207"/>
      <c r="K27" s="450"/>
    </row>
    <row r="28" spans="1:31" ht="18.75" customHeight="1">
      <c r="D28" s="1502"/>
      <c r="E28" s="1539" t="s">
        <v>736</v>
      </c>
      <c r="F28" s="1514" t="s">
        <v>737</v>
      </c>
      <c r="G28" s="1518" t="s">
        <v>641</v>
      </c>
      <c r="H28" s="1540"/>
      <c r="I28" s="1540"/>
      <c r="J28" s="207"/>
      <c r="K28" s="450"/>
    </row>
    <row r="29" spans="1:31" ht="18.75" customHeight="1">
      <c r="D29" s="1502"/>
      <c r="E29" s="1539" t="s">
        <v>738</v>
      </c>
      <c r="F29" s="845" t="s">
        <v>739</v>
      </c>
      <c r="G29" s="1518" t="s">
        <v>641</v>
      </c>
      <c r="H29" s="1540"/>
      <c r="I29" s="1540"/>
      <c r="J29" s="207"/>
      <c r="K29" s="450"/>
    </row>
    <row r="30" spans="1:31" ht="18.75" customHeight="1">
      <c r="D30" s="1502"/>
      <c r="E30" s="1539" t="s">
        <v>740</v>
      </c>
      <c r="F30" s="845" t="s">
        <v>741</v>
      </c>
      <c r="G30" s="1518" t="s">
        <v>641</v>
      </c>
      <c r="H30" s="1540"/>
      <c r="I30" s="1540"/>
      <c r="J30" s="207"/>
      <c r="K30" s="450"/>
    </row>
    <row r="31" spans="1:31" ht="18.75" customHeight="1">
      <c r="D31" s="1502"/>
      <c r="E31" s="1539" t="s">
        <v>742</v>
      </c>
      <c r="F31" s="845" t="s">
        <v>743</v>
      </c>
      <c r="G31" s="1518" t="s">
        <v>641</v>
      </c>
      <c r="H31" s="1540"/>
      <c r="I31" s="1540"/>
      <c r="J31" s="207"/>
      <c r="K31" s="450"/>
    </row>
    <row r="32" spans="1:31" s="4854" customFormat="1" ht="22.5" customHeight="1">
      <c r="A32" s="877"/>
      <c r="C32" s="1500"/>
      <c r="D32" s="1502"/>
      <c r="E32" s="1539" t="s">
        <v>744</v>
      </c>
      <c r="F32" s="845" t="s">
        <v>745</v>
      </c>
      <c r="G32" s="1508" t="s">
        <v>641</v>
      </c>
      <c r="H32" s="486">
        <f>SUM(H33:H34)</f>
        <v>0</v>
      </c>
      <c r="I32" s="486">
        <f>SUM(I33:I34)</f>
        <v>0</v>
      </c>
      <c r="J32" s="207" t="s">
        <v>746</v>
      </c>
      <c r="K32" s="450"/>
      <c r="L32" s="1500"/>
      <c r="M32" s="1500"/>
      <c r="R32" s="1500"/>
      <c r="U32" s="451"/>
      <c r="AA32" s="1496"/>
      <c r="AB32" s="1496"/>
      <c r="AC32" s="1496"/>
      <c r="AD32" s="1496"/>
      <c r="AE32" s="1496"/>
    </row>
    <row r="33" spans="1:31" s="4867" customFormat="1" ht="0.75" customHeight="1">
      <c r="A33" s="1049"/>
      <c r="D33" s="455"/>
      <c r="E33" s="701" t="str">
        <f>E32&amp;".0"</f>
        <v>2.8.0</v>
      </c>
      <c r="F33" s="881"/>
      <c r="G33" s="458"/>
      <c r="H33" s="882"/>
      <c r="I33" s="882"/>
      <c r="J33" s="883"/>
    </row>
    <row r="34" spans="1:31" s="4854" customFormat="1" ht="18.75" customHeight="1">
      <c r="A34" s="877"/>
      <c r="C34" s="1500"/>
      <c r="D34" s="1497"/>
      <c r="E34" s="477"/>
      <c r="F34" s="1530" t="s">
        <v>666</v>
      </c>
      <c r="G34" s="479"/>
      <c r="H34" s="480"/>
      <c r="I34" s="480"/>
      <c r="J34" s="219" t="s">
        <v>747</v>
      </c>
      <c r="K34" s="450"/>
      <c r="L34" s="1500"/>
      <c r="M34" s="1500"/>
      <c r="R34" s="1500"/>
      <c r="U34" s="451"/>
      <c r="AA34" s="1496"/>
      <c r="AB34" s="1496"/>
      <c r="AC34" s="1496"/>
      <c r="AD34" s="1496"/>
      <c r="AE34" s="1496"/>
    </row>
    <row r="35" spans="1:31" ht="56.25" customHeight="1">
      <c r="D35" s="1502"/>
      <c r="E35" s="1539" t="s">
        <v>748</v>
      </c>
      <c r="F35" s="845" t="s">
        <v>749</v>
      </c>
      <c r="G35" s="1518" t="s">
        <v>641</v>
      </c>
      <c r="H35" s="1540"/>
      <c r="I35" s="1540"/>
      <c r="J35" s="207" t="s">
        <v>750</v>
      </c>
      <c r="K35" s="450"/>
    </row>
    <row r="36" spans="1:31" s="4854" customFormat="1" ht="22.5" customHeight="1">
      <c r="A36" s="879" t="s">
        <v>667</v>
      </c>
      <c r="C36" s="1500"/>
      <c r="D36" s="1502"/>
      <c r="E36" s="1528" t="s">
        <v>87</v>
      </c>
      <c r="F36" s="608" t="s">
        <v>751</v>
      </c>
      <c r="G36" s="1507" t="s">
        <v>641</v>
      </c>
      <c r="H36" s="464"/>
      <c r="I36" s="464"/>
      <c r="J36" s="207" t="s">
        <v>752</v>
      </c>
      <c r="K36" s="450"/>
      <c r="L36" s="1500"/>
      <c r="M36" s="1500"/>
      <c r="R36" s="1500"/>
      <c r="U36" s="451"/>
      <c r="AA36" s="1496"/>
      <c r="AB36" s="1496"/>
      <c r="AC36" s="1496"/>
      <c r="AD36" s="1496"/>
      <c r="AE36" s="1496"/>
    </row>
    <row r="37" spans="1:31" s="4854" customFormat="1" ht="22.5" customHeight="1">
      <c r="A37" s="879"/>
      <c r="C37" s="1500"/>
      <c r="D37" s="1502"/>
      <c r="E37" s="1528" t="s">
        <v>402</v>
      </c>
      <c r="F37" s="845" t="s">
        <v>753</v>
      </c>
      <c r="G37" s="1518"/>
      <c r="H37" s="464"/>
      <c r="I37" s="464"/>
      <c r="J37" s="207"/>
      <c r="K37" s="450"/>
      <c r="L37" s="1500"/>
      <c r="M37" s="1500"/>
      <c r="R37" s="1500"/>
      <c r="U37" s="451"/>
      <c r="AA37" s="1496"/>
      <c r="AB37" s="1496"/>
      <c r="AC37" s="1496"/>
      <c r="AD37" s="1496"/>
      <c r="AE37" s="1496"/>
    </row>
    <row r="38" spans="1:31" s="4854" customFormat="1" ht="18.75" customHeight="1">
      <c r="A38" s="877"/>
      <c r="C38" s="1500"/>
      <c r="D38" s="482"/>
      <c r="E38" s="1528" t="s">
        <v>88</v>
      </c>
      <c r="F38" s="608" t="s">
        <v>754</v>
      </c>
      <c r="G38" s="1507" t="s">
        <v>641</v>
      </c>
      <c r="H38" s="464"/>
      <c r="I38" s="464"/>
      <c r="J38" s="207" t="s">
        <v>755</v>
      </c>
      <c r="K38" s="450"/>
      <c r="L38" s="1500"/>
      <c r="M38" s="1500"/>
      <c r="R38" s="1500"/>
      <c r="U38" s="451"/>
      <c r="AA38" s="1496"/>
      <c r="AB38" s="1496"/>
      <c r="AC38" s="1496"/>
      <c r="AD38" s="1496"/>
      <c r="AE38" s="1496"/>
    </row>
    <row r="39" spans="1:31" s="4854" customFormat="1" ht="22.5" customHeight="1">
      <c r="A39" s="877"/>
      <c r="C39" s="1500"/>
      <c r="D39" s="482"/>
      <c r="E39" s="1528" t="s">
        <v>756</v>
      </c>
      <c r="F39" s="845" t="s">
        <v>757</v>
      </c>
      <c r="G39" s="1518" t="s">
        <v>641</v>
      </c>
      <c r="H39" s="464"/>
      <c r="I39" s="464"/>
      <c r="J39" s="207" t="s">
        <v>758</v>
      </c>
      <c r="K39" s="450"/>
      <c r="L39" s="1500"/>
      <c r="M39" s="1500"/>
      <c r="R39" s="1500"/>
      <c r="U39" s="451"/>
      <c r="AA39" s="1496"/>
      <c r="AB39" s="1496"/>
      <c r="AC39" s="1496"/>
      <c r="AD39" s="1496"/>
      <c r="AE39" s="1496"/>
    </row>
    <row r="40" spans="1:31" s="4854" customFormat="1" ht="22.5" customHeight="1">
      <c r="A40" s="877"/>
      <c r="C40" s="1500"/>
      <c r="D40" s="1502"/>
      <c r="E40" s="1528" t="s">
        <v>759</v>
      </c>
      <c r="F40" s="1514" t="s">
        <v>760</v>
      </c>
      <c r="G40" s="1507" t="s">
        <v>641</v>
      </c>
      <c r="H40" s="464"/>
      <c r="I40" s="464"/>
      <c r="J40" s="207" t="s">
        <v>761</v>
      </c>
      <c r="K40" s="450"/>
      <c r="L40" s="1500"/>
      <c r="M40" s="1500"/>
      <c r="R40" s="1500"/>
      <c r="U40" s="451"/>
      <c r="AA40" s="1496"/>
      <c r="AB40" s="1496"/>
      <c r="AC40" s="1496"/>
      <c r="AD40" s="1496"/>
      <c r="AE40" s="1496"/>
    </row>
    <row r="41" spans="1:31" s="4854" customFormat="1" ht="22.5" customHeight="1">
      <c r="A41" s="877"/>
      <c r="C41" s="1500"/>
      <c r="D41" s="1502"/>
      <c r="E41" s="1528" t="s">
        <v>762</v>
      </c>
      <c r="F41" s="1514" t="s">
        <v>763</v>
      </c>
      <c r="G41" s="1507" t="s">
        <v>641</v>
      </c>
      <c r="H41" s="464"/>
      <c r="I41" s="464"/>
      <c r="J41" s="207" t="s">
        <v>764</v>
      </c>
      <c r="K41" s="450"/>
      <c r="L41" s="1500"/>
      <c r="M41" s="1500"/>
      <c r="R41" s="1500"/>
      <c r="U41" s="451"/>
      <c r="AA41" s="1496"/>
      <c r="AB41" s="1496"/>
      <c r="AC41" s="1496"/>
      <c r="AD41" s="1496"/>
      <c r="AE41" s="1496"/>
    </row>
    <row r="42" spans="1:31" s="4854" customFormat="1" ht="22.5" customHeight="1">
      <c r="A42" s="877"/>
      <c r="C42" s="1500"/>
      <c r="D42" s="1502"/>
      <c r="E42" s="1528" t="s">
        <v>765</v>
      </c>
      <c r="F42" s="1514" t="s">
        <v>766</v>
      </c>
      <c r="G42" s="1507" t="s">
        <v>641</v>
      </c>
      <c r="H42" s="464"/>
      <c r="I42" s="464"/>
      <c r="J42" s="207" t="s">
        <v>767</v>
      </c>
      <c r="K42" s="450"/>
      <c r="L42" s="1500"/>
      <c r="M42" s="1500"/>
      <c r="R42" s="1500"/>
      <c r="U42" s="451"/>
      <c r="AA42" s="1496"/>
      <c r="AB42" s="1496"/>
      <c r="AC42" s="1496"/>
      <c r="AD42" s="1496"/>
      <c r="AE42" s="1496"/>
    </row>
    <row r="43" spans="1:31" s="4854" customFormat="1" ht="33.75" customHeight="1">
      <c r="A43" s="877"/>
      <c r="C43" s="1500" t="s">
        <v>677</v>
      </c>
      <c r="D43" s="1502"/>
      <c r="E43" s="1528" t="s">
        <v>114</v>
      </c>
      <c r="F43" s="608" t="s">
        <v>768</v>
      </c>
      <c r="G43" s="1510" t="s">
        <v>769</v>
      </c>
      <c r="H43" s="317"/>
      <c r="I43" s="317"/>
      <c r="J43" s="207" t="s">
        <v>770</v>
      </c>
      <c r="K43" s="450"/>
      <c r="L43" s="1500"/>
      <c r="M43" s="1500"/>
      <c r="R43" s="1500"/>
      <c r="U43" s="451"/>
      <c r="AA43" s="1496"/>
      <c r="AB43" s="1496"/>
      <c r="AC43" s="1496"/>
      <c r="AD43" s="1496"/>
      <c r="AE43" s="1496"/>
    </row>
    <row r="44" spans="1:31" s="4854" customFormat="1" ht="22.5" customHeight="1">
      <c r="A44" s="877"/>
      <c r="C44" s="1500"/>
      <c r="D44" s="1502"/>
      <c r="E44" s="1528" t="s">
        <v>89</v>
      </c>
      <c r="F44" s="608" t="s">
        <v>771</v>
      </c>
      <c r="G44" s="1507" t="s">
        <v>772</v>
      </c>
      <c r="H44" s="452"/>
      <c r="I44" s="452"/>
      <c r="J44" s="207" t="s">
        <v>773</v>
      </c>
      <c r="K44" s="450"/>
      <c r="L44" s="1500"/>
      <c r="M44" s="1500"/>
      <c r="R44" s="1500"/>
      <c r="U44" s="451"/>
      <c r="AA44" s="1496"/>
      <c r="AB44" s="1496"/>
      <c r="AC44" s="1496"/>
      <c r="AD44" s="1496"/>
      <c r="AE44" s="1496"/>
    </row>
    <row r="45" spans="1:31" s="4854" customFormat="1" ht="22.5" customHeight="1">
      <c r="A45" s="877"/>
      <c r="C45" s="1500"/>
      <c r="D45" s="1502"/>
      <c r="E45" s="1528" t="s">
        <v>90</v>
      </c>
      <c r="F45" s="608" t="s">
        <v>774</v>
      </c>
      <c r="G45" s="1518" t="s">
        <v>775</v>
      </c>
      <c r="H45" s="452"/>
      <c r="I45" s="452"/>
      <c r="J45" s="207" t="s">
        <v>776</v>
      </c>
      <c r="K45" s="450"/>
      <c r="L45" s="1500"/>
      <c r="M45" s="1500"/>
      <c r="R45" s="1500"/>
      <c r="U45" s="451"/>
      <c r="AA45" s="1496"/>
      <c r="AB45" s="1496"/>
      <c r="AC45" s="1496"/>
      <c r="AD45" s="1496"/>
      <c r="AE45" s="1496"/>
    </row>
    <row r="46" spans="1:31" s="4854" customFormat="1" ht="18.75" customHeight="1">
      <c r="A46" s="877"/>
      <c r="C46" s="1500"/>
      <c r="D46" s="1502"/>
      <c r="E46" s="1528" t="s">
        <v>130</v>
      </c>
      <c r="F46" s="608" t="s">
        <v>777</v>
      </c>
      <c r="G46" s="1507" t="s">
        <v>679</v>
      </c>
      <c r="H46" s="484"/>
      <c r="I46" s="484"/>
      <c r="J46" s="207"/>
      <c r="K46" s="450"/>
      <c r="L46" s="1500"/>
      <c r="M46" s="1500"/>
      <c r="R46" s="1500"/>
      <c r="U46" s="451"/>
      <c r="AA46" s="1496"/>
      <c r="AB46" s="1496"/>
      <c r="AC46" s="1496"/>
      <c r="AD46" s="1496"/>
      <c r="AE46" s="1496"/>
    </row>
    <row r="47" spans="1:31" ht="11.25" customHeight="1">
      <c r="D47" s="1502"/>
    </row>
    <row r="48" spans="1:31" ht="26.25" customHeight="1">
      <c r="D48" s="1502"/>
      <c r="E48" s="1136"/>
      <c r="F48" s="5396"/>
      <c r="G48" s="5396"/>
      <c r="H48" s="5396"/>
      <c r="I48" s="5396"/>
      <c r="J48" s="5396"/>
    </row>
    <row r="49" spans="1:31" s="4866" customFormat="1" ht="37.5" customHeight="1">
      <c r="A49" s="877"/>
      <c r="B49" s="1500"/>
      <c r="C49" s="1500"/>
      <c r="D49" s="268"/>
      <c r="F49" s="5396"/>
      <c r="G49" s="5396"/>
      <c r="H49" s="5396"/>
      <c r="I49" s="5396"/>
      <c r="J49" s="5396"/>
      <c r="K49" s="1042"/>
      <c r="L49" s="1500"/>
      <c r="M49" s="1500"/>
      <c r="N49" s="1042"/>
      <c r="O49" s="1042"/>
      <c r="P49" s="1042"/>
      <c r="Q49" s="1042"/>
      <c r="R49" s="1500"/>
      <c r="S49" s="1042"/>
      <c r="T49" s="1042"/>
      <c r="U49" s="451"/>
      <c r="V49" s="1042"/>
      <c r="W49" s="1042"/>
      <c r="X49" s="1042"/>
      <c r="Y49" s="1042"/>
      <c r="Z49" s="1042"/>
      <c r="AA49" s="1496"/>
      <c r="AB49" s="473"/>
      <c r="AC49" s="473"/>
      <c r="AD49" s="473"/>
      <c r="AE49" s="473"/>
    </row>
    <row r="50" spans="1:31" s="4866" customFormat="1" ht="11.25" customHeight="1">
      <c r="A50" s="877"/>
      <c r="B50" s="1500"/>
      <c r="C50" s="1500"/>
      <c r="D50" s="268"/>
      <c r="K50" s="1042"/>
      <c r="L50" s="1500"/>
      <c r="M50" s="1500"/>
      <c r="N50" s="1042"/>
      <c r="O50" s="1042"/>
      <c r="P50" s="1042"/>
      <c r="Q50" s="1042"/>
      <c r="R50" s="1500"/>
      <c r="S50" s="1042"/>
      <c r="T50" s="1042"/>
      <c r="U50" s="451"/>
      <c r="V50" s="1042"/>
      <c r="W50" s="1042"/>
      <c r="X50" s="1042"/>
      <c r="Y50" s="1042"/>
      <c r="Z50" s="1042"/>
      <c r="AA50" s="1496"/>
      <c r="AB50" s="473"/>
      <c r="AC50" s="473"/>
      <c r="AD50" s="473"/>
      <c r="AE50" s="473"/>
    </row>
    <row r="51" spans="1:31" s="4866" customFormat="1" ht="11.25" customHeight="1">
      <c r="A51" s="877"/>
      <c r="B51" s="1500"/>
      <c r="C51" s="1500"/>
      <c r="D51" s="268"/>
      <c r="K51" s="1042"/>
      <c r="L51" s="1500"/>
      <c r="M51" s="1500"/>
      <c r="N51" s="1042"/>
      <c r="O51" s="1042"/>
      <c r="P51" s="1042"/>
      <c r="Q51" s="1042"/>
      <c r="R51" s="1500"/>
      <c r="S51" s="1042"/>
      <c r="T51" s="1042"/>
      <c r="U51" s="451"/>
      <c r="V51" s="1042"/>
      <c r="W51" s="1042"/>
      <c r="X51" s="1042"/>
      <c r="Y51" s="1042"/>
      <c r="Z51" s="1042"/>
      <c r="AA51" s="1496"/>
      <c r="AB51" s="473"/>
      <c r="AC51" s="473"/>
      <c r="AD51" s="473"/>
      <c r="AE51" s="473"/>
    </row>
    <row r="52" spans="1:31" s="4866" customFormat="1" ht="11.25" customHeight="1">
      <c r="A52" s="877"/>
      <c r="B52" s="1500"/>
      <c r="C52" s="1500"/>
      <c r="D52" s="268"/>
      <c r="H52" s="473"/>
      <c r="I52" s="473"/>
      <c r="K52" s="1042"/>
      <c r="L52" s="1500"/>
      <c r="M52" s="1500"/>
      <c r="N52" s="1042"/>
      <c r="O52" s="1042"/>
      <c r="P52" s="1042"/>
      <c r="Q52" s="1042"/>
      <c r="R52" s="1500"/>
      <c r="S52" s="1042"/>
      <c r="T52" s="1042"/>
      <c r="U52" s="451"/>
      <c r="V52" s="1042"/>
      <c r="W52" s="1042"/>
      <c r="X52" s="1042"/>
      <c r="Y52" s="1042"/>
      <c r="Z52" s="1042"/>
      <c r="AA52" s="1496"/>
      <c r="AB52" s="473"/>
      <c r="AC52" s="473"/>
      <c r="AD52" s="473"/>
      <c r="AE52" s="473"/>
    </row>
    <row r="53" spans="1:31" s="4866" customFormat="1" ht="11.25" customHeight="1">
      <c r="A53" s="877"/>
      <c r="B53" s="1500"/>
      <c r="C53" s="1500"/>
      <c r="D53" s="268"/>
      <c r="K53" s="1042"/>
      <c r="L53" s="1500"/>
      <c r="M53" s="1500"/>
      <c r="N53" s="1042"/>
      <c r="O53" s="1042"/>
      <c r="P53" s="1042"/>
      <c r="Q53" s="1042"/>
      <c r="R53" s="1500"/>
      <c r="S53" s="1042"/>
      <c r="T53" s="1042"/>
      <c r="U53" s="451"/>
      <c r="V53" s="1042"/>
      <c r="W53" s="1042"/>
      <c r="X53" s="1042"/>
      <c r="Y53" s="1042"/>
      <c r="Z53" s="1042"/>
      <c r="AA53" s="1496"/>
      <c r="AB53" s="473"/>
      <c r="AC53" s="473"/>
      <c r="AD53" s="473"/>
      <c r="AE53" s="473"/>
    </row>
    <row r="54" spans="1:31" s="4866" customFormat="1" ht="11.25" customHeight="1">
      <c r="A54" s="877"/>
      <c r="B54" s="1500"/>
      <c r="C54" s="1500"/>
      <c r="D54" s="268"/>
      <c r="K54" s="1042"/>
      <c r="L54" s="1500"/>
      <c r="M54" s="1500"/>
      <c r="N54" s="1042"/>
      <c r="O54" s="1042"/>
      <c r="P54" s="1042"/>
      <c r="Q54" s="1042"/>
      <c r="R54" s="1500"/>
      <c r="S54" s="1042"/>
      <c r="T54" s="1042"/>
      <c r="U54" s="451"/>
      <c r="V54" s="1042"/>
      <c r="W54" s="1042"/>
      <c r="X54" s="1042"/>
      <c r="Y54" s="1042"/>
      <c r="Z54" s="1042"/>
      <c r="AA54" s="1496"/>
      <c r="AB54" s="473"/>
      <c r="AC54" s="473"/>
      <c r="AD54" s="473"/>
      <c r="AE54" s="473"/>
    </row>
    <row r="55" spans="1:31" s="4866" customFormat="1" ht="11.25" customHeight="1">
      <c r="A55" s="877"/>
      <c r="B55" s="1500"/>
      <c r="C55" s="1500"/>
      <c r="D55" s="268"/>
      <c r="K55" s="1042"/>
      <c r="L55" s="1500"/>
      <c r="M55" s="1500"/>
      <c r="N55" s="1042"/>
      <c r="O55" s="1042"/>
      <c r="P55" s="1042"/>
      <c r="Q55" s="1042"/>
      <c r="R55" s="1500"/>
      <c r="S55" s="1042"/>
      <c r="T55" s="1042"/>
      <c r="U55" s="451"/>
      <c r="V55" s="1042"/>
      <c r="W55" s="1042"/>
      <c r="X55" s="1042"/>
      <c r="Y55" s="1042"/>
      <c r="Z55" s="1042"/>
      <c r="AA55" s="1496"/>
      <c r="AB55" s="473"/>
      <c r="AC55" s="473"/>
      <c r="AD55" s="473"/>
      <c r="AE55" s="473"/>
    </row>
    <row r="56" spans="1:31" s="4866" customFormat="1" ht="11.25" customHeight="1">
      <c r="A56" s="877"/>
      <c r="B56" s="1500"/>
      <c r="C56" s="1500"/>
      <c r="D56" s="268"/>
      <c r="K56" s="1042"/>
      <c r="L56" s="1500"/>
      <c r="M56" s="1500"/>
      <c r="N56" s="1042"/>
      <c r="O56" s="1042"/>
      <c r="P56" s="1042"/>
      <c r="Q56" s="1042"/>
      <c r="R56" s="1500"/>
      <c r="S56" s="1042"/>
      <c r="T56" s="1042"/>
      <c r="U56" s="451"/>
      <c r="V56" s="1042"/>
      <c r="W56" s="1042"/>
      <c r="X56" s="1042"/>
      <c r="Y56" s="1042"/>
      <c r="Z56" s="1042"/>
      <c r="AA56" s="1496"/>
      <c r="AB56" s="473"/>
      <c r="AC56" s="473"/>
      <c r="AD56" s="473"/>
      <c r="AE56" s="473"/>
    </row>
    <row r="57" spans="1:31" s="4866" customFormat="1" ht="11.25" customHeight="1">
      <c r="A57" s="877"/>
      <c r="B57" s="1500"/>
      <c r="C57" s="1500"/>
      <c r="D57" s="268"/>
      <c r="K57" s="1042"/>
      <c r="L57" s="1500"/>
      <c r="M57" s="1500"/>
      <c r="N57" s="1042"/>
      <c r="O57" s="1042"/>
      <c r="P57" s="1042"/>
      <c r="Q57" s="1042"/>
      <c r="R57" s="1500"/>
      <c r="S57" s="1042"/>
      <c r="T57" s="1042"/>
      <c r="U57" s="451"/>
      <c r="V57" s="1042"/>
      <c r="W57" s="1042"/>
      <c r="X57" s="1042"/>
      <c r="Y57" s="1042"/>
      <c r="Z57" s="1042"/>
      <c r="AA57" s="1496"/>
      <c r="AB57" s="473"/>
      <c r="AC57" s="473"/>
      <c r="AD57" s="473"/>
      <c r="AE57" s="473"/>
    </row>
    <row r="58" spans="1:31" s="4866" customFormat="1" ht="11.25" customHeight="1">
      <c r="A58" s="877"/>
      <c r="B58" s="1500"/>
      <c r="C58" s="1500"/>
      <c r="D58" s="268"/>
      <c r="K58" s="1042"/>
      <c r="L58" s="1500"/>
      <c r="M58" s="1500"/>
      <c r="N58" s="1042"/>
      <c r="O58" s="1042"/>
      <c r="P58" s="1042"/>
      <c r="Q58" s="1042"/>
      <c r="R58" s="1500"/>
      <c r="S58" s="1042"/>
      <c r="T58" s="1042"/>
      <c r="U58" s="451"/>
      <c r="V58" s="1042"/>
      <c r="W58" s="1042"/>
      <c r="X58" s="1042"/>
      <c r="Y58" s="1042"/>
      <c r="Z58" s="1042"/>
      <c r="AA58" s="1496"/>
      <c r="AB58" s="473"/>
      <c r="AC58" s="473"/>
      <c r="AD58" s="473"/>
      <c r="AE58" s="473"/>
    </row>
    <row r="59" spans="1:31" s="4866" customFormat="1" ht="11.25" customHeight="1">
      <c r="A59" s="877"/>
      <c r="B59" s="1500"/>
      <c r="C59" s="1500"/>
      <c r="D59" s="268"/>
      <c r="K59" s="1042"/>
      <c r="L59" s="1500"/>
      <c r="M59" s="1500"/>
      <c r="N59" s="1042"/>
      <c r="O59" s="1042"/>
      <c r="P59" s="1042"/>
      <c r="Q59" s="1042"/>
      <c r="R59" s="1500"/>
      <c r="S59" s="1042"/>
      <c r="T59" s="1042"/>
      <c r="U59" s="451"/>
      <c r="V59" s="1042"/>
      <c r="W59" s="1042"/>
      <c r="X59" s="1042"/>
      <c r="Y59" s="1042"/>
      <c r="Z59" s="1042"/>
      <c r="AA59" s="1496"/>
      <c r="AB59" s="473"/>
      <c r="AC59" s="473"/>
      <c r="AD59" s="473"/>
      <c r="AE59" s="473"/>
    </row>
    <row r="60" spans="1:31" s="4866" customFormat="1" ht="11.25" customHeight="1">
      <c r="A60" s="877"/>
      <c r="B60" s="1500"/>
      <c r="C60" s="1500"/>
      <c r="D60" s="268"/>
      <c r="K60" s="1042"/>
      <c r="L60" s="1500"/>
      <c r="M60" s="1500"/>
      <c r="N60" s="1042"/>
      <c r="O60" s="1042"/>
      <c r="P60" s="1042"/>
      <c r="Q60" s="1042"/>
      <c r="R60" s="1500"/>
      <c r="S60" s="1042"/>
      <c r="T60" s="1042"/>
      <c r="U60" s="451"/>
      <c r="V60" s="1042"/>
      <c r="W60" s="1042"/>
      <c r="X60" s="1042"/>
      <c r="Y60" s="1042"/>
      <c r="Z60" s="1042"/>
      <c r="AA60" s="1496"/>
      <c r="AB60" s="473"/>
      <c r="AC60" s="473"/>
      <c r="AD60" s="473"/>
      <c r="AE60" s="473"/>
    </row>
    <row r="61" spans="1:31" s="4866" customFormat="1" ht="11.25" customHeight="1">
      <c r="A61" s="877"/>
      <c r="B61" s="1500"/>
      <c r="C61" s="1500"/>
      <c r="D61" s="268"/>
      <c r="K61" s="1042"/>
      <c r="L61" s="1500"/>
      <c r="M61" s="1500"/>
      <c r="N61" s="1042"/>
      <c r="O61" s="1042"/>
      <c r="P61" s="1042"/>
      <c r="Q61" s="1042"/>
      <c r="R61" s="1500"/>
      <c r="S61" s="1042"/>
      <c r="T61" s="1042"/>
      <c r="U61" s="451"/>
      <c r="V61" s="1042"/>
      <c r="W61" s="1042"/>
      <c r="X61" s="1042"/>
      <c r="Y61" s="1042"/>
      <c r="Z61" s="1042"/>
      <c r="AA61" s="1496"/>
      <c r="AB61" s="473"/>
      <c r="AC61" s="473"/>
      <c r="AD61" s="473"/>
      <c r="AE61" s="473"/>
    </row>
    <row r="62" spans="1:31" s="4866" customFormat="1" ht="11.25" customHeight="1">
      <c r="A62" s="877"/>
      <c r="B62" s="1500"/>
      <c r="C62" s="1500"/>
      <c r="D62" s="268"/>
      <c r="K62" s="1042"/>
      <c r="L62" s="1500"/>
      <c r="M62" s="1500"/>
      <c r="N62" s="1042"/>
      <c r="O62" s="1042"/>
      <c r="P62" s="1042"/>
      <c r="Q62" s="1042"/>
      <c r="R62" s="1500"/>
      <c r="S62" s="1042"/>
      <c r="T62" s="1042"/>
      <c r="U62" s="451"/>
      <c r="V62" s="1042"/>
      <c r="W62" s="1042"/>
      <c r="X62" s="1042"/>
      <c r="Y62" s="1042"/>
      <c r="Z62" s="1042"/>
      <c r="AA62" s="1496"/>
      <c r="AB62" s="473"/>
      <c r="AC62" s="473"/>
      <c r="AD62" s="473"/>
      <c r="AE62" s="473"/>
    </row>
    <row r="63" spans="1:31" s="4866" customFormat="1" ht="11.25" customHeight="1">
      <c r="A63" s="877"/>
      <c r="B63" s="1500"/>
      <c r="C63" s="1500"/>
      <c r="D63" s="268"/>
      <c r="K63" s="1042"/>
      <c r="L63" s="1500"/>
      <c r="M63" s="1500"/>
      <c r="N63" s="1042"/>
      <c r="O63" s="1042"/>
      <c r="P63" s="1042"/>
      <c r="Q63" s="1042"/>
      <c r="R63" s="1500"/>
      <c r="S63" s="1042"/>
      <c r="T63" s="1042"/>
      <c r="U63" s="451"/>
      <c r="V63" s="1042"/>
      <c r="W63" s="1042"/>
      <c r="X63" s="1042"/>
      <c r="Y63" s="1042"/>
      <c r="Z63" s="1042"/>
      <c r="AA63" s="1496"/>
      <c r="AB63" s="473"/>
      <c r="AC63" s="473"/>
      <c r="AD63" s="473"/>
      <c r="AE63" s="473"/>
    </row>
    <row r="64" spans="1:31" s="4866" customFormat="1" ht="11.25" customHeight="1">
      <c r="A64" s="877"/>
      <c r="B64" s="1500"/>
      <c r="C64" s="1500"/>
      <c r="D64" s="268"/>
      <c r="K64" s="1042"/>
      <c r="L64" s="1500"/>
      <c r="M64" s="1500"/>
      <c r="N64" s="1042"/>
      <c r="O64" s="1042"/>
      <c r="P64" s="1042"/>
      <c r="Q64" s="1042"/>
      <c r="R64" s="1500"/>
      <c r="S64" s="1042"/>
      <c r="T64" s="1042"/>
      <c r="U64" s="451"/>
      <c r="V64" s="1042"/>
      <c r="W64" s="1042"/>
      <c r="X64" s="1042"/>
      <c r="Y64" s="1042"/>
      <c r="Z64" s="1042"/>
      <c r="AA64" s="1496"/>
      <c r="AB64" s="473"/>
      <c r="AC64" s="473"/>
      <c r="AD64" s="473"/>
      <c r="AE64" s="473"/>
    </row>
    <row r="65" spans="1:31" s="4866" customFormat="1" ht="11.25" customHeight="1">
      <c r="A65" s="877"/>
      <c r="B65" s="1500"/>
      <c r="C65" s="1500"/>
      <c r="D65" s="268"/>
      <c r="K65" s="1042"/>
      <c r="L65" s="1500"/>
      <c r="M65" s="1500"/>
      <c r="N65" s="1042"/>
      <c r="O65" s="1042"/>
      <c r="P65" s="1042"/>
      <c r="Q65" s="1042"/>
      <c r="R65" s="1500"/>
      <c r="S65" s="1042"/>
      <c r="T65" s="1042"/>
      <c r="U65" s="451"/>
      <c r="V65" s="1042"/>
      <c r="W65" s="1042"/>
      <c r="X65" s="1042"/>
      <c r="Y65" s="1042"/>
      <c r="Z65" s="1042"/>
      <c r="AA65" s="1496"/>
      <c r="AB65" s="473"/>
      <c r="AC65" s="473"/>
      <c r="AD65" s="473"/>
      <c r="AE65" s="473"/>
    </row>
    <row r="66" spans="1:31" s="4866" customFormat="1" ht="11.25" customHeight="1">
      <c r="A66" s="877"/>
      <c r="B66" s="1500"/>
      <c r="C66" s="1500"/>
      <c r="D66" s="268"/>
      <c r="K66" s="1042"/>
      <c r="L66" s="1500"/>
      <c r="M66" s="1500"/>
      <c r="N66" s="1042"/>
      <c r="O66" s="1042"/>
      <c r="P66" s="1042"/>
      <c r="Q66" s="1042"/>
      <c r="R66" s="1500"/>
      <c r="S66" s="1042"/>
      <c r="T66" s="1042"/>
      <c r="U66" s="451"/>
      <c r="V66" s="1042"/>
      <c r="W66" s="1042"/>
      <c r="X66" s="1042"/>
      <c r="Y66" s="1042"/>
      <c r="Z66" s="1042"/>
      <c r="AA66" s="1496"/>
      <c r="AB66" s="473"/>
      <c r="AC66" s="473"/>
      <c r="AD66" s="473"/>
      <c r="AE66" s="473"/>
    </row>
    <row r="67" spans="1:31" s="4866" customFormat="1" ht="11.25" customHeight="1">
      <c r="A67" s="877"/>
      <c r="B67" s="1500"/>
      <c r="C67" s="1500"/>
      <c r="D67" s="268"/>
      <c r="K67" s="1042"/>
      <c r="L67" s="1500"/>
      <c r="M67" s="1500"/>
      <c r="N67" s="1042"/>
      <c r="O67" s="1042"/>
      <c r="P67" s="1042"/>
      <c r="Q67" s="1042"/>
      <c r="R67" s="1500"/>
      <c r="S67" s="1042"/>
      <c r="T67" s="1042"/>
      <c r="U67" s="451"/>
      <c r="V67" s="1042"/>
      <c r="W67" s="1042"/>
      <c r="X67" s="1042"/>
      <c r="Y67" s="1042"/>
      <c r="Z67" s="1042"/>
      <c r="AA67" s="1496"/>
      <c r="AB67" s="473"/>
      <c r="AC67" s="473"/>
      <c r="AD67" s="473"/>
      <c r="AE67" s="473"/>
    </row>
    <row r="68" spans="1:31" s="4866" customFormat="1" ht="11.25" customHeight="1">
      <c r="A68" s="877"/>
      <c r="B68" s="1500"/>
      <c r="C68" s="1500"/>
      <c r="D68" s="268"/>
      <c r="K68" s="1042"/>
      <c r="L68" s="1500"/>
      <c r="M68" s="1500"/>
      <c r="N68" s="1042"/>
      <c r="O68" s="1042"/>
      <c r="P68" s="1042"/>
      <c r="Q68" s="1042"/>
      <c r="R68" s="1500"/>
      <c r="S68" s="1042"/>
      <c r="T68" s="1042"/>
      <c r="U68" s="451"/>
      <c r="V68" s="1042"/>
      <c r="W68" s="1042"/>
      <c r="X68" s="1042"/>
      <c r="Y68" s="1042"/>
      <c r="Z68" s="1042"/>
      <c r="AA68" s="1496"/>
      <c r="AB68" s="473"/>
      <c r="AC68" s="473"/>
      <c r="AD68" s="473"/>
      <c r="AE68" s="473"/>
    </row>
    <row r="69" spans="1:31" s="4866" customFormat="1" ht="11.25" customHeight="1">
      <c r="A69" s="877"/>
      <c r="B69" s="1500"/>
      <c r="C69" s="1500"/>
      <c r="D69" s="268"/>
      <c r="K69" s="1042"/>
      <c r="L69" s="1500"/>
      <c r="M69" s="1500"/>
      <c r="N69" s="1042"/>
      <c r="O69" s="1042"/>
      <c r="P69" s="1042"/>
      <c r="Q69" s="1042"/>
      <c r="R69" s="1500"/>
      <c r="S69" s="1042"/>
      <c r="T69" s="1042"/>
      <c r="U69" s="451"/>
      <c r="V69" s="1042"/>
      <c r="W69" s="1042"/>
      <c r="X69" s="1042"/>
      <c r="Y69" s="1042"/>
      <c r="Z69" s="1042"/>
      <c r="AA69" s="1496"/>
      <c r="AB69" s="473"/>
      <c r="AC69" s="473"/>
      <c r="AD69" s="473"/>
      <c r="AE69" s="473"/>
    </row>
    <row r="70" spans="1:31" s="4866" customFormat="1" ht="11.25" customHeight="1">
      <c r="A70" s="877"/>
      <c r="B70" s="1500"/>
      <c r="C70" s="1500"/>
      <c r="D70" s="268"/>
      <c r="K70" s="1042"/>
      <c r="L70" s="1500"/>
      <c r="M70" s="1500"/>
      <c r="N70" s="1042"/>
      <c r="O70" s="1042"/>
      <c r="P70" s="1042"/>
      <c r="Q70" s="1042"/>
      <c r="R70" s="1500"/>
      <c r="S70" s="1042"/>
      <c r="T70" s="1042"/>
      <c r="U70" s="451"/>
      <c r="V70" s="1042"/>
      <c r="W70" s="1042"/>
      <c r="X70" s="1042"/>
      <c r="Y70" s="1042"/>
      <c r="Z70" s="1042"/>
      <c r="AA70" s="1496"/>
      <c r="AB70" s="473"/>
      <c r="AC70" s="473"/>
      <c r="AD70" s="473"/>
      <c r="AE70" s="473"/>
    </row>
    <row r="71" spans="1:31" s="4866" customFormat="1" ht="11.25" customHeight="1">
      <c r="A71" s="877"/>
      <c r="B71" s="1500"/>
      <c r="C71" s="1500"/>
      <c r="D71" s="268"/>
      <c r="K71" s="1042"/>
      <c r="L71" s="1500"/>
      <c r="M71" s="1500"/>
      <c r="N71" s="1042"/>
      <c r="O71" s="1042"/>
      <c r="P71" s="1042"/>
      <c r="Q71" s="1042"/>
      <c r="R71" s="1500"/>
      <c r="S71" s="1042"/>
      <c r="T71" s="1042"/>
      <c r="U71" s="451"/>
      <c r="V71" s="1042"/>
      <c r="W71" s="1042"/>
      <c r="X71" s="1042"/>
      <c r="Y71" s="1042"/>
      <c r="Z71" s="1042"/>
      <c r="AA71" s="1496"/>
      <c r="AB71" s="473"/>
      <c r="AC71" s="473"/>
      <c r="AD71" s="473"/>
      <c r="AE71" s="473"/>
    </row>
    <row r="72" spans="1:31" s="4866" customFormat="1" ht="11.25" customHeight="1">
      <c r="A72" s="877"/>
      <c r="B72" s="1500"/>
      <c r="C72" s="1500"/>
      <c r="D72" s="268"/>
      <c r="K72" s="1042"/>
      <c r="L72" s="1500"/>
      <c r="M72" s="1500"/>
      <c r="N72" s="1042"/>
      <c r="O72" s="1042"/>
      <c r="P72" s="1042"/>
      <c r="Q72" s="1042"/>
      <c r="R72" s="1500"/>
      <c r="S72" s="1042"/>
      <c r="T72" s="1042"/>
      <c r="U72" s="451"/>
      <c r="V72" s="1042"/>
      <c r="W72" s="1042"/>
      <c r="X72" s="1042"/>
      <c r="Y72" s="1042"/>
      <c r="Z72" s="1042"/>
      <c r="AA72" s="1496"/>
      <c r="AB72" s="473"/>
      <c r="AC72" s="473"/>
      <c r="AD72" s="473"/>
      <c r="AE72" s="473"/>
    </row>
    <row r="73" spans="1:31" s="4866" customFormat="1" ht="11.25" customHeight="1">
      <c r="A73" s="877"/>
      <c r="B73" s="1500"/>
      <c r="C73" s="1500"/>
      <c r="D73" s="268"/>
      <c r="K73" s="1042"/>
      <c r="L73" s="1500"/>
      <c r="M73" s="1500"/>
      <c r="N73" s="1042"/>
      <c r="O73" s="1042"/>
      <c r="P73" s="1042"/>
      <c r="Q73" s="1042"/>
      <c r="R73" s="1500"/>
      <c r="S73" s="1042"/>
      <c r="T73" s="1042"/>
      <c r="U73" s="451"/>
      <c r="V73" s="1042"/>
      <c r="W73" s="1042"/>
      <c r="X73" s="1042"/>
      <c r="Y73" s="1042"/>
      <c r="Z73" s="1042"/>
      <c r="AA73" s="1496"/>
      <c r="AB73" s="473"/>
      <c r="AC73" s="473"/>
      <c r="AD73" s="473"/>
      <c r="AE73" s="473"/>
    </row>
    <row r="74" spans="1:31" s="4866" customFormat="1" ht="11.25" customHeight="1">
      <c r="A74" s="877"/>
      <c r="B74" s="1500"/>
      <c r="C74" s="1500"/>
      <c r="D74" s="268"/>
      <c r="K74" s="1042"/>
      <c r="L74" s="1500"/>
      <c r="M74" s="1500"/>
      <c r="N74" s="1042"/>
      <c r="O74" s="1042"/>
      <c r="P74" s="1042"/>
      <c r="Q74" s="1042"/>
      <c r="R74" s="1500"/>
      <c r="S74" s="1042"/>
      <c r="T74" s="1042"/>
      <c r="U74" s="451"/>
      <c r="V74" s="1042"/>
      <c r="W74" s="1042"/>
      <c r="X74" s="1042"/>
      <c r="Y74" s="1042"/>
      <c r="Z74" s="1042"/>
      <c r="AA74" s="1496"/>
      <c r="AB74" s="473"/>
      <c r="AC74" s="473"/>
      <c r="AD74" s="473"/>
      <c r="AE74" s="473"/>
    </row>
    <row r="75" spans="1:31" s="4866" customFormat="1" ht="11.25" customHeight="1">
      <c r="A75" s="877"/>
      <c r="B75" s="1500"/>
      <c r="C75" s="1500"/>
      <c r="D75" s="268"/>
      <c r="K75" s="1042"/>
      <c r="L75" s="1500"/>
      <c r="M75" s="1500"/>
      <c r="N75" s="1042"/>
      <c r="O75" s="1042"/>
      <c r="P75" s="1042"/>
      <c r="Q75" s="1042"/>
      <c r="R75" s="1500"/>
      <c r="S75" s="1042"/>
      <c r="T75" s="1042"/>
      <c r="U75" s="451"/>
      <c r="V75" s="1042"/>
      <c r="W75" s="1042"/>
      <c r="X75" s="1042"/>
      <c r="Y75" s="1042"/>
      <c r="Z75" s="1042"/>
      <c r="AA75" s="1496"/>
      <c r="AB75" s="473"/>
      <c r="AC75" s="473"/>
      <c r="AD75" s="473"/>
      <c r="AE75" s="473"/>
    </row>
    <row r="76" spans="1:31" s="4866" customFormat="1" ht="11.25" customHeight="1">
      <c r="A76" s="877"/>
      <c r="B76" s="1500"/>
      <c r="C76" s="1500"/>
      <c r="D76" s="268"/>
      <c r="K76" s="1042"/>
      <c r="L76" s="1500"/>
      <c r="M76" s="1500"/>
      <c r="N76" s="1042"/>
      <c r="O76" s="1042"/>
      <c r="P76" s="1042"/>
      <c r="Q76" s="1042"/>
      <c r="R76" s="1500"/>
      <c r="S76" s="1042"/>
      <c r="T76" s="1042"/>
      <c r="U76" s="451"/>
      <c r="V76" s="1042"/>
      <c r="W76" s="1042"/>
      <c r="X76" s="1042"/>
      <c r="Y76" s="1042"/>
      <c r="Z76" s="1042"/>
      <c r="AA76" s="1496"/>
      <c r="AB76" s="473"/>
      <c r="AC76" s="473"/>
      <c r="AD76" s="473"/>
      <c r="AE76" s="473"/>
    </row>
    <row r="77" spans="1:31" s="4866" customFormat="1" ht="11.25" customHeight="1">
      <c r="A77" s="877"/>
      <c r="B77" s="1500"/>
      <c r="C77" s="1500"/>
      <c r="D77" s="268"/>
      <c r="K77" s="1042"/>
      <c r="L77" s="1500"/>
      <c r="M77" s="1500"/>
      <c r="N77" s="1042"/>
      <c r="O77" s="1042"/>
      <c r="P77" s="1042"/>
      <c r="Q77" s="1042"/>
      <c r="R77" s="1500"/>
      <c r="S77" s="1042"/>
      <c r="T77" s="1042"/>
      <c r="U77" s="451"/>
      <c r="V77" s="1042"/>
      <c r="W77" s="1042"/>
      <c r="X77" s="1042"/>
      <c r="Y77" s="1042"/>
      <c r="Z77" s="1042"/>
      <c r="AA77" s="1496"/>
      <c r="AB77" s="473"/>
      <c r="AC77" s="473"/>
      <c r="AD77" s="473"/>
      <c r="AE77" s="473"/>
    </row>
    <row r="78" spans="1:31" s="4866" customFormat="1" ht="11.25" customHeight="1">
      <c r="A78" s="877"/>
      <c r="B78" s="1500"/>
      <c r="C78" s="1500"/>
      <c r="D78" s="268"/>
      <c r="K78" s="1042"/>
      <c r="L78" s="1500"/>
      <c r="M78" s="1500"/>
      <c r="N78" s="1042"/>
      <c r="O78" s="1042"/>
      <c r="P78" s="1042"/>
      <c r="Q78" s="1042"/>
      <c r="R78" s="1500"/>
      <c r="S78" s="1042"/>
      <c r="T78" s="1042"/>
      <c r="U78" s="451"/>
      <c r="V78" s="1042"/>
      <c r="W78" s="1042"/>
      <c r="X78" s="1042"/>
      <c r="Y78" s="1042"/>
      <c r="Z78" s="1042"/>
      <c r="AA78" s="1496"/>
      <c r="AB78" s="473"/>
      <c r="AC78" s="473"/>
      <c r="AD78" s="473"/>
      <c r="AE78" s="473"/>
    </row>
    <row r="79" spans="1:31" s="4866" customFormat="1" ht="11.25" customHeight="1">
      <c r="A79" s="877"/>
      <c r="B79" s="1500"/>
      <c r="C79" s="1500"/>
      <c r="D79" s="268"/>
      <c r="K79" s="1042"/>
      <c r="L79" s="1500"/>
      <c r="M79" s="1500"/>
      <c r="N79" s="1042"/>
      <c r="O79" s="1042"/>
      <c r="P79" s="1042"/>
      <c r="Q79" s="1042"/>
      <c r="R79" s="1500"/>
      <c r="S79" s="1042"/>
      <c r="T79" s="1042"/>
      <c r="U79" s="451"/>
      <c r="V79" s="1042"/>
      <c r="W79" s="1042"/>
      <c r="X79" s="1042"/>
      <c r="Y79" s="1042"/>
      <c r="Z79" s="1042"/>
      <c r="AA79" s="1496"/>
      <c r="AB79" s="473"/>
      <c r="AC79" s="473"/>
      <c r="AD79" s="473"/>
      <c r="AE79" s="473"/>
    </row>
    <row r="80" spans="1:31" s="4866" customFormat="1" ht="11.25" customHeight="1">
      <c r="A80" s="877"/>
      <c r="B80" s="1500"/>
      <c r="C80" s="1500"/>
      <c r="D80" s="268"/>
      <c r="K80" s="1042"/>
      <c r="L80" s="1500"/>
      <c r="M80" s="1500"/>
      <c r="N80" s="1042"/>
      <c r="O80" s="1042"/>
      <c r="P80" s="1042"/>
      <c r="Q80" s="1042"/>
      <c r="R80" s="1500"/>
      <c r="S80" s="1042"/>
      <c r="T80" s="1042"/>
      <c r="U80" s="451"/>
      <c r="V80" s="1042"/>
      <c r="W80" s="1042"/>
      <c r="X80" s="1042"/>
      <c r="Y80" s="1042"/>
      <c r="Z80" s="1042"/>
      <c r="AA80" s="1496"/>
      <c r="AB80" s="473"/>
      <c r="AC80" s="473"/>
      <c r="AD80" s="473"/>
      <c r="AE80" s="473"/>
    </row>
    <row r="81" spans="1:31" s="4866" customFormat="1" ht="11.25" customHeight="1">
      <c r="A81" s="877"/>
      <c r="B81" s="1500"/>
      <c r="C81" s="1500"/>
      <c r="D81" s="268"/>
      <c r="K81" s="1042"/>
      <c r="L81" s="1500"/>
      <c r="M81" s="1500"/>
      <c r="N81" s="1042"/>
      <c r="O81" s="1042"/>
      <c r="P81" s="1042"/>
      <c r="Q81" s="1042"/>
      <c r="R81" s="1500"/>
      <c r="S81" s="1042"/>
      <c r="T81" s="1042"/>
      <c r="U81" s="451"/>
      <c r="V81" s="1042"/>
      <c r="W81" s="1042"/>
      <c r="X81" s="1042"/>
      <c r="Y81" s="1042"/>
      <c r="Z81" s="1042"/>
      <c r="AA81" s="1496"/>
      <c r="AB81" s="473"/>
      <c r="AC81" s="473"/>
      <c r="AD81" s="473"/>
      <c r="AE81" s="473"/>
    </row>
    <row r="82" spans="1:31" s="4866" customFormat="1" ht="11.25" customHeight="1">
      <c r="A82" s="877"/>
      <c r="B82" s="1500"/>
      <c r="C82" s="1500"/>
      <c r="D82" s="268"/>
      <c r="K82" s="1042"/>
      <c r="L82" s="1500"/>
      <c r="M82" s="1500"/>
      <c r="N82" s="1042"/>
      <c r="O82" s="1042"/>
      <c r="P82" s="1042"/>
      <c r="Q82" s="1042"/>
      <c r="R82" s="1500"/>
      <c r="S82" s="1042"/>
      <c r="T82" s="1042"/>
      <c r="U82" s="451"/>
      <c r="V82" s="1042"/>
      <c r="W82" s="1042"/>
      <c r="X82" s="1042"/>
      <c r="Y82" s="1042"/>
      <c r="Z82" s="1042"/>
      <c r="AA82" s="1496"/>
      <c r="AB82" s="473"/>
      <c r="AC82" s="473"/>
      <c r="AD82" s="473"/>
      <c r="AE82" s="473"/>
    </row>
    <row r="83" spans="1:31" s="4866" customFormat="1" ht="11.25" customHeight="1">
      <c r="A83" s="877"/>
      <c r="B83" s="1500"/>
      <c r="C83" s="1500"/>
      <c r="D83" s="268"/>
      <c r="K83" s="1042"/>
      <c r="L83" s="1500"/>
      <c r="M83" s="1500"/>
      <c r="N83" s="1042"/>
      <c r="O83" s="1042"/>
      <c r="P83" s="1042"/>
      <c r="Q83" s="1042"/>
      <c r="R83" s="1500"/>
      <c r="S83" s="1042"/>
      <c r="T83" s="1042"/>
      <c r="U83" s="451"/>
      <c r="V83" s="1042"/>
      <c r="W83" s="1042"/>
      <c r="X83" s="1042"/>
      <c r="Y83" s="1042"/>
      <c r="Z83" s="1042"/>
      <c r="AA83" s="1496"/>
      <c r="AB83" s="473"/>
      <c r="AC83" s="473"/>
      <c r="AD83" s="473"/>
      <c r="AE83" s="473"/>
    </row>
    <row r="84" spans="1:31" s="4866" customFormat="1" ht="11.25" customHeight="1">
      <c r="A84" s="877"/>
      <c r="B84" s="1500"/>
      <c r="C84" s="1500"/>
      <c r="D84" s="268"/>
      <c r="K84" s="1042"/>
      <c r="L84" s="1500"/>
      <c r="M84" s="1500"/>
      <c r="N84" s="1042"/>
      <c r="O84" s="1042"/>
      <c r="P84" s="1042"/>
      <c r="Q84" s="1042"/>
      <c r="R84" s="1500"/>
      <c r="S84" s="1042"/>
      <c r="T84" s="1042"/>
      <c r="U84" s="451"/>
      <c r="V84" s="1042"/>
      <c r="W84" s="1042"/>
      <c r="X84" s="1042"/>
      <c r="Y84" s="1042"/>
      <c r="Z84" s="1042"/>
      <c r="AA84" s="1496"/>
      <c r="AB84" s="473"/>
      <c r="AC84" s="473"/>
      <c r="AD84" s="473"/>
      <c r="AE84" s="473"/>
    </row>
    <row r="85" spans="1:31" s="4866" customFormat="1" ht="11.25" customHeight="1">
      <c r="A85" s="877"/>
      <c r="B85" s="1500"/>
      <c r="C85" s="1500"/>
      <c r="D85" s="268"/>
      <c r="K85" s="1042"/>
      <c r="L85" s="1500"/>
      <c r="M85" s="1500"/>
      <c r="N85" s="1042"/>
      <c r="O85" s="1042"/>
      <c r="P85" s="1042"/>
      <c r="Q85" s="1042"/>
      <c r="R85" s="1500"/>
      <c r="S85" s="1042"/>
      <c r="T85" s="1042"/>
      <c r="U85" s="451"/>
      <c r="V85" s="1042"/>
      <c r="W85" s="1042"/>
      <c r="X85" s="1042"/>
      <c r="Y85" s="1042"/>
      <c r="Z85" s="1042"/>
      <c r="AA85" s="1496"/>
      <c r="AB85" s="473"/>
      <c r="AC85" s="473"/>
      <c r="AD85" s="473"/>
      <c r="AE85" s="473"/>
    </row>
    <row r="86" spans="1:31" s="4866" customFormat="1" ht="11.25" customHeight="1">
      <c r="A86" s="877"/>
      <c r="B86" s="1500"/>
      <c r="C86" s="1500"/>
      <c r="D86" s="268"/>
      <c r="K86" s="1042"/>
      <c r="L86" s="1500"/>
      <c r="M86" s="1500"/>
      <c r="N86" s="1042"/>
      <c r="O86" s="1042"/>
      <c r="P86" s="1042"/>
      <c r="Q86" s="1042"/>
      <c r="R86" s="1500"/>
      <c r="S86" s="1042"/>
      <c r="T86" s="1042"/>
      <c r="U86" s="451"/>
      <c r="V86" s="1042"/>
      <c r="W86" s="1042"/>
      <c r="X86" s="1042"/>
      <c r="Y86" s="1042"/>
      <c r="Z86" s="1042"/>
      <c r="AA86" s="1496"/>
      <c r="AB86" s="473"/>
      <c r="AC86" s="473"/>
      <c r="AD86" s="473"/>
      <c r="AE86" s="473"/>
    </row>
    <row r="87" spans="1:31" s="4866" customFormat="1" ht="11.25" customHeight="1">
      <c r="A87" s="877"/>
      <c r="B87" s="1500"/>
      <c r="C87" s="1500"/>
      <c r="D87" s="268"/>
      <c r="K87" s="1042"/>
      <c r="L87" s="1500"/>
      <c r="M87" s="1500"/>
      <c r="N87" s="1042"/>
      <c r="O87" s="1042"/>
      <c r="P87" s="1042"/>
      <c r="Q87" s="1042"/>
      <c r="R87" s="1500"/>
      <c r="S87" s="1042"/>
      <c r="T87" s="1042"/>
      <c r="U87" s="451"/>
      <c r="V87" s="1042"/>
      <c r="W87" s="1042"/>
      <c r="X87" s="1042"/>
      <c r="Y87" s="1042"/>
      <c r="Z87" s="1042"/>
      <c r="AA87" s="1496"/>
      <c r="AB87" s="473"/>
      <c r="AC87" s="473"/>
      <c r="AD87" s="473"/>
      <c r="AE87" s="473"/>
    </row>
    <row r="88" spans="1:31" s="4866" customFormat="1" ht="11.25" customHeight="1">
      <c r="A88" s="877"/>
      <c r="B88" s="1500"/>
      <c r="C88" s="1500"/>
      <c r="D88" s="268"/>
      <c r="K88" s="1042"/>
      <c r="L88" s="1500"/>
      <c r="M88" s="1500"/>
      <c r="N88" s="1042"/>
      <c r="O88" s="1042"/>
      <c r="P88" s="1042"/>
      <c r="Q88" s="1042"/>
      <c r="R88" s="1500"/>
      <c r="S88" s="1042"/>
      <c r="T88" s="1042"/>
      <c r="U88" s="451"/>
      <c r="V88" s="1042"/>
      <c r="W88" s="1042"/>
      <c r="X88" s="1042"/>
      <c r="Y88" s="1042"/>
      <c r="Z88" s="1042"/>
      <c r="AA88" s="1496"/>
      <c r="AB88" s="473"/>
      <c r="AC88" s="473"/>
      <c r="AD88" s="473"/>
      <c r="AE88" s="473"/>
    </row>
    <row r="89" spans="1:31" s="4866" customFormat="1" ht="11.25" customHeight="1">
      <c r="A89" s="877"/>
      <c r="B89" s="1500"/>
      <c r="C89" s="1500"/>
      <c r="D89" s="268"/>
      <c r="K89" s="1042"/>
      <c r="L89" s="1500"/>
      <c r="M89" s="1500"/>
      <c r="N89" s="1042"/>
      <c r="O89" s="1042"/>
      <c r="P89" s="1042"/>
      <c r="Q89" s="1042"/>
      <c r="R89" s="1500"/>
      <c r="S89" s="1042"/>
      <c r="T89" s="1042"/>
      <c r="U89" s="451"/>
      <c r="V89" s="1042"/>
      <c r="W89" s="1042"/>
      <c r="X89" s="1042"/>
      <c r="Y89" s="1042"/>
      <c r="Z89" s="1042"/>
      <c r="AA89" s="1496"/>
      <c r="AB89" s="473"/>
      <c r="AC89" s="473"/>
      <c r="AD89" s="473"/>
      <c r="AE89" s="473"/>
    </row>
    <row r="90" spans="1:31" s="4866" customFormat="1" ht="11.25" customHeight="1">
      <c r="A90" s="877"/>
      <c r="B90" s="1500"/>
      <c r="C90" s="1500"/>
      <c r="D90" s="268"/>
      <c r="K90" s="1042"/>
      <c r="L90" s="1500"/>
      <c r="M90" s="1500"/>
      <c r="N90" s="1042"/>
      <c r="O90" s="1042"/>
      <c r="P90" s="1042"/>
      <c r="Q90" s="1042"/>
      <c r="R90" s="1500"/>
      <c r="S90" s="1042"/>
      <c r="T90" s="1042"/>
      <c r="U90" s="451"/>
      <c r="V90" s="1042"/>
      <c r="W90" s="1042"/>
      <c r="X90" s="1042"/>
      <c r="Y90" s="1042"/>
      <c r="Z90" s="1042"/>
      <c r="AA90" s="1496"/>
      <c r="AB90" s="473"/>
      <c r="AC90" s="473"/>
      <c r="AD90" s="473"/>
      <c r="AE90" s="473"/>
    </row>
    <row r="91" spans="1:31" s="4866" customFormat="1" ht="11.25" customHeight="1">
      <c r="A91" s="877"/>
      <c r="B91" s="1500"/>
      <c r="C91" s="1500"/>
      <c r="D91" s="268"/>
      <c r="K91" s="1042"/>
      <c r="L91" s="1500"/>
      <c r="M91" s="1500"/>
      <c r="N91" s="1042"/>
      <c r="O91" s="1042"/>
      <c r="P91" s="1042"/>
      <c r="Q91" s="1042"/>
      <c r="R91" s="1500"/>
      <c r="S91" s="1042"/>
      <c r="T91" s="1042"/>
      <c r="U91" s="451"/>
      <c r="V91" s="1042"/>
      <c r="W91" s="1042"/>
      <c r="X91" s="1042"/>
      <c r="Y91" s="1042"/>
      <c r="Z91" s="1042"/>
      <c r="AA91" s="1496"/>
      <c r="AB91" s="473"/>
      <c r="AC91" s="473"/>
      <c r="AD91" s="473"/>
      <c r="AE91" s="473"/>
    </row>
    <row r="92" spans="1:31" s="4866" customFormat="1" ht="11.25" customHeight="1">
      <c r="A92" s="877"/>
      <c r="B92" s="1500"/>
      <c r="C92" s="1500"/>
      <c r="D92" s="268"/>
      <c r="K92" s="1042"/>
      <c r="L92" s="1500"/>
      <c r="M92" s="1500"/>
      <c r="N92" s="1042"/>
      <c r="O92" s="1042"/>
      <c r="P92" s="1042"/>
      <c r="Q92" s="1042"/>
      <c r="R92" s="1500"/>
      <c r="S92" s="1042"/>
      <c r="T92" s="1042"/>
      <c r="U92" s="451"/>
      <c r="V92" s="1042"/>
      <c r="W92" s="1042"/>
      <c r="X92" s="1042"/>
      <c r="Y92" s="1042"/>
      <c r="Z92" s="1042"/>
      <c r="AA92" s="1496"/>
      <c r="AB92" s="473"/>
      <c r="AC92" s="473"/>
      <c r="AD92" s="473"/>
      <c r="AE92" s="473"/>
    </row>
    <row r="93" spans="1:31" s="4866" customFormat="1" ht="11.25" customHeight="1">
      <c r="A93" s="877"/>
      <c r="B93" s="1500"/>
      <c r="C93" s="1500"/>
      <c r="D93" s="268"/>
      <c r="K93" s="1042"/>
      <c r="L93" s="1500"/>
      <c r="M93" s="1500"/>
      <c r="N93" s="1042"/>
      <c r="O93" s="1042"/>
      <c r="P93" s="1042"/>
      <c r="Q93" s="1042"/>
      <c r="R93" s="1500"/>
      <c r="S93" s="1042"/>
      <c r="T93" s="1042"/>
      <c r="U93" s="451"/>
      <c r="V93" s="1042"/>
      <c r="W93" s="1042"/>
      <c r="X93" s="1042"/>
      <c r="Y93" s="1042"/>
      <c r="Z93" s="1042"/>
      <c r="AA93" s="1496"/>
      <c r="AB93" s="473"/>
      <c r="AC93" s="473"/>
      <c r="AD93" s="473"/>
      <c r="AE93" s="473"/>
    </row>
    <row r="94" spans="1:31" s="4866" customFormat="1" ht="11.25" customHeight="1">
      <c r="A94" s="877"/>
      <c r="B94" s="1500"/>
      <c r="C94" s="1500"/>
      <c r="D94" s="268"/>
      <c r="K94" s="1042"/>
      <c r="L94" s="1500"/>
      <c r="M94" s="1500"/>
      <c r="N94" s="1042"/>
      <c r="O94" s="1042"/>
      <c r="P94" s="1042"/>
      <c r="Q94" s="1042"/>
      <c r="R94" s="1500"/>
      <c r="S94" s="1042"/>
      <c r="T94" s="1042"/>
      <c r="U94" s="451"/>
      <c r="V94" s="1042"/>
      <c r="W94" s="1042"/>
      <c r="X94" s="1042"/>
      <c r="Y94" s="1042"/>
      <c r="Z94" s="1042"/>
      <c r="AA94" s="1496"/>
      <c r="AB94" s="473"/>
      <c r="AC94" s="473"/>
      <c r="AD94" s="473"/>
      <c r="AE94" s="473"/>
    </row>
    <row r="95" spans="1:31" s="4866" customFormat="1" ht="11.25" customHeight="1">
      <c r="A95" s="877"/>
      <c r="B95" s="1500"/>
      <c r="C95" s="1500"/>
      <c r="D95" s="268"/>
      <c r="K95" s="1042"/>
      <c r="L95" s="1500"/>
      <c r="M95" s="1500"/>
      <c r="N95" s="1042"/>
      <c r="O95" s="1042"/>
      <c r="P95" s="1042"/>
      <c r="Q95" s="1042"/>
      <c r="R95" s="1500"/>
      <c r="S95" s="1042"/>
      <c r="T95" s="1042"/>
      <c r="U95" s="451"/>
      <c r="V95" s="1042"/>
      <c r="W95" s="1042"/>
      <c r="X95" s="1042"/>
      <c r="Y95" s="1042"/>
      <c r="Z95" s="1042"/>
      <c r="AA95" s="1496"/>
      <c r="AB95" s="473"/>
      <c r="AC95" s="473"/>
      <c r="AD95" s="473"/>
      <c r="AE95" s="473"/>
    </row>
    <row r="96" spans="1:31" s="4866" customFormat="1" ht="11.25" customHeight="1">
      <c r="A96" s="877"/>
      <c r="B96" s="1500"/>
      <c r="C96" s="1500"/>
      <c r="D96" s="268"/>
      <c r="K96" s="1042"/>
      <c r="L96" s="1500"/>
      <c r="M96" s="1500"/>
      <c r="N96" s="1042"/>
      <c r="O96" s="1042"/>
      <c r="P96" s="1042"/>
      <c r="Q96" s="1042"/>
      <c r="R96" s="1500"/>
      <c r="S96" s="1042"/>
      <c r="T96" s="1042"/>
      <c r="U96" s="451"/>
      <c r="V96" s="1042"/>
      <c r="W96" s="1042"/>
      <c r="X96" s="1042"/>
      <c r="Y96" s="1042"/>
      <c r="Z96" s="1042"/>
      <c r="AA96" s="1496"/>
      <c r="AB96" s="473"/>
      <c r="AC96" s="473"/>
      <c r="AD96" s="473"/>
      <c r="AE96" s="473"/>
    </row>
    <row r="97" spans="1:31" s="4866" customFormat="1" ht="11.25" customHeight="1">
      <c r="A97" s="877"/>
      <c r="B97" s="1500"/>
      <c r="C97" s="1500"/>
      <c r="D97" s="268"/>
      <c r="K97" s="1042"/>
      <c r="L97" s="1500"/>
      <c r="M97" s="1500"/>
      <c r="N97" s="1042"/>
      <c r="O97" s="1042"/>
      <c r="P97" s="1042"/>
      <c r="Q97" s="1042"/>
      <c r="R97" s="1500"/>
      <c r="S97" s="1042"/>
      <c r="T97" s="1042"/>
      <c r="U97" s="451"/>
      <c r="V97" s="1042"/>
      <c r="W97" s="1042"/>
      <c r="X97" s="1042"/>
      <c r="Y97" s="1042"/>
      <c r="Z97" s="1042"/>
      <c r="AA97" s="1496"/>
      <c r="AB97" s="473"/>
      <c r="AC97" s="473"/>
      <c r="AD97" s="473"/>
      <c r="AE97" s="473"/>
    </row>
    <row r="98" spans="1:31" s="4866" customFormat="1" ht="11.25" customHeight="1">
      <c r="A98" s="877"/>
      <c r="B98" s="1500"/>
      <c r="C98" s="1500"/>
      <c r="D98" s="268"/>
      <c r="K98" s="1042"/>
      <c r="L98" s="1500"/>
      <c r="M98" s="1500"/>
      <c r="N98" s="1042"/>
      <c r="O98" s="1042"/>
      <c r="P98" s="1042"/>
      <c r="Q98" s="1042"/>
      <c r="R98" s="1500"/>
      <c r="S98" s="1042"/>
      <c r="T98" s="1042"/>
      <c r="U98" s="451"/>
      <c r="V98" s="1042"/>
      <c r="W98" s="1042"/>
      <c r="X98" s="1042"/>
      <c r="Y98" s="1042"/>
      <c r="Z98" s="1042"/>
      <c r="AA98" s="1496"/>
      <c r="AB98" s="473"/>
      <c r="AC98" s="473"/>
      <c r="AD98" s="473"/>
      <c r="AE98" s="473"/>
    </row>
    <row r="99" spans="1:31" s="4866" customFormat="1" ht="11.25" customHeight="1">
      <c r="A99" s="877"/>
      <c r="B99" s="1500"/>
      <c r="C99" s="1500"/>
      <c r="D99" s="268"/>
      <c r="K99" s="1042"/>
      <c r="L99" s="1500"/>
      <c r="M99" s="1500"/>
      <c r="N99" s="1042"/>
      <c r="O99" s="1042"/>
      <c r="P99" s="1042"/>
      <c r="Q99" s="1042"/>
      <c r="R99" s="1500"/>
      <c r="S99" s="1042"/>
      <c r="T99" s="1042"/>
      <c r="U99" s="451"/>
      <c r="V99" s="1042"/>
      <c r="W99" s="1042"/>
      <c r="X99" s="1042"/>
      <c r="Y99" s="1042"/>
      <c r="Z99" s="1042"/>
      <c r="AA99" s="1496"/>
      <c r="AB99" s="473"/>
      <c r="AC99" s="473"/>
      <c r="AD99" s="473"/>
      <c r="AE99" s="473"/>
    </row>
    <row r="100" spans="1:31" s="4866" customFormat="1" ht="11.25" customHeight="1">
      <c r="A100" s="877"/>
      <c r="B100" s="1500"/>
      <c r="C100" s="1500"/>
      <c r="D100" s="268"/>
      <c r="K100" s="1042"/>
      <c r="L100" s="1500"/>
      <c r="M100" s="1500"/>
      <c r="N100" s="1042"/>
      <c r="O100" s="1042"/>
      <c r="P100" s="1042"/>
      <c r="Q100" s="1042"/>
      <c r="R100" s="1500"/>
      <c r="S100" s="1042"/>
      <c r="T100" s="1042"/>
      <c r="U100" s="451"/>
      <c r="V100" s="1042"/>
      <c r="W100" s="1042"/>
      <c r="X100" s="1042"/>
      <c r="Y100" s="1042"/>
      <c r="Z100" s="1042"/>
      <c r="AA100" s="1496"/>
      <c r="AB100" s="473"/>
      <c r="AC100" s="473"/>
      <c r="AD100" s="473"/>
      <c r="AE100" s="473"/>
    </row>
    <row r="101" spans="1:31" s="4866" customFormat="1" ht="11.25" customHeight="1">
      <c r="A101" s="877"/>
      <c r="B101" s="1500"/>
      <c r="C101" s="1500"/>
      <c r="D101" s="268"/>
      <c r="K101" s="1042"/>
      <c r="L101" s="1500"/>
      <c r="M101" s="1500"/>
      <c r="N101" s="1042"/>
      <c r="O101" s="1042"/>
      <c r="P101" s="1042"/>
      <c r="Q101" s="1042"/>
      <c r="R101" s="1500"/>
      <c r="S101" s="1042"/>
      <c r="T101" s="1042"/>
      <c r="U101" s="451"/>
      <c r="V101" s="1042"/>
      <c r="W101" s="1042"/>
      <c r="X101" s="1042"/>
      <c r="Y101" s="1042"/>
      <c r="Z101" s="1042"/>
      <c r="AA101" s="1496"/>
      <c r="AB101" s="473"/>
      <c r="AC101" s="473"/>
      <c r="AD101" s="473"/>
      <c r="AE101" s="473"/>
    </row>
    <row r="102" spans="1:31" s="4866" customFormat="1" ht="11.25" customHeight="1">
      <c r="A102" s="877"/>
      <c r="B102" s="1500"/>
      <c r="C102" s="1500"/>
      <c r="D102" s="268"/>
      <c r="K102" s="1042"/>
      <c r="L102" s="1500"/>
      <c r="M102" s="1500"/>
      <c r="N102" s="1042"/>
      <c r="O102" s="1042"/>
      <c r="P102" s="1042"/>
      <c r="Q102" s="1042"/>
      <c r="R102" s="1500"/>
      <c r="S102" s="1042"/>
      <c r="T102" s="1042"/>
      <c r="U102" s="451"/>
      <c r="V102" s="1042"/>
      <c r="W102" s="1042"/>
      <c r="X102" s="1042"/>
      <c r="Y102" s="1042"/>
      <c r="Z102" s="1042"/>
      <c r="AA102" s="1496"/>
      <c r="AB102" s="473"/>
      <c r="AC102" s="473"/>
      <c r="AD102" s="473"/>
      <c r="AE102" s="473"/>
    </row>
    <row r="103" spans="1:31" s="4866" customFormat="1" ht="11.25" customHeight="1">
      <c r="A103" s="877"/>
      <c r="B103" s="1500"/>
      <c r="C103" s="1500"/>
      <c r="D103" s="268"/>
      <c r="K103" s="1042"/>
      <c r="L103" s="1500"/>
      <c r="M103" s="1500"/>
      <c r="N103" s="1042"/>
      <c r="O103" s="1042"/>
      <c r="P103" s="1042"/>
      <c r="Q103" s="1042"/>
      <c r="R103" s="1500"/>
      <c r="S103" s="1042"/>
      <c r="T103" s="1042"/>
      <c r="U103" s="451"/>
      <c r="V103" s="1042"/>
      <c r="W103" s="1042"/>
      <c r="X103" s="1042"/>
      <c r="Y103" s="1042"/>
      <c r="Z103" s="1042"/>
      <c r="AA103" s="1496"/>
      <c r="AB103" s="473"/>
      <c r="AC103" s="473"/>
      <c r="AD103" s="473"/>
      <c r="AE103" s="473"/>
    </row>
    <row r="104" spans="1:31" s="4866" customFormat="1" ht="11.25" customHeight="1">
      <c r="A104" s="877"/>
      <c r="B104" s="1500"/>
      <c r="C104" s="1500"/>
      <c r="D104" s="268"/>
      <c r="K104" s="1042"/>
      <c r="L104" s="1500"/>
      <c r="M104" s="1500"/>
      <c r="N104" s="1042"/>
      <c r="O104" s="1042"/>
      <c r="P104" s="1042"/>
      <c r="Q104" s="1042"/>
      <c r="R104" s="1500"/>
      <c r="S104" s="1042"/>
      <c r="T104" s="1042"/>
      <c r="U104" s="451"/>
      <c r="V104" s="1042"/>
      <c r="W104" s="1042"/>
      <c r="X104" s="1042"/>
      <c r="Y104" s="1042"/>
      <c r="Z104" s="1042"/>
      <c r="AA104" s="1496"/>
      <c r="AB104" s="473"/>
      <c r="AC104" s="473"/>
      <c r="AD104" s="473"/>
      <c r="AE104" s="473"/>
    </row>
    <row r="105" spans="1:31" s="4866" customFormat="1" ht="11.25" customHeight="1">
      <c r="A105" s="877"/>
      <c r="B105" s="1500"/>
      <c r="C105" s="1500"/>
      <c r="D105" s="268"/>
      <c r="K105" s="1042"/>
      <c r="L105" s="1500"/>
      <c r="M105" s="1500"/>
      <c r="N105" s="1042"/>
      <c r="O105" s="1042"/>
      <c r="P105" s="1042"/>
      <c r="Q105" s="1042"/>
      <c r="R105" s="1500"/>
      <c r="S105" s="1042"/>
      <c r="T105" s="1042"/>
      <c r="U105" s="451"/>
      <c r="V105" s="1042"/>
      <c r="W105" s="1042"/>
      <c r="X105" s="1042"/>
      <c r="Y105" s="1042"/>
      <c r="Z105" s="1042"/>
      <c r="AA105" s="1496"/>
      <c r="AB105" s="473"/>
      <c r="AC105" s="473"/>
      <c r="AD105" s="473"/>
      <c r="AE105" s="473"/>
    </row>
    <row r="106" spans="1:31" s="4866" customFormat="1" ht="11.25" customHeight="1">
      <c r="A106" s="877"/>
      <c r="B106" s="1500"/>
      <c r="C106" s="1500"/>
      <c r="D106" s="268"/>
      <c r="K106" s="1042"/>
      <c r="L106" s="1500"/>
      <c r="M106" s="1500"/>
      <c r="N106" s="1042"/>
      <c r="O106" s="1042"/>
      <c r="P106" s="1042"/>
      <c r="Q106" s="1042"/>
      <c r="R106" s="1500"/>
      <c r="S106" s="1042"/>
      <c r="T106" s="1042"/>
      <c r="U106" s="451"/>
      <c r="V106" s="1042"/>
      <c r="W106" s="1042"/>
      <c r="X106" s="1042"/>
      <c r="Y106" s="1042"/>
      <c r="Z106" s="1042"/>
      <c r="AA106" s="1496"/>
      <c r="AB106" s="473"/>
      <c r="AC106" s="473"/>
      <c r="AD106" s="473"/>
      <c r="AE106" s="473"/>
    </row>
    <row r="107" spans="1:31" s="4866" customFormat="1" ht="11.25" customHeight="1">
      <c r="A107" s="877"/>
      <c r="B107" s="1500"/>
      <c r="C107" s="1500"/>
      <c r="D107" s="268"/>
      <c r="K107" s="1042"/>
      <c r="L107" s="1500"/>
      <c r="M107" s="1500"/>
      <c r="N107" s="1042"/>
      <c r="O107" s="1042"/>
      <c r="P107" s="1042"/>
      <c r="Q107" s="1042"/>
      <c r="R107" s="1500"/>
      <c r="S107" s="1042"/>
      <c r="T107" s="1042"/>
      <c r="U107" s="451"/>
      <c r="V107" s="1042"/>
      <c r="W107" s="1042"/>
      <c r="X107" s="1042"/>
      <c r="Y107" s="1042"/>
      <c r="Z107" s="1042"/>
      <c r="AA107" s="1496"/>
      <c r="AB107" s="473"/>
      <c r="AC107" s="473"/>
      <c r="AD107" s="473"/>
      <c r="AE107" s="473"/>
    </row>
    <row r="108" spans="1:31" s="4866" customFormat="1" ht="11.25" customHeight="1">
      <c r="A108" s="877"/>
      <c r="B108" s="1500"/>
      <c r="C108" s="1500"/>
      <c r="D108" s="268"/>
      <c r="K108" s="1042"/>
      <c r="L108" s="1500"/>
      <c r="M108" s="1500"/>
      <c r="N108" s="1042"/>
      <c r="O108" s="1042"/>
      <c r="P108" s="1042"/>
      <c r="Q108" s="1042"/>
      <c r="R108" s="1500"/>
      <c r="S108" s="1042"/>
      <c r="T108" s="1042"/>
      <c r="U108" s="451"/>
      <c r="V108" s="1042"/>
      <c r="W108" s="1042"/>
      <c r="X108" s="1042"/>
      <c r="Y108" s="1042"/>
      <c r="Z108" s="1042"/>
      <c r="AA108" s="1496"/>
      <c r="AB108" s="473"/>
      <c r="AC108" s="473"/>
      <c r="AD108" s="473"/>
      <c r="AE108" s="473"/>
    </row>
    <row r="109" spans="1:31" s="4866" customFormat="1" ht="11.25" customHeight="1">
      <c r="A109" s="877"/>
      <c r="B109" s="1500"/>
      <c r="C109" s="1500"/>
      <c r="D109" s="268"/>
      <c r="K109" s="1042"/>
      <c r="L109" s="1500"/>
      <c r="M109" s="1500"/>
      <c r="N109" s="1042"/>
      <c r="O109" s="1042"/>
      <c r="P109" s="1042"/>
      <c r="Q109" s="1042"/>
      <c r="R109" s="1500"/>
      <c r="S109" s="1042"/>
      <c r="T109" s="1042"/>
      <c r="U109" s="451"/>
      <c r="V109" s="1042"/>
      <c r="W109" s="1042"/>
      <c r="X109" s="1042"/>
      <c r="Y109" s="1042"/>
      <c r="Z109" s="1042"/>
      <c r="AA109" s="1496"/>
      <c r="AB109" s="473"/>
      <c r="AC109" s="473"/>
      <c r="AD109" s="473"/>
      <c r="AE109" s="473"/>
    </row>
    <row r="110" spans="1:31" s="4866" customFormat="1" ht="11.25" customHeight="1">
      <c r="A110" s="877"/>
      <c r="B110" s="1500"/>
      <c r="C110" s="1500"/>
      <c r="D110" s="268"/>
      <c r="K110" s="1042"/>
      <c r="L110" s="1500"/>
      <c r="M110" s="1500"/>
      <c r="N110" s="1042"/>
      <c r="O110" s="1042"/>
      <c r="P110" s="1042"/>
      <c r="Q110" s="1042"/>
      <c r="R110" s="1500"/>
      <c r="S110" s="1042"/>
      <c r="T110" s="1042"/>
      <c r="U110" s="451"/>
      <c r="V110" s="1042"/>
      <c r="W110" s="1042"/>
      <c r="X110" s="1042"/>
      <c r="Y110" s="1042"/>
      <c r="Z110" s="1042"/>
      <c r="AA110" s="1496"/>
      <c r="AB110" s="473"/>
      <c r="AC110" s="473"/>
      <c r="AD110" s="473"/>
      <c r="AE110" s="473"/>
    </row>
    <row r="111" spans="1:31" s="4866" customFormat="1" ht="11.25" customHeight="1">
      <c r="A111" s="877"/>
      <c r="B111" s="1500"/>
      <c r="C111" s="1500"/>
      <c r="D111" s="268"/>
      <c r="K111" s="1042"/>
      <c r="L111" s="1500"/>
      <c r="M111" s="1500"/>
      <c r="N111" s="1042"/>
      <c r="O111" s="1042"/>
      <c r="P111" s="1042"/>
      <c r="Q111" s="1042"/>
      <c r="R111" s="1500"/>
      <c r="S111" s="1042"/>
      <c r="T111" s="1042"/>
      <c r="U111" s="451"/>
      <c r="V111" s="1042"/>
      <c r="W111" s="1042"/>
      <c r="X111" s="1042"/>
      <c r="Y111" s="1042"/>
      <c r="Z111" s="1042"/>
      <c r="AA111" s="1496"/>
      <c r="AB111" s="473"/>
      <c r="AC111" s="473"/>
      <c r="AD111" s="473"/>
      <c r="AE111" s="473"/>
    </row>
    <row r="112" spans="1:31" s="4866" customFormat="1" ht="11.25" customHeight="1">
      <c r="A112" s="877"/>
      <c r="B112" s="1500"/>
      <c r="C112" s="1500"/>
      <c r="D112" s="268"/>
      <c r="K112" s="1042"/>
      <c r="L112" s="1500"/>
      <c r="M112" s="1500"/>
      <c r="N112" s="1042"/>
      <c r="O112" s="1042"/>
      <c r="P112" s="1042"/>
      <c r="Q112" s="1042"/>
      <c r="R112" s="1500"/>
      <c r="S112" s="1042"/>
      <c r="T112" s="1042"/>
      <c r="U112" s="451"/>
      <c r="V112" s="1042"/>
      <c r="W112" s="1042"/>
      <c r="X112" s="1042"/>
      <c r="Y112" s="1042"/>
      <c r="Z112" s="1042"/>
      <c r="AA112" s="1496"/>
      <c r="AB112" s="473"/>
      <c r="AC112" s="473"/>
      <c r="AD112" s="473"/>
      <c r="AE112" s="473"/>
    </row>
    <row r="113" spans="1:31" s="4866" customFormat="1" ht="11.25" customHeight="1">
      <c r="A113" s="877"/>
      <c r="B113" s="1500"/>
      <c r="C113" s="1500"/>
      <c r="D113" s="268"/>
      <c r="K113" s="1042"/>
      <c r="L113" s="1500"/>
      <c r="M113" s="1500"/>
      <c r="N113" s="1042"/>
      <c r="O113" s="1042"/>
      <c r="P113" s="1042"/>
      <c r="Q113" s="1042"/>
      <c r="R113" s="1500"/>
      <c r="S113" s="1042"/>
      <c r="T113" s="1042"/>
      <c r="U113" s="451"/>
      <c r="V113" s="1042"/>
      <c r="W113" s="1042"/>
      <c r="X113" s="1042"/>
      <c r="Y113" s="1042"/>
      <c r="Z113" s="1042"/>
      <c r="AA113" s="1496"/>
      <c r="AB113" s="473"/>
      <c r="AC113" s="473"/>
      <c r="AD113" s="473"/>
      <c r="AE113" s="473"/>
    </row>
    <row r="114" spans="1:31" s="4866" customFormat="1" ht="11.25" customHeight="1">
      <c r="A114" s="877"/>
      <c r="B114" s="1500"/>
      <c r="C114" s="1500"/>
      <c r="D114" s="268"/>
      <c r="K114" s="1042"/>
      <c r="L114" s="1500"/>
      <c r="M114" s="1500"/>
      <c r="N114" s="1042"/>
      <c r="O114" s="1042"/>
      <c r="P114" s="1042"/>
      <c r="Q114" s="1042"/>
      <c r="R114" s="1500"/>
      <c r="S114" s="1042"/>
      <c r="T114" s="1042"/>
      <c r="U114" s="451"/>
      <c r="V114" s="1042"/>
      <c r="W114" s="1042"/>
      <c r="X114" s="1042"/>
      <c r="Y114" s="1042"/>
      <c r="Z114" s="1042"/>
      <c r="AA114" s="1496"/>
      <c r="AB114" s="473"/>
      <c r="AC114" s="473"/>
      <c r="AD114" s="473"/>
      <c r="AE114" s="473"/>
    </row>
    <row r="115" spans="1:31" s="4866" customFormat="1" ht="11.25" customHeight="1">
      <c r="A115" s="877"/>
      <c r="B115" s="1500"/>
      <c r="C115" s="1500"/>
      <c r="D115" s="268"/>
      <c r="K115" s="1042"/>
      <c r="L115" s="1500"/>
      <c r="M115" s="1500"/>
      <c r="N115" s="1042"/>
      <c r="O115" s="1042"/>
      <c r="P115" s="1042"/>
      <c r="Q115" s="1042"/>
      <c r="R115" s="1500"/>
      <c r="S115" s="1042"/>
      <c r="T115" s="1042"/>
      <c r="U115" s="451"/>
      <c r="V115" s="1042"/>
      <c r="W115" s="1042"/>
      <c r="X115" s="1042"/>
      <c r="Y115" s="1042"/>
      <c r="Z115" s="1042"/>
      <c r="AA115" s="1496"/>
      <c r="AB115" s="473"/>
      <c r="AC115" s="473"/>
      <c r="AD115" s="473"/>
      <c r="AE115" s="473"/>
    </row>
    <row r="116" spans="1:31" s="4866" customFormat="1" ht="11.25" customHeight="1">
      <c r="A116" s="877"/>
      <c r="B116" s="1500"/>
      <c r="C116" s="1500"/>
      <c r="D116" s="268"/>
      <c r="K116" s="1042"/>
      <c r="L116" s="1500"/>
      <c r="M116" s="1500"/>
      <c r="N116" s="1042"/>
      <c r="O116" s="1042"/>
      <c r="P116" s="1042"/>
      <c r="Q116" s="1042"/>
      <c r="R116" s="1500"/>
      <c r="S116" s="1042"/>
      <c r="T116" s="1042"/>
      <c r="U116" s="451"/>
      <c r="V116" s="1042"/>
      <c r="W116" s="1042"/>
      <c r="X116" s="1042"/>
      <c r="Y116" s="1042"/>
      <c r="Z116" s="1042"/>
      <c r="AA116" s="1496"/>
      <c r="AB116" s="473"/>
      <c r="AC116" s="473"/>
      <c r="AD116" s="473"/>
      <c r="AE116" s="473"/>
    </row>
    <row r="117" spans="1:31" s="4866" customFormat="1" ht="11.25" customHeight="1">
      <c r="A117" s="877"/>
      <c r="B117" s="1500"/>
      <c r="C117" s="1500"/>
      <c r="D117" s="268"/>
      <c r="K117" s="1042"/>
      <c r="L117" s="1500"/>
      <c r="M117" s="1500"/>
      <c r="N117" s="1042"/>
      <c r="O117" s="1042"/>
      <c r="P117" s="1042"/>
      <c r="Q117" s="1042"/>
      <c r="R117" s="1500"/>
      <c r="S117" s="1042"/>
      <c r="T117" s="1042"/>
      <c r="U117" s="451"/>
      <c r="V117" s="1042"/>
      <c r="W117" s="1042"/>
      <c r="X117" s="1042"/>
      <c r="Y117" s="1042"/>
      <c r="Z117" s="1042"/>
      <c r="AA117" s="1496"/>
      <c r="AB117" s="473"/>
      <c r="AC117" s="473"/>
      <c r="AD117" s="473"/>
      <c r="AE117" s="473"/>
    </row>
    <row r="118" spans="1:31" s="4866" customFormat="1" ht="11.25" customHeight="1">
      <c r="A118" s="877"/>
      <c r="B118" s="1500"/>
      <c r="C118" s="1500"/>
      <c r="D118" s="268"/>
      <c r="K118" s="1042"/>
      <c r="L118" s="1500"/>
      <c r="M118" s="1500"/>
      <c r="N118" s="1042"/>
      <c r="O118" s="1042"/>
      <c r="P118" s="1042"/>
      <c r="Q118" s="1042"/>
      <c r="R118" s="1500"/>
      <c r="S118" s="1042"/>
      <c r="T118" s="1042"/>
      <c r="U118" s="451"/>
      <c r="V118" s="1042"/>
      <c r="W118" s="1042"/>
      <c r="X118" s="1042"/>
      <c r="Y118" s="1042"/>
      <c r="Z118" s="1042"/>
      <c r="AA118" s="1496"/>
      <c r="AB118" s="473"/>
      <c r="AC118" s="473"/>
      <c r="AD118" s="473"/>
      <c r="AE118" s="473"/>
    </row>
    <row r="119" spans="1:31" s="4866" customFormat="1" ht="11.25" customHeight="1">
      <c r="A119" s="877"/>
      <c r="B119" s="1500"/>
      <c r="C119" s="1500"/>
      <c r="D119" s="268"/>
      <c r="K119" s="1042"/>
      <c r="L119" s="1500"/>
      <c r="M119" s="1500"/>
      <c r="N119" s="1042"/>
      <c r="O119" s="1042"/>
      <c r="P119" s="1042"/>
      <c r="Q119" s="1042"/>
      <c r="R119" s="1500"/>
      <c r="S119" s="1042"/>
      <c r="T119" s="1042"/>
      <c r="U119" s="451"/>
      <c r="V119" s="1042"/>
      <c r="W119" s="1042"/>
      <c r="X119" s="1042"/>
      <c r="Y119" s="1042"/>
      <c r="Z119" s="1042"/>
      <c r="AA119" s="1496"/>
      <c r="AB119" s="473"/>
      <c r="AC119" s="473"/>
      <c r="AD119" s="473"/>
      <c r="AE119" s="473"/>
    </row>
    <row r="120" spans="1:31" s="4866" customFormat="1" ht="11.25" customHeight="1">
      <c r="A120" s="877"/>
      <c r="B120" s="1500"/>
      <c r="C120" s="1500"/>
      <c r="D120" s="268"/>
      <c r="K120" s="1042"/>
      <c r="L120" s="1500"/>
      <c r="M120" s="1500"/>
      <c r="N120" s="1042"/>
      <c r="O120" s="1042"/>
      <c r="P120" s="1042"/>
      <c r="Q120" s="1042"/>
      <c r="R120" s="1500"/>
      <c r="S120" s="1042"/>
      <c r="T120" s="1042"/>
      <c r="U120" s="451"/>
      <c r="V120" s="1042"/>
      <c r="W120" s="1042"/>
      <c r="X120" s="1042"/>
      <c r="Y120" s="1042"/>
      <c r="Z120" s="1042"/>
      <c r="AA120" s="1496"/>
      <c r="AB120" s="473"/>
      <c r="AC120" s="473"/>
      <c r="AD120" s="473"/>
      <c r="AE120" s="473"/>
    </row>
    <row r="121" spans="1:31" s="4866" customFormat="1" ht="11.25" customHeight="1">
      <c r="A121" s="877"/>
      <c r="B121" s="1500"/>
      <c r="C121" s="1500"/>
      <c r="D121" s="268"/>
      <c r="K121" s="1042"/>
      <c r="L121" s="1500"/>
      <c r="M121" s="1500"/>
      <c r="N121" s="1042"/>
      <c r="O121" s="1042"/>
      <c r="P121" s="1042"/>
      <c r="Q121" s="1042"/>
      <c r="R121" s="1500"/>
      <c r="S121" s="1042"/>
      <c r="T121" s="1042"/>
      <c r="U121" s="451"/>
      <c r="V121" s="1042"/>
      <c r="W121" s="1042"/>
      <c r="X121" s="1042"/>
      <c r="Y121" s="1042"/>
      <c r="Z121" s="1042"/>
      <c r="AA121" s="1496"/>
      <c r="AB121" s="473"/>
      <c r="AC121" s="473"/>
      <c r="AD121" s="473"/>
      <c r="AE121" s="473"/>
    </row>
    <row r="122" spans="1:31" s="4866" customFormat="1" ht="11.25" customHeight="1">
      <c r="A122" s="877"/>
      <c r="B122" s="1500"/>
      <c r="C122" s="1500"/>
      <c r="D122" s="268"/>
      <c r="K122" s="1042"/>
      <c r="L122" s="1500"/>
      <c r="M122" s="1500"/>
      <c r="N122" s="1042"/>
      <c r="O122" s="1042"/>
      <c r="P122" s="1042"/>
      <c r="Q122" s="1042"/>
      <c r="R122" s="1500"/>
      <c r="S122" s="1042"/>
      <c r="T122" s="1042"/>
      <c r="U122" s="451"/>
      <c r="V122" s="1042"/>
      <c r="W122" s="1042"/>
      <c r="X122" s="1042"/>
      <c r="Y122" s="1042"/>
      <c r="Z122" s="1042"/>
      <c r="AA122" s="1496"/>
      <c r="AB122" s="473"/>
      <c r="AC122" s="473"/>
      <c r="AD122" s="473"/>
      <c r="AE122" s="473"/>
    </row>
    <row r="123" spans="1:31" s="4866" customFormat="1" ht="11.25" customHeight="1">
      <c r="A123" s="877"/>
      <c r="B123" s="1500"/>
      <c r="C123" s="1500"/>
      <c r="D123" s="268"/>
      <c r="K123" s="1042"/>
      <c r="L123" s="1500"/>
      <c r="M123" s="1500"/>
      <c r="N123" s="1042"/>
      <c r="O123" s="1042"/>
      <c r="P123" s="1042"/>
      <c r="Q123" s="1042"/>
      <c r="R123" s="1500"/>
      <c r="S123" s="1042"/>
      <c r="T123" s="1042"/>
      <c r="U123" s="451"/>
      <c r="V123" s="1042"/>
      <c r="W123" s="1042"/>
      <c r="X123" s="1042"/>
      <c r="Y123" s="1042"/>
      <c r="Z123" s="1042"/>
      <c r="AA123" s="1496"/>
      <c r="AB123" s="473"/>
      <c r="AC123" s="473"/>
      <c r="AD123" s="473"/>
      <c r="AE123" s="473"/>
    </row>
    <row r="124" spans="1:31" s="4866" customFormat="1" ht="11.25" customHeight="1">
      <c r="A124" s="877"/>
      <c r="B124" s="1500"/>
      <c r="C124" s="1500"/>
      <c r="D124" s="268"/>
      <c r="K124" s="1042"/>
      <c r="L124" s="1500"/>
      <c r="M124" s="1500"/>
      <c r="N124" s="1042"/>
      <c r="O124" s="1042"/>
      <c r="P124" s="1042"/>
      <c r="Q124" s="1042"/>
      <c r="R124" s="1500"/>
      <c r="S124" s="1042"/>
      <c r="T124" s="1042"/>
      <c r="U124" s="451"/>
      <c r="V124" s="1042"/>
      <c r="W124" s="1042"/>
      <c r="X124" s="1042"/>
      <c r="Y124" s="1042"/>
      <c r="Z124" s="1042"/>
      <c r="AA124" s="1496"/>
      <c r="AB124" s="473"/>
      <c r="AC124" s="473"/>
      <c r="AD124" s="473"/>
      <c r="AE124" s="473"/>
    </row>
    <row r="125" spans="1:31" s="4866" customFormat="1" ht="11.25" customHeight="1">
      <c r="A125" s="877"/>
      <c r="B125" s="1500"/>
      <c r="C125" s="1500"/>
      <c r="D125" s="268"/>
      <c r="K125" s="1042"/>
      <c r="L125" s="1500"/>
      <c r="M125" s="1500"/>
      <c r="N125" s="1042"/>
      <c r="O125" s="1042"/>
      <c r="P125" s="1042"/>
      <c r="Q125" s="1042"/>
      <c r="R125" s="1500"/>
      <c r="S125" s="1042"/>
      <c r="T125" s="1042"/>
      <c r="U125" s="451"/>
      <c r="V125" s="1042"/>
      <c r="W125" s="1042"/>
      <c r="X125" s="1042"/>
      <c r="Y125" s="1042"/>
      <c r="Z125" s="1042"/>
      <c r="AA125" s="1496"/>
      <c r="AB125" s="473"/>
      <c r="AC125" s="473"/>
      <c r="AD125" s="473"/>
      <c r="AE125" s="473"/>
    </row>
    <row r="126" spans="1:31" s="4866" customFormat="1" ht="11.25" customHeight="1">
      <c r="A126" s="877"/>
      <c r="B126" s="1500"/>
      <c r="C126" s="1500"/>
      <c r="D126" s="268"/>
      <c r="K126" s="1042"/>
      <c r="L126" s="1500"/>
      <c r="M126" s="1500"/>
      <c r="N126" s="1042"/>
      <c r="O126" s="1042"/>
      <c r="P126" s="1042"/>
      <c r="Q126" s="1042"/>
      <c r="R126" s="1500"/>
      <c r="S126" s="1042"/>
      <c r="T126" s="1042"/>
      <c r="U126" s="451"/>
      <c r="V126" s="1042"/>
      <c r="W126" s="1042"/>
      <c r="X126" s="1042"/>
      <c r="Y126" s="1042"/>
      <c r="Z126" s="1042"/>
      <c r="AA126" s="1496"/>
      <c r="AB126" s="473"/>
      <c r="AC126" s="473"/>
      <c r="AD126" s="473"/>
      <c r="AE126" s="473"/>
    </row>
    <row r="127" spans="1:31" s="4866" customFormat="1" ht="11.25" customHeight="1">
      <c r="A127" s="877"/>
      <c r="B127" s="1500"/>
      <c r="C127" s="1500"/>
      <c r="D127" s="268"/>
      <c r="K127" s="1042"/>
      <c r="L127" s="1500"/>
      <c r="M127" s="1500"/>
      <c r="N127" s="1042"/>
      <c r="O127" s="1042"/>
      <c r="P127" s="1042"/>
      <c r="Q127" s="1042"/>
      <c r="R127" s="1500"/>
      <c r="S127" s="1042"/>
      <c r="T127" s="1042"/>
      <c r="U127" s="451"/>
      <c r="V127" s="1042"/>
      <c r="W127" s="1042"/>
      <c r="X127" s="1042"/>
      <c r="Y127" s="1042"/>
      <c r="Z127" s="1042"/>
      <c r="AA127" s="1496"/>
      <c r="AB127" s="473"/>
      <c r="AC127" s="473"/>
      <c r="AD127" s="473"/>
      <c r="AE127" s="473"/>
    </row>
    <row r="128" spans="1:31" s="4866" customFormat="1" ht="11.25" customHeight="1">
      <c r="A128" s="877"/>
      <c r="B128" s="1500"/>
      <c r="C128" s="1500"/>
      <c r="D128" s="268"/>
      <c r="K128" s="1042"/>
      <c r="L128" s="1500"/>
      <c r="M128" s="1500"/>
      <c r="N128" s="1042"/>
      <c r="O128" s="1042"/>
      <c r="P128" s="1042"/>
      <c r="Q128" s="1042"/>
      <c r="R128" s="1500"/>
      <c r="S128" s="1042"/>
      <c r="T128" s="1042"/>
      <c r="U128" s="451"/>
      <c r="V128" s="1042"/>
      <c r="W128" s="1042"/>
      <c r="X128" s="1042"/>
      <c r="Y128" s="1042"/>
      <c r="Z128" s="1042"/>
      <c r="AA128" s="1496"/>
      <c r="AB128" s="473"/>
      <c r="AC128" s="473"/>
      <c r="AD128" s="473"/>
      <c r="AE128" s="473"/>
    </row>
    <row r="129" spans="1:31" s="4866" customFormat="1" ht="11.25" customHeight="1">
      <c r="A129" s="877"/>
      <c r="B129" s="1500"/>
      <c r="C129" s="1500"/>
      <c r="D129" s="268"/>
      <c r="K129" s="1042"/>
      <c r="L129" s="1500"/>
      <c r="M129" s="1500"/>
      <c r="N129" s="1042"/>
      <c r="O129" s="1042"/>
      <c r="P129" s="1042"/>
      <c r="Q129" s="1042"/>
      <c r="R129" s="1500"/>
      <c r="S129" s="1042"/>
      <c r="T129" s="1042"/>
      <c r="U129" s="451"/>
      <c r="V129" s="1042"/>
      <c r="W129" s="1042"/>
      <c r="X129" s="1042"/>
      <c r="Y129" s="1042"/>
      <c r="Z129" s="1042"/>
      <c r="AA129" s="1496"/>
      <c r="AB129" s="473"/>
      <c r="AC129" s="473"/>
      <c r="AD129" s="473"/>
      <c r="AE129" s="473"/>
    </row>
    <row r="130" spans="1:31" s="4866" customFormat="1" ht="11.25" customHeight="1">
      <c r="A130" s="877"/>
      <c r="B130" s="1500"/>
      <c r="C130" s="1500"/>
      <c r="D130" s="268"/>
      <c r="K130" s="1042"/>
      <c r="L130" s="1500"/>
      <c r="M130" s="1500"/>
      <c r="N130" s="1042"/>
      <c r="O130" s="1042"/>
      <c r="P130" s="1042"/>
      <c r="Q130" s="1042"/>
      <c r="R130" s="1500"/>
      <c r="S130" s="1042"/>
      <c r="T130" s="1042"/>
      <c r="U130" s="451"/>
      <c r="V130" s="1042"/>
      <c r="W130" s="1042"/>
      <c r="X130" s="1042"/>
      <c r="Y130" s="1042"/>
      <c r="Z130" s="1042"/>
      <c r="AA130" s="1496"/>
      <c r="AB130" s="473"/>
      <c r="AC130" s="473"/>
      <c r="AD130" s="473"/>
      <c r="AE130" s="473"/>
    </row>
    <row r="131" spans="1:31" s="4866" customFormat="1" ht="11.25" customHeight="1">
      <c r="A131" s="877"/>
      <c r="B131" s="1500"/>
      <c r="C131" s="1500"/>
      <c r="D131" s="268"/>
      <c r="K131" s="1042"/>
      <c r="L131" s="1500"/>
      <c r="M131" s="1500"/>
      <c r="N131" s="1042"/>
      <c r="O131" s="1042"/>
      <c r="P131" s="1042"/>
      <c r="Q131" s="1042"/>
      <c r="R131" s="1500"/>
      <c r="S131" s="1042"/>
      <c r="T131" s="1042"/>
      <c r="U131" s="451"/>
      <c r="V131" s="1042"/>
      <c r="W131" s="1042"/>
      <c r="X131" s="1042"/>
      <c r="Y131" s="1042"/>
      <c r="Z131" s="1042"/>
      <c r="AA131" s="1496"/>
      <c r="AB131" s="473"/>
      <c r="AC131" s="473"/>
      <c r="AD131" s="473"/>
      <c r="AE131" s="473"/>
    </row>
    <row r="132" spans="1:31" s="4866" customFormat="1" ht="11.25" customHeight="1">
      <c r="A132" s="877"/>
      <c r="B132" s="1500"/>
      <c r="C132" s="1500"/>
      <c r="D132" s="268"/>
      <c r="K132" s="1042"/>
      <c r="L132" s="1500"/>
      <c r="M132" s="1500"/>
      <c r="N132" s="1042"/>
      <c r="O132" s="1042"/>
      <c r="P132" s="1042"/>
      <c r="Q132" s="1042"/>
      <c r="R132" s="1500"/>
      <c r="S132" s="1042"/>
      <c r="T132" s="1042"/>
      <c r="U132" s="451"/>
      <c r="V132" s="1042"/>
      <c r="W132" s="1042"/>
      <c r="X132" s="1042"/>
      <c r="Y132" s="1042"/>
      <c r="Z132" s="1042"/>
      <c r="AA132" s="1496"/>
      <c r="AB132" s="473"/>
      <c r="AC132" s="473"/>
      <c r="AD132" s="473"/>
      <c r="AE132" s="473"/>
    </row>
    <row r="133" spans="1:31" s="4866" customFormat="1" ht="11.25" customHeight="1">
      <c r="A133" s="877"/>
      <c r="B133" s="1500"/>
      <c r="C133" s="1500"/>
      <c r="D133" s="268"/>
      <c r="K133" s="1042"/>
      <c r="L133" s="1500"/>
      <c r="M133" s="1500"/>
      <c r="N133" s="1042"/>
      <c r="O133" s="1042"/>
      <c r="P133" s="1042"/>
      <c r="Q133" s="1042"/>
      <c r="R133" s="1500"/>
      <c r="S133" s="1042"/>
      <c r="T133" s="1042"/>
      <c r="U133" s="451"/>
      <c r="V133" s="1042"/>
      <c r="W133" s="1042"/>
      <c r="X133" s="1042"/>
      <c r="Y133" s="1042"/>
      <c r="Z133" s="1042"/>
      <c r="AA133" s="1496"/>
      <c r="AB133" s="473"/>
      <c r="AC133" s="473"/>
      <c r="AD133" s="473"/>
      <c r="AE133" s="473"/>
    </row>
    <row r="134" spans="1:31" s="4866" customFormat="1" ht="11.25" customHeight="1">
      <c r="A134" s="877"/>
      <c r="B134" s="1500"/>
      <c r="C134" s="1500"/>
      <c r="D134" s="268"/>
      <c r="K134" s="1042"/>
      <c r="L134" s="1500"/>
      <c r="M134" s="1500"/>
      <c r="N134" s="1042"/>
      <c r="O134" s="1042"/>
      <c r="P134" s="1042"/>
      <c r="Q134" s="1042"/>
      <c r="R134" s="1500"/>
      <c r="S134" s="1042"/>
      <c r="T134" s="1042"/>
      <c r="U134" s="451"/>
      <c r="V134" s="1042"/>
      <c r="W134" s="1042"/>
      <c r="X134" s="1042"/>
      <c r="Y134" s="1042"/>
      <c r="Z134" s="1042"/>
      <c r="AA134" s="1496"/>
      <c r="AB134" s="473"/>
      <c r="AC134" s="473"/>
      <c r="AD134" s="473"/>
      <c r="AE134" s="473"/>
    </row>
    <row r="135" spans="1:31" s="4866" customFormat="1" ht="11.25" customHeight="1">
      <c r="A135" s="877"/>
      <c r="B135" s="1500"/>
      <c r="C135" s="1500"/>
      <c r="D135" s="268"/>
      <c r="K135" s="1042"/>
      <c r="L135" s="1500"/>
      <c r="M135" s="1500"/>
      <c r="N135" s="1042"/>
      <c r="O135" s="1042"/>
      <c r="P135" s="1042"/>
      <c r="Q135" s="1042"/>
      <c r="R135" s="1500"/>
      <c r="S135" s="1042"/>
      <c r="T135" s="1042"/>
      <c r="U135" s="451"/>
      <c r="V135" s="1042"/>
      <c r="W135" s="1042"/>
      <c r="X135" s="1042"/>
      <c r="Y135" s="1042"/>
      <c r="Z135" s="1042"/>
      <c r="AA135" s="1496"/>
      <c r="AB135" s="473"/>
      <c r="AC135" s="473"/>
      <c r="AD135" s="473"/>
      <c r="AE135" s="473"/>
    </row>
    <row r="136" spans="1:31" s="4866" customFormat="1" ht="11.25" customHeight="1">
      <c r="A136" s="877"/>
      <c r="B136" s="1500"/>
      <c r="C136" s="1500"/>
      <c r="D136" s="268"/>
      <c r="K136" s="1042"/>
      <c r="L136" s="1500"/>
      <c r="M136" s="1500"/>
      <c r="N136" s="1042"/>
      <c r="O136" s="1042"/>
      <c r="P136" s="1042"/>
      <c r="Q136" s="1042"/>
      <c r="R136" s="1500"/>
      <c r="S136" s="1042"/>
      <c r="T136" s="1042"/>
      <c r="U136" s="451"/>
      <c r="V136" s="1042"/>
      <c r="W136" s="1042"/>
      <c r="X136" s="1042"/>
      <c r="Y136" s="1042"/>
      <c r="Z136" s="1042"/>
      <c r="AA136" s="1496"/>
      <c r="AB136" s="473"/>
      <c r="AC136" s="473"/>
      <c r="AD136" s="473"/>
      <c r="AE136" s="473"/>
    </row>
    <row r="137" spans="1:31" s="4866" customFormat="1" ht="11.25" customHeight="1">
      <c r="A137" s="877"/>
      <c r="B137" s="1500"/>
      <c r="C137" s="1500"/>
      <c r="D137" s="268"/>
      <c r="K137" s="1042"/>
      <c r="L137" s="1500"/>
      <c r="M137" s="1500"/>
      <c r="N137" s="1042"/>
      <c r="O137" s="1042"/>
      <c r="P137" s="1042"/>
      <c r="Q137" s="1042"/>
      <c r="R137" s="1500"/>
      <c r="S137" s="1042"/>
      <c r="T137" s="1042"/>
      <c r="U137" s="451"/>
      <c r="V137" s="1042"/>
      <c r="W137" s="1042"/>
      <c r="X137" s="1042"/>
      <c r="Y137" s="1042"/>
      <c r="Z137" s="1042"/>
      <c r="AA137" s="1496"/>
      <c r="AB137" s="473"/>
      <c r="AC137" s="473"/>
      <c r="AD137" s="473"/>
      <c r="AE137" s="473"/>
    </row>
    <row r="138" spans="1:31" s="4866" customFormat="1" ht="11.25" customHeight="1">
      <c r="A138" s="877"/>
      <c r="B138" s="1500"/>
      <c r="C138" s="1500"/>
      <c r="D138" s="268"/>
      <c r="K138" s="1042"/>
      <c r="L138" s="1500"/>
      <c r="M138" s="1500"/>
      <c r="N138" s="1042"/>
      <c r="O138" s="1042"/>
      <c r="P138" s="1042"/>
      <c r="Q138" s="1042"/>
      <c r="R138" s="1500"/>
      <c r="S138" s="1042"/>
      <c r="T138" s="1042"/>
      <c r="U138" s="451"/>
      <c r="V138" s="1042"/>
      <c r="W138" s="1042"/>
      <c r="X138" s="1042"/>
      <c r="Y138" s="1042"/>
      <c r="Z138" s="1042"/>
      <c r="AA138" s="1496"/>
      <c r="AB138" s="473"/>
      <c r="AC138" s="473"/>
      <c r="AD138" s="473"/>
      <c r="AE138" s="473"/>
    </row>
    <row r="139" spans="1:31" s="4866" customFormat="1" ht="11.25" customHeight="1">
      <c r="A139" s="877"/>
      <c r="B139" s="1500"/>
      <c r="C139" s="1500"/>
      <c r="D139" s="268"/>
      <c r="K139" s="1042"/>
      <c r="L139" s="1500"/>
      <c r="M139" s="1500"/>
      <c r="N139" s="1042"/>
      <c r="O139" s="1042"/>
      <c r="P139" s="1042"/>
      <c r="Q139" s="1042"/>
      <c r="R139" s="1500"/>
      <c r="S139" s="1042"/>
      <c r="T139" s="1042"/>
      <c r="U139" s="451"/>
      <c r="V139" s="1042"/>
      <c r="W139" s="1042"/>
      <c r="X139" s="1042"/>
      <c r="Y139" s="1042"/>
      <c r="Z139" s="1042"/>
      <c r="AA139" s="1496"/>
      <c r="AB139" s="473"/>
      <c r="AC139" s="473"/>
      <c r="AD139" s="473"/>
      <c r="AE139" s="473"/>
    </row>
    <row r="140" spans="1:31" s="4866" customFormat="1" ht="11.25" customHeight="1">
      <c r="A140" s="877"/>
      <c r="B140" s="1500"/>
      <c r="C140" s="1500"/>
      <c r="D140" s="268"/>
      <c r="K140" s="1042"/>
      <c r="L140" s="1500"/>
      <c r="M140" s="1500"/>
      <c r="N140" s="1042"/>
      <c r="O140" s="1042"/>
      <c r="P140" s="1042"/>
      <c r="Q140" s="1042"/>
      <c r="R140" s="1500"/>
      <c r="S140" s="1042"/>
      <c r="T140" s="1042"/>
      <c r="U140" s="451"/>
      <c r="V140" s="1042"/>
      <c r="W140" s="1042"/>
      <c r="X140" s="1042"/>
      <c r="Y140" s="1042"/>
      <c r="Z140" s="1042"/>
      <c r="AA140" s="1496"/>
      <c r="AB140" s="473"/>
      <c r="AC140" s="473"/>
      <c r="AD140" s="473"/>
      <c r="AE140" s="473"/>
    </row>
    <row r="141" spans="1:31" s="4866" customFormat="1" ht="11.25" customHeight="1">
      <c r="A141" s="877"/>
      <c r="B141" s="1500"/>
      <c r="C141" s="1500"/>
      <c r="D141" s="268"/>
      <c r="K141" s="1042"/>
      <c r="L141" s="1500"/>
      <c r="M141" s="1500"/>
      <c r="N141" s="1042"/>
      <c r="O141" s="1042"/>
      <c r="P141" s="1042"/>
      <c r="Q141" s="1042"/>
      <c r="R141" s="1500"/>
      <c r="S141" s="1042"/>
      <c r="T141" s="1042"/>
      <c r="U141" s="451"/>
      <c r="V141" s="1042"/>
      <c r="W141" s="1042"/>
      <c r="X141" s="1042"/>
      <c r="Y141" s="1042"/>
      <c r="Z141" s="1042"/>
      <c r="AA141" s="1496"/>
      <c r="AB141" s="473"/>
      <c r="AC141" s="473"/>
      <c r="AD141" s="473"/>
      <c r="AE141" s="473"/>
    </row>
    <row r="142" spans="1:31" s="4866" customFormat="1" ht="11.25" customHeight="1">
      <c r="A142" s="877"/>
      <c r="B142" s="1500"/>
      <c r="C142" s="1500"/>
      <c r="D142" s="268"/>
      <c r="K142" s="1042"/>
      <c r="L142" s="1500"/>
      <c r="M142" s="1500"/>
      <c r="N142" s="1042"/>
      <c r="O142" s="1042"/>
      <c r="P142" s="1042"/>
      <c r="Q142" s="1042"/>
      <c r="R142" s="1500"/>
      <c r="S142" s="1042"/>
      <c r="T142" s="1042"/>
      <c r="U142" s="451"/>
      <c r="V142" s="1042"/>
      <c r="W142" s="1042"/>
      <c r="X142" s="1042"/>
      <c r="Y142" s="1042"/>
      <c r="Z142" s="1042"/>
      <c r="AA142" s="1496"/>
      <c r="AB142" s="473"/>
      <c r="AC142" s="473"/>
      <c r="AD142" s="473"/>
      <c r="AE142" s="473"/>
    </row>
    <row r="143" spans="1:31" s="4866" customFormat="1" ht="11.25" customHeight="1">
      <c r="A143" s="877"/>
      <c r="B143" s="1500"/>
      <c r="C143" s="1500"/>
      <c r="D143" s="268"/>
      <c r="K143" s="1042"/>
      <c r="L143" s="1500"/>
      <c r="M143" s="1500"/>
      <c r="N143" s="1042"/>
      <c r="O143" s="1042"/>
      <c r="P143" s="1042"/>
      <c r="Q143" s="1042"/>
      <c r="R143" s="1500"/>
      <c r="S143" s="1042"/>
      <c r="T143" s="1042"/>
      <c r="U143" s="451"/>
      <c r="V143" s="1042"/>
      <c r="W143" s="1042"/>
      <c r="X143" s="1042"/>
      <c r="Y143" s="1042"/>
      <c r="Z143" s="1042"/>
      <c r="AA143" s="1496"/>
      <c r="AB143" s="473"/>
      <c r="AC143" s="473"/>
      <c r="AD143" s="473"/>
      <c r="AE143" s="473"/>
    </row>
    <row r="144" spans="1:31" s="4866" customFormat="1" ht="11.25" customHeight="1">
      <c r="A144" s="877"/>
      <c r="B144" s="1500"/>
      <c r="C144" s="1500"/>
      <c r="D144" s="268"/>
      <c r="K144" s="1042"/>
      <c r="L144" s="1500"/>
      <c r="M144" s="1500"/>
      <c r="N144" s="1042"/>
      <c r="O144" s="1042"/>
      <c r="P144" s="1042"/>
      <c r="Q144" s="1042"/>
      <c r="R144" s="1500"/>
      <c r="S144" s="1042"/>
      <c r="T144" s="1042"/>
      <c r="U144" s="451"/>
      <c r="V144" s="1042"/>
      <c r="W144" s="1042"/>
      <c r="X144" s="1042"/>
      <c r="Y144" s="1042"/>
      <c r="Z144" s="1042"/>
      <c r="AA144" s="1496"/>
      <c r="AB144" s="473"/>
      <c r="AC144" s="473"/>
      <c r="AD144" s="473"/>
      <c r="AE144" s="473"/>
    </row>
    <row r="145" spans="1:31" s="4866" customFormat="1" ht="11.25" customHeight="1">
      <c r="A145" s="877"/>
      <c r="B145" s="1500"/>
      <c r="C145" s="1500"/>
      <c r="D145" s="268"/>
      <c r="K145" s="1042"/>
      <c r="L145" s="1500"/>
      <c r="M145" s="1500"/>
      <c r="N145" s="1042"/>
      <c r="O145" s="1042"/>
      <c r="P145" s="1042"/>
      <c r="Q145" s="1042"/>
      <c r="R145" s="1500"/>
      <c r="S145" s="1042"/>
      <c r="T145" s="1042"/>
      <c r="U145" s="451"/>
      <c r="V145" s="1042"/>
      <c r="W145" s="1042"/>
      <c r="X145" s="1042"/>
      <c r="Y145" s="1042"/>
      <c r="Z145" s="1042"/>
      <c r="AA145" s="1496"/>
      <c r="AB145" s="473"/>
      <c r="AC145" s="473"/>
      <c r="AD145" s="473"/>
      <c r="AE145" s="473"/>
    </row>
    <row r="146" spans="1:31" s="4866" customFormat="1" ht="11.25" customHeight="1">
      <c r="A146" s="877"/>
      <c r="B146" s="1500"/>
      <c r="C146" s="1500"/>
      <c r="D146" s="268"/>
      <c r="K146" s="1042"/>
      <c r="L146" s="1500"/>
      <c r="M146" s="1500"/>
      <c r="N146" s="1042"/>
      <c r="O146" s="1042"/>
      <c r="P146" s="1042"/>
      <c r="Q146" s="1042"/>
      <c r="R146" s="1500"/>
      <c r="S146" s="1042"/>
      <c r="T146" s="1042"/>
      <c r="U146" s="451"/>
      <c r="V146" s="1042"/>
      <c r="W146" s="1042"/>
      <c r="X146" s="1042"/>
      <c r="Y146" s="1042"/>
      <c r="Z146" s="1042"/>
      <c r="AA146" s="1496"/>
      <c r="AB146" s="473"/>
      <c r="AC146" s="473"/>
      <c r="AD146" s="473"/>
      <c r="AE146" s="473"/>
    </row>
    <row r="147" spans="1:31" s="4866" customFormat="1" ht="11.25" customHeight="1">
      <c r="A147" s="877"/>
      <c r="B147" s="1500"/>
      <c r="C147" s="1500"/>
      <c r="D147" s="268"/>
      <c r="K147" s="1042"/>
      <c r="L147" s="1500"/>
      <c r="M147" s="1500"/>
      <c r="N147" s="1042"/>
      <c r="O147" s="1042"/>
      <c r="P147" s="1042"/>
      <c r="Q147" s="1042"/>
      <c r="R147" s="1500"/>
      <c r="S147" s="1042"/>
      <c r="T147" s="1042"/>
      <c r="U147" s="451"/>
      <c r="V147" s="1042"/>
      <c r="W147" s="1042"/>
      <c r="X147" s="1042"/>
      <c r="Y147" s="1042"/>
      <c r="Z147" s="1042"/>
      <c r="AA147" s="1496"/>
      <c r="AB147" s="473"/>
      <c r="AC147" s="473"/>
      <c r="AD147" s="473"/>
      <c r="AE147" s="473"/>
    </row>
    <row r="148" spans="1:31" s="4866" customFormat="1" ht="11.25" customHeight="1">
      <c r="A148" s="877"/>
      <c r="B148" s="1500"/>
      <c r="C148" s="1500"/>
      <c r="D148" s="268"/>
      <c r="K148" s="1042"/>
      <c r="L148" s="1500"/>
      <c r="M148" s="1500"/>
      <c r="N148" s="1042"/>
      <c r="O148" s="1042"/>
      <c r="P148" s="1042"/>
      <c r="Q148" s="1042"/>
      <c r="R148" s="1500"/>
      <c r="S148" s="1042"/>
      <c r="T148" s="1042"/>
      <c r="U148" s="451"/>
      <c r="V148" s="1042"/>
      <c r="W148" s="1042"/>
      <c r="X148" s="1042"/>
      <c r="Y148" s="1042"/>
      <c r="Z148" s="1042"/>
      <c r="AA148" s="1496"/>
      <c r="AB148" s="473"/>
      <c r="AC148" s="473"/>
      <c r="AD148" s="473"/>
      <c r="AE148" s="473"/>
    </row>
    <row r="149" spans="1:31" s="4866" customFormat="1" ht="11.25" customHeight="1">
      <c r="A149" s="877"/>
      <c r="B149" s="1500"/>
      <c r="C149" s="1500"/>
      <c r="D149" s="268"/>
      <c r="K149" s="1042"/>
      <c r="L149" s="1500"/>
      <c r="M149" s="1500"/>
      <c r="N149" s="1042"/>
      <c r="O149" s="1042"/>
      <c r="P149" s="1042"/>
      <c r="Q149" s="1042"/>
      <c r="R149" s="1500"/>
      <c r="S149" s="1042"/>
      <c r="T149" s="1042"/>
      <c r="U149" s="451"/>
      <c r="V149" s="1042"/>
      <c r="W149" s="1042"/>
      <c r="X149" s="1042"/>
      <c r="Y149" s="1042"/>
      <c r="Z149" s="1042"/>
      <c r="AA149" s="1496"/>
      <c r="AB149" s="473"/>
      <c r="AC149" s="473"/>
      <c r="AD149" s="473"/>
      <c r="AE149" s="473"/>
    </row>
    <row r="150" spans="1:31" s="4866" customFormat="1" ht="11.25" customHeight="1">
      <c r="A150" s="877"/>
      <c r="B150" s="1500"/>
      <c r="C150" s="1500"/>
      <c r="D150" s="268"/>
      <c r="K150" s="1042"/>
      <c r="L150" s="1500"/>
      <c r="M150" s="1500"/>
      <c r="N150" s="1042"/>
      <c r="O150" s="1042"/>
      <c r="P150" s="1042"/>
      <c r="Q150" s="1042"/>
      <c r="R150" s="1500"/>
      <c r="S150" s="1042"/>
      <c r="T150" s="1042"/>
      <c r="U150" s="451"/>
      <c r="V150" s="1042"/>
      <c r="W150" s="1042"/>
      <c r="X150" s="1042"/>
      <c r="Y150" s="1042"/>
      <c r="Z150" s="1042"/>
      <c r="AA150" s="1496"/>
      <c r="AB150" s="473"/>
      <c r="AC150" s="473"/>
      <c r="AD150" s="473"/>
      <c r="AE150" s="473"/>
    </row>
    <row r="151" spans="1:31" s="4866" customFormat="1" ht="11.25" customHeight="1">
      <c r="A151" s="877"/>
      <c r="B151" s="1500"/>
      <c r="C151" s="1500"/>
      <c r="D151" s="268"/>
      <c r="K151" s="1042"/>
      <c r="L151" s="1500"/>
      <c r="M151" s="1500"/>
      <c r="N151" s="1042"/>
      <c r="O151" s="1042"/>
      <c r="P151" s="1042"/>
      <c r="Q151" s="1042"/>
      <c r="R151" s="1500"/>
      <c r="S151" s="1042"/>
      <c r="T151" s="1042"/>
      <c r="U151" s="451"/>
      <c r="V151" s="1042"/>
      <c r="W151" s="1042"/>
      <c r="X151" s="1042"/>
      <c r="Y151" s="1042"/>
      <c r="Z151" s="1042"/>
      <c r="AA151" s="1496"/>
      <c r="AB151" s="473"/>
      <c r="AC151" s="473"/>
      <c r="AD151" s="473"/>
      <c r="AE151" s="473"/>
    </row>
    <row r="152" spans="1:31" s="4866" customFormat="1" ht="11.25" customHeight="1">
      <c r="A152" s="877"/>
      <c r="B152" s="1500"/>
      <c r="C152" s="1500"/>
      <c r="D152" s="268"/>
      <c r="K152" s="1042"/>
      <c r="L152" s="1500"/>
      <c r="M152" s="1500"/>
      <c r="N152" s="1042"/>
      <c r="O152" s="1042"/>
      <c r="P152" s="1042"/>
      <c r="Q152" s="1042"/>
      <c r="R152" s="1500"/>
      <c r="S152" s="1042"/>
      <c r="T152" s="1042"/>
      <c r="U152" s="451"/>
      <c r="V152" s="1042"/>
      <c r="W152" s="1042"/>
      <c r="X152" s="1042"/>
      <c r="Y152" s="1042"/>
      <c r="Z152" s="1042"/>
      <c r="AA152" s="1496"/>
      <c r="AB152" s="473"/>
      <c r="AC152" s="473"/>
      <c r="AD152" s="473"/>
      <c r="AE152" s="473"/>
    </row>
    <row r="153" spans="1:31" s="4866" customFormat="1" ht="11.25" customHeight="1">
      <c r="A153" s="877"/>
      <c r="B153" s="1500"/>
      <c r="C153" s="1500"/>
      <c r="D153" s="268"/>
      <c r="K153" s="1042"/>
      <c r="L153" s="1500"/>
      <c r="M153" s="1500"/>
      <c r="N153" s="1042"/>
      <c r="O153" s="1042"/>
      <c r="P153" s="1042"/>
      <c r="Q153" s="1042"/>
      <c r="R153" s="1500"/>
      <c r="S153" s="1042"/>
      <c r="T153" s="1042"/>
      <c r="U153" s="451"/>
      <c r="V153" s="1042"/>
      <c r="W153" s="1042"/>
      <c r="X153" s="1042"/>
      <c r="Y153" s="1042"/>
      <c r="Z153" s="1042"/>
      <c r="AA153" s="1496"/>
      <c r="AB153" s="473"/>
      <c r="AC153" s="473"/>
      <c r="AD153" s="473"/>
      <c r="AE153" s="473"/>
    </row>
    <row r="154" spans="1:31" s="4866" customFormat="1" ht="11.25" customHeight="1">
      <c r="A154" s="877"/>
      <c r="B154" s="1500"/>
      <c r="C154" s="1500"/>
      <c r="D154" s="268"/>
      <c r="K154" s="1042"/>
      <c r="L154" s="1500"/>
      <c r="M154" s="1500"/>
      <c r="N154" s="1042"/>
      <c r="O154" s="1042"/>
      <c r="P154" s="1042"/>
      <c r="Q154" s="1042"/>
      <c r="R154" s="1500"/>
      <c r="S154" s="1042"/>
      <c r="T154" s="1042"/>
      <c r="U154" s="451"/>
      <c r="V154" s="1042"/>
      <c r="W154" s="1042"/>
      <c r="X154" s="1042"/>
      <c r="Y154" s="1042"/>
      <c r="Z154" s="1042"/>
      <c r="AA154" s="1496"/>
      <c r="AB154" s="473"/>
      <c r="AC154" s="473"/>
      <c r="AD154" s="473"/>
      <c r="AE154" s="473"/>
    </row>
    <row r="155" spans="1:31" s="4866" customFormat="1" ht="11.25" customHeight="1">
      <c r="A155" s="877"/>
      <c r="B155" s="1500"/>
      <c r="C155" s="1500"/>
      <c r="D155" s="268"/>
      <c r="K155" s="1042"/>
      <c r="L155" s="1500"/>
      <c r="M155" s="1500"/>
      <c r="N155" s="1042"/>
      <c r="O155" s="1042"/>
      <c r="P155" s="1042"/>
      <c r="Q155" s="1042"/>
      <c r="R155" s="1500"/>
      <c r="S155" s="1042"/>
      <c r="T155" s="1042"/>
      <c r="U155" s="451"/>
      <c r="V155" s="1042"/>
      <c r="W155" s="1042"/>
      <c r="X155" s="1042"/>
      <c r="Y155" s="1042"/>
      <c r="Z155" s="1042"/>
      <c r="AA155" s="1496"/>
      <c r="AB155" s="473"/>
      <c r="AC155" s="473"/>
      <c r="AD155" s="473"/>
      <c r="AE155" s="473"/>
    </row>
    <row r="156" spans="1:31" s="4866" customFormat="1" ht="11.25" customHeight="1">
      <c r="A156" s="877"/>
      <c r="B156" s="1500"/>
      <c r="C156" s="1500"/>
      <c r="D156" s="268"/>
      <c r="K156" s="1042"/>
      <c r="L156" s="1500"/>
      <c r="M156" s="1500"/>
      <c r="N156" s="1042"/>
      <c r="O156" s="1042"/>
      <c r="P156" s="1042"/>
      <c r="Q156" s="1042"/>
      <c r="R156" s="1500"/>
      <c r="S156" s="1042"/>
      <c r="T156" s="1042"/>
      <c r="U156" s="451"/>
      <c r="V156" s="1042"/>
      <c r="W156" s="1042"/>
      <c r="X156" s="1042"/>
      <c r="Y156" s="1042"/>
      <c r="Z156" s="1042"/>
      <c r="AA156" s="1496"/>
      <c r="AB156" s="473"/>
      <c r="AC156" s="473"/>
      <c r="AD156" s="473"/>
      <c r="AE156" s="473"/>
    </row>
    <row r="157" spans="1:31" s="4866" customFormat="1" ht="11.25" customHeight="1">
      <c r="A157" s="877"/>
      <c r="B157" s="1500"/>
      <c r="C157" s="1500"/>
      <c r="D157" s="268"/>
      <c r="K157" s="1042"/>
      <c r="L157" s="1500"/>
      <c r="M157" s="1500"/>
      <c r="N157" s="1042"/>
      <c r="O157" s="1042"/>
      <c r="P157" s="1042"/>
      <c r="Q157" s="1042"/>
      <c r="R157" s="1500"/>
      <c r="S157" s="1042"/>
      <c r="T157" s="1042"/>
      <c r="U157" s="451"/>
      <c r="V157" s="1042"/>
      <c r="W157" s="1042"/>
      <c r="X157" s="1042"/>
      <c r="Y157" s="1042"/>
      <c r="Z157" s="1042"/>
      <c r="AA157" s="1496"/>
      <c r="AB157" s="473"/>
      <c r="AC157" s="473"/>
      <c r="AD157" s="473"/>
      <c r="AE157" s="473"/>
    </row>
    <row r="158" spans="1:31" s="4866" customFormat="1" ht="11.25" customHeight="1">
      <c r="A158" s="877"/>
      <c r="B158" s="1500"/>
      <c r="C158" s="1500"/>
      <c r="D158" s="268"/>
      <c r="K158" s="1042"/>
      <c r="L158" s="1500"/>
      <c r="M158" s="1500"/>
      <c r="N158" s="1042"/>
      <c r="O158" s="1042"/>
      <c r="P158" s="1042"/>
      <c r="Q158" s="1042"/>
      <c r="R158" s="1500"/>
      <c r="S158" s="1042"/>
      <c r="T158" s="1042"/>
      <c r="U158" s="451"/>
      <c r="V158" s="1042"/>
      <c r="W158" s="1042"/>
      <c r="X158" s="1042"/>
      <c r="Y158" s="1042"/>
      <c r="Z158" s="1042"/>
      <c r="AA158" s="1496"/>
      <c r="AB158" s="473"/>
      <c r="AC158" s="473"/>
      <c r="AD158" s="473"/>
      <c r="AE158" s="473"/>
    </row>
    <row r="159" spans="1:31" s="4866" customFormat="1" ht="11.25" customHeight="1">
      <c r="A159" s="877"/>
      <c r="B159" s="1500"/>
      <c r="C159" s="1500"/>
      <c r="D159" s="268"/>
      <c r="K159" s="1042"/>
      <c r="L159" s="1500"/>
      <c r="M159" s="1500"/>
      <c r="N159" s="1042"/>
      <c r="O159" s="1042"/>
      <c r="P159" s="1042"/>
      <c r="Q159" s="1042"/>
      <c r="R159" s="1500"/>
      <c r="S159" s="1042"/>
      <c r="T159" s="1042"/>
      <c r="U159" s="451"/>
      <c r="V159" s="1042"/>
      <c r="W159" s="1042"/>
      <c r="X159" s="1042"/>
      <c r="Y159" s="1042"/>
      <c r="Z159" s="1042"/>
      <c r="AA159" s="1496"/>
      <c r="AB159" s="473"/>
      <c r="AC159" s="473"/>
      <c r="AD159" s="473"/>
      <c r="AE159" s="473"/>
    </row>
    <row r="160" spans="1:31" s="4866" customFormat="1" ht="11.25" customHeight="1">
      <c r="A160" s="877"/>
      <c r="B160" s="1500"/>
      <c r="C160" s="1500"/>
      <c r="D160" s="268"/>
      <c r="K160" s="1042"/>
      <c r="L160" s="1500"/>
      <c r="M160" s="1500"/>
      <c r="N160" s="1042"/>
      <c r="O160" s="1042"/>
      <c r="P160" s="1042"/>
      <c r="Q160" s="1042"/>
      <c r="R160" s="1500"/>
      <c r="S160" s="1042"/>
      <c r="T160" s="1042"/>
      <c r="U160" s="451"/>
      <c r="V160" s="1042"/>
      <c r="W160" s="1042"/>
      <c r="X160" s="1042"/>
      <c r="Y160" s="1042"/>
      <c r="Z160" s="1042"/>
      <c r="AA160" s="1496"/>
      <c r="AB160" s="473"/>
      <c r="AC160" s="473"/>
      <c r="AD160" s="473"/>
      <c r="AE160" s="473"/>
    </row>
    <row r="161" spans="1:31" s="4866" customFormat="1" ht="11.25" customHeight="1">
      <c r="A161" s="877"/>
      <c r="B161" s="1500"/>
      <c r="C161" s="1500"/>
      <c r="D161" s="268"/>
      <c r="K161" s="1042"/>
      <c r="L161" s="1500"/>
      <c r="M161" s="1500"/>
      <c r="N161" s="1042"/>
      <c r="O161" s="1042"/>
      <c r="P161" s="1042"/>
      <c r="Q161" s="1042"/>
      <c r="R161" s="1500"/>
      <c r="S161" s="1042"/>
      <c r="T161" s="1042"/>
      <c r="U161" s="451"/>
      <c r="V161" s="1042"/>
      <c r="W161" s="1042"/>
      <c r="X161" s="1042"/>
      <c r="Y161" s="1042"/>
      <c r="Z161" s="1042"/>
      <c r="AA161" s="1496"/>
      <c r="AB161" s="473"/>
      <c r="AC161" s="473"/>
      <c r="AD161" s="473"/>
      <c r="AE161" s="473"/>
    </row>
    <row r="162" spans="1:31" s="4866" customFormat="1" ht="11.25" customHeight="1">
      <c r="A162" s="877"/>
      <c r="B162" s="1500"/>
      <c r="C162" s="1500"/>
      <c r="D162" s="268"/>
      <c r="K162" s="1042"/>
      <c r="L162" s="1500"/>
      <c r="M162" s="1500"/>
      <c r="N162" s="1042"/>
      <c r="O162" s="1042"/>
      <c r="P162" s="1042"/>
      <c r="Q162" s="1042"/>
      <c r="R162" s="1500"/>
      <c r="S162" s="1042"/>
      <c r="T162" s="1042"/>
      <c r="U162" s="451"/>
      <c r="V162" s="1042"/>
      <c r="W162" s="1042"/>
      <c r="X162" s="1042"/>
      <c r="Y162" s="1042"/>
      <c r="Z162" s="1042"/>
      <c r="AA162" s="1496"/>
      <c r="AB162" s="473"/>
      <c r="AC162" s="473"/>
      <c r="AD162" s="473"/>
      <c r="AE162" s="473"/>
    </row>
    <row r="163" spans="1:31" s="4866" customFormat="1" ht="11.25" customHeight="1">
      <c r="A163" s="877"/>
      <c r="B163" s="1500"/>
      <c r="C163" s="1500"/>
      <c r="D163" s="268"/>
      <c r="K163" s="1042"/>
      <c r="L163" s="1500"/>
      <c r="M163" s="1500"/>
      <c r="N163" s="1042"/>
      <c r="O163" s="1042"/>
      <c r="P163" s="1042"/>
      <c r="Q163" s="1042"/>
      <c r="R163" s="1500"/>
      <c r="S163" s="1042"/>
      <c r="T163" s="1042"/>
      <c r="U163" s="451"/>
      <c r="V163" s="1042"/>
      <c r="W163" s="1042"/>
      <c r="X163" s="1042"/>
      <c r="Y163" s="1042"/>
      <c r="Z163" s="1042"/>
      <c r="AA163" s="1496"/>
      <c r="AB163" s="473"/>
      <c r="AC163" s="473"/>
      <c r="AD163" s="473"/>
      <c r="AE163" s="473"/>
    </row>
    <row r="164" spans="1:31" s="4866" customFormat="1" ht="11.25" customHeight="1">
      <c r="A164" s="877"/>
      <c r="B164" s="1500"/>
      <c r="C164" s="1500"/>
      <c r="D164" s="268"/>
      <c r="K164" s="1042"/>
      <c r="L164" s="1500"/>
      <c r="M164" s="1500"/>
      <c r="N164" s="1042"/>
      <c r="O164" s="1042"/>
      <c r="P164" s="1042"/>
      <c r="Q164" s="1042"/>
      <c r="R164" s="1500"/>
      <c r="S164" s="1042"/>
      <c r="T164" s="1042"/>
      <c r="U164" s="451"/>
      <c r="V164" s="1042"/>
      <c r="W164" s="1042"/>
      <c r="X164" s="1042"/>
      <c r="Y164" s="1042"/>
      <c r="Z164" s="1042"/>
      <c r="AA164" s="1496"/>
      <c r="AB164" s="473"/>
      <c r="AC164" s="473"/>
      <c r="AD164" s="473"/>
      <c r="AE164" s="473"/>
    </row>
    <row r="165" spans="1:31" s="4866" customFormat="1" ht="11.25" customHeight="1">
      <c r="A165" s="877"/>
      <c r="B165" s="1500"/>
      <c r="C165" s="1500"/>
      <c r="D165" s="268"/>
      <c r="K165" s="1042"/>
      <c r="L165" s="1500"/>
      <c r="M165" s="1500"/>
      <c r="N165" s="1042"/>
      <c r="O165" s="1042"/>
      <c r="P165" s="1042"/>
      <c r="Q165" s="1042"/>
      <c r="R165" s="1500"/>
      <c r="S165" s="1042"/>
      <c r="T165" s="1042"/>
      <c r="U165" s="451"/>
      <c r="V165" s="1042"/>
      <c r="W165" s="1042"/>
      <c r="X165" s="1042"/>
      <c r="Y165" s="1042"/>
      <c r="Z165" s="1042"/>
      <c r="AA165" s="1496"/>
      <c r="AB165" s="473"/>
      <c r="AC165" s="473"/>
      <c r="AD165" s="473"/>
      <c r="AE165" s="473"/>
    </row>
    <row r="166" spans="1:31" s="4866" customFormat="1" ht="11.25" customHeight="1">
      <c r="A166" s="877"/>
      <c r="B166" s="1500"/>
      <c r="C166" s="1500"/>
      <c r="D166" s="268"/>
      <c r="K166" s="1042"/>
      <c r="L166" s="1500"/>
      <c r="M166" s="1500"/>
      <c r="N166" s="1042"/>
      <c r="O166" s="1042"/>
      <c r="P166" s="1042"/>
      <c r="Q166" s="1042"/>
      <c r="R166" s="1500"/>
      <c r="S166" s="1042"/>
      <c r="T166" s="1042"/>
      <c r="U166" s="451"/>
      <c r="V166" s="1042"/>
      <c r="W166" s="1042"/>
      <c r="X166" s="1042"/>
      <c r="Y166" s="1042"/>
      <c r="Z166" s="1042"/>
      <c r="AA166" s="1496"/>
      <c r="AB166" s="473"/>
      <c r="AC166" s="473"/>
      <c r="AD166" s="473"/>
      <c r="AE166" s="473"/>
    </row>
    <row r="167" spans="1:31" s="4866" customFormat="1" ht="11.25" customHeight="1">
      <c r="A167" s="877"/>
      <c r="B167" s="1500"/>
      <c r="C167" s="1500"/>
      <c r="D167" s="268"/>
      <c r="K167" s="1042"/>
      <c r="L167" s="1500"/>
      <c r="M167" s="1500"/>
      <c r="N167" s="1042"/>
      <c r="O167" s="1042"/>
      <c r="P167" s="1042"/>
      <c r="Q167" s="1042"/>
      <c r="R167" s="1500"/>
      <c r="S167" s="1042"/>
      <c r="T167" s="1042"/>
      <c r="U167" s="451"/>
      <c r="V167" s="1042"/>
      <c r="W167" s="1042"/>
      <c r="X167" s="1042"/>
      <c r="Y167" s="1042"/>
      <c r="Z167" s="1042"/>
      <c r="AA167" s="1496"/>
      <c r="AB167" s="473"/>
      <c r="AC167" s="473"/>
      <c r="AD167" s="473"/>
      <c r="AE167" s="473"/>
    </row>
    <row r="168" spans="1:31" s="4866" customFormat="1" ht="11.25" customHeight="1">
      <c r="A168" s="877"/>
      <c r="B168" s="1500"/>
      <c r="C168" s="1500"/>
      <c r="D168" s="268"/>
      <c r="K168" s="1042"/>
      <c r="L168" s="1500"/>
      <c r="M168" s="1500"/>
      <c r="N168" s="1042"/>
      <c r="O168" s="1042"/>
      <c r="P168" s="1042"/>
      <c r="Q168" s="1042"/>
      <c r="R168" s="1500"/>
      <c r="S168" s="1042"/>
      <c r="T168" s="1042"/>
      <c r="U168" s="451"/>
      <c r="V168" s="1042"/>
      <c r="W168" s="1042"/>
      <c r="X168" s="1042"/>
      <c r="Y168" s="1042"/>
      <c r="Z168" s="1042"/>
      <c r="AA168" s="1496"/>
      <c r="AB168" s="473"/>
      <c r="AC168" s="473"/>
      <c r="AD168" s="473"/>
      <c r="AE168" s="473"/>
    </row>
    <row r="169" spans="1:31" s="4866" customFormat="1" ht="11.25" customHeight="1">
      <c r="A169" s="877"/>
      <c r="B169" s="1500"/>
      <c r="C169" s="1500"/>
      <c r="D169" s="268"/>
      <c r="K169" s="1042"/>
      <c r="L169" s="1500"/>
      <c r="M169" s="1500"/>
      <c r="N169" s="1042"/>
      <c r="O169" s="1042"/>
      <c r="P169" s="1042"/>
      <c r="Q169" s="1042"/>
      <c r="R169" s="1500"/>
      <c r="S169" s="1042"/>
      <c r="T169" s="1042"/>
      <c r="U169" s="451"/>
      <c r="V169" s="1042"/>
      <c r="W169" s="1042"/>
      <c r="X169" s="1042"/>
      <c r="Y169" s="1042"/>
      <c r="Z169" s="1042"/>
      <c r="AA169" s="1496"/>
      <c r="AB169" s="473"/>
      <c r="AC169" s="473"/>
      <c r="AD169" s="473"/>
      <c r="AE169" s="473"/>
    </row>
    <row r="170" spans="1:31" s="4866" customFormat="1" ht="11.25" customHeight="1">
      <c r="A170" s="877"/>
      <c r="B170" s="1500"/>
      <c r="C170" s="1500"/>
      <c r="D170" s="268"/>
      <c r="K170" s="1042"/>
      <c r="L170" s="1500"/>
      <c r="M170" s="1500"/>
      <c r="N170" s="1042"/>
      <c r="O170" s="1042"/>
      <c r="P170" s="1042"/>
      <c r="Q170" s="1042"/>
      <c r="R170" s="1500"/>
      <c r="S170" s="1042"/>
      <c r="T170" s="1042"/>
      <c r="U170" s="451"/>
      <c r="V170" s="1042"/>
      <c r="W170" s="1042"/>
      <c r="X170" s="1042"/>
      <c r="Y170" s="1042"/>
      <c r="Z170" s="1042"/>
      <c r="AA170" s="1496"/>
      <c r="AB170" s="473"/>
      <c r="AC170" s="473"/>
      <c r="AD170" s="473"/>
      <c r="AE170" s="473"/>
    </row>
    <row r="171" spans="1:31" s="4866" customFormat="1" ht="11.25" customHeight="1">
      <c r="A171" s="877"/>
      <c r="B171" s="1500"/>
      <c r="C171" s="1500"/>
      <c r="D171" s="268"/>
      <c r="K171" s="1042"/>
      <c r="L171" s="1500"/>
      <c r="M171" s="1500"/>
      <c r="N171" s="1042"/>
      <c r="O171" s="1042"/>
      <c r="P171" s="1042"/>
      <c r="Q171" s="1042"/>
      <c r="R171" s="1500"/>
      <c r="S171" s="1042"/>
      <c r="T171" s="1042"/>
      <c r="U171" s="451"/>
      <c r="V171" s="1042"/>
      <c r="W171" s="1042"/>
      <c r="X171" s="1042"/>
      <c r="Y171" s="1042"/>
      <c r="Z171" s="1042"/>
      <c r="AA171" s="1496"/>
      <c r="AB171" s="473"/>
      <c r="AC171" s="473"/>
      <c r="AD171" s="473"/>
      <c r="AE171" s="473"/>
    </row>
    <row r="172" spans="1:31" s="4866" customFormat="1" ht="11.25" customHeight="1">
      <c r="A172" s="877"/>
      <c r="B172" s="1500"/>
      <c r="C172" s="1500"/>
      <c r="D172" s="268"/>
      <c r="K172" s="1042"/>
      <c r="L172" s="1500"/>
      <c r="M172" s="1500"/>
      <c r="N172" s="1042"/>
      <c r="O172" s="1042"/>
      <c r="P172" s="1042"/>
      <c r="Q172" s="1042"/>
      <c r="R172" s="1500"/>
      <c r="S172" s="1042"/>
      <c r="T172" s="1042"/>
      <c r="U172" s="451"/>
      <c r="V172" s="1042"/>
      <c r="W172" s="1042"/>
      <c r="X172" s="1042"/>
      <c r="Y172" s="1042"/>
      <c r="Z172" s="1042"/>
      <c r="AA172" s="1496"/>
      <c r="AB172" s="473"/>
      <c r="AC172" s="473"/>
      <c r="AD172" s="473"/>
      <c r="AE172" s="473"/>
    </row>
    <row r="173" spans="1:31" s="4866" customFormat="1" ht="11.25" customHeight="1">
      <c r="A173" s="877"/>
      <c r="B173" s="1500"/>
      <c r="C173" s="1500"/>
      <c r="D173" s="268"/>
      <c r="K173" s="1042"/>
      <c r="L173" s="1500"/>
      <c r="M173" s="1500"/>
      <c r="N173" s="1042"/>
      <c r="O173" s="1042"/>
      <c r="P173" s="1042"/>
      <c r="Q173" s="1042"/>
      <c r="R173" s="1500"/>
      <c r="S173" s="1042"/>
      <c r="T173" s="1042"/>
      <c r="U173" s="451"/>
      <c r="V173" s="1042"/>
      <c r="W173" s="1042"/>
      <c r="X173" s="1042"/>
      <c r="Y173" s="1042"/>
      <c r="Z173" s="1042"/>
      <c r="AA173" s="1496"/>
      <c r="AB173" s="473"/>
      <c r="AC173" s="473"/>
      <c r="AD173" s="473"/>
      <c r="AE173" s="473"/>
    </row>
    <row r="174" spans="1:31" s="4866" customFormat="1" ht="11.25" customHeight="1">
      <c r="A174" s="877"/>
      <c r="B174" s="1500"/>
      <c r="C174" s="1500"/>
      <c r="D174" s="268"/>
      <c r="K174" s="1042"/>
      <c r="L174" s="1500"/>
      <c r="M174" s="1500"/>
      <c r="N174" s="1042"/>
      <c r="O174" s="1042"/>
      <c r="P174" s="1042"/>
      <c r="Q174" s="1042"/>
      <c r="R174" s="1500"/>
      <c r="S174" s="1042"/>
      <c r="T174" s="1042"/>
      <c r="U174" s="451"/>
      <c r="V174" s="1042"/>
      <c r="W174" s="1042"/>
      <c r="X174" s="1042"/>
      <c r="Y174" s="1042"/>
      <c r="Z174" s="1042"/>
      <c r="AA174" s="1496"/>
      <c r="AB174" s="473"/>
      <c r="AC174" s="473"/>
      <c r="AD174" s="473"/>
      <c r="AE174" s="473"/>
    </row>
    <row r="175" spans="1:31" s="4866" customFormat="1" ht="11.25" customHeight="1">
      <c r="A175" s="877"/>
      <c r="B175" s="1500"/>
      <c r="C175" s="1500"/>
      <c r="D175" s="268"/>
      <c r="K175" s="1042"/>
      <c r="L175" s="1500"/>
      <c r="M175" s="1500"/>
      <c r="N175" s="1042"/>
      <c r="O175" s="1042"/>
      <c r="P175" s="1042"/>
      <c r="Q175" s="1042"/>
      <c r="R175" s="1500"/>
      <c r="S175" s="1042"/>
      <c r="T175" s="1042"/>
      <c r="U175" s="451"/>
      <c r="V175" s="1042"/>
      <c r="W175" s="1042"/>
      <c r="X175" s="1042"/>
      <c r="Y175" s="1042"/>
      <c r="Z175" s="1042"/>
      <c r="AA175" s="1496"/>
      <c r="AB175" s="473"/>
      <c r="AC175" s="473"/>
      <c r="AD175" s="473"/>
      <c r="AE175" s="473"/>
    </row>
    <row r="176" spans="1:31" s="4866" customFormat="1" ht="11.25" customHeight="1">
      <c r="A176" s="877"/>
      <c r="B176" s="1500"/>
      <c r="C176" s="1500"/>
      <c r="D176" s="268"/>
      <c r="K176" s="1042"/>
      <c r="L176" s="1500"/>
      <c r="M176" s="1500"/>
      <c r="N176" s="1042"/>
      <c r="O176" s="1042"/>
      <c r="P176" s="1042"/>
      <c r="Q176" s="1042"/>
      <c r="R176" s="1500"/>
      <c r="S176" s="1042"/>
      <c r="T176" s="1042"/>
      <c r="U176" s="451"/>
      <c r="V176" s="1042"/>
      <c r="W176" s="1042"/>
      <c r="X176" s="1042"/>
      <c r="Y176" s="1042"/>
      <c r="Z176" s="1042"/>
      <c r="AA176" s="1496"/>
      <c r="AB176" s="473"/>
      <c r="AC176" s="473"/>
      <c r="AD176" s="473"/>
      <c r="AE176" s="473"/>
    </row>
    <row r="177" spans="1:31" s="4866" customFormat="1" ht="11.25" customHeight="1">
      <c r="A177" s="877"/>
      <c r="B177" s="1500"/>
      <c r="C177" s="1500"/>
      <c r="D177" s="268"/>
      <c r="K177" s="1042"/>
      <c r="L177" s="1500"/>
      <c r="M177" s="1500"/>
      <c r="N177" s="1042"/>
      <c r="O177" s="1042"/>
      <c r="P177" s="1042"/>
      <c r="Q177" s="1042"/>
      <c r="R177" s="1500"/>
      <c r="S177" s="1042"/>
      <c r="T177" s="1042"/>
      <c r="U177" s="451"/>
      <c r="V177" s="1042"/>
      <c r="W177" s="1042"/>
      <c r="X177" s="1042"/>
      <c r="Y177" s="1042"/>
      <c r="Z177" s="1042"/>
      <c r="AA177" s="1496"/>
      <c r="AB177" s="473"/>
      <c r="AC177" s="473"/>
      <c r="AD177" s="473"/>
      <c r="AE177" s="473"/>
    </row>
    <row r="178" spans="1:31" s="4866" customFormat="1" ht="11.25" customHeight="1">
      <c r="A178" s="877"/>
      <c r="B178" s="1500"/>
      <c r="C178" s="1500"/>
      <c r="D178" s="268"/>
      <c r="K178" s="1042"/>
      <c r="L178" s="1500"/>
      <c r="M178" s="1500"/>
      <c r="N178" s="1042"/>
      <c r="O178" s="1042"/>
      <c r="P178" s="1042"/>
      <c r="Q178" s="1042"/>
      <c r="R178" s="1500"/>
      <c r="S178" s="1042"/>
      <c r="T178" s="1042"/>
      <c r="U178" s="451"/>
      <c r="V178" s="1042"/>
      <c r="W178" s="1042"/>
      <c r="X178" s="1042"/>
      <c r="Y178" s="1042"/>
      <c r="Z178" s="1042"/>
      <c r="AA178" s="1496"/>
      <c r="AB178" s="473"/>
      <c r="AC178" s="473"/>
      <c r="AD178" s="473"/>
      <c r="AE178" s="473"/>
    </row>
    <row r="179" spans="1:31" s="4866" customFormat="1" ht="11.25" customHeight="1">
      <c r="A179" s="877"/>
      <c r="B179" s="1500"/>
      <c r="C179" s="1500"/>
      <c r="D179" s="268"/>
      <c r="K179" s="1042"/>
      <c r="L179" s="1500"/>
      <c r="M179" s="1500"/>
      <c r="N179" s="1042"/>
      <c r="O179" s="1042"/>
      <c r="P179" s="1042"/>
      <c r="Q179" s="1042"/>
      <c r="R179" s="1500"/>
      <c r="S179" s="1042"/>
      <c r="T179" s="1042"/>
      <c r="U179" s="451"/>
      <c r="V179" s="1042"/>
      <c r="W179" s="1042"/>
      <c r="X179" s="1042"/>
      <c r="Y179" s="1042"/>
      <c r="Z179" s="1042"/>
      <c r="AA179" s="1496"/>
      <c r="AB179" s="473"/>
      <c r="AC179" s="473"/>
      <c r="AD179" s="473"/>
      <c r="AE179" s="473"/>
    </row>
    <row r="180" spans="1:31" s="4866" customFormat="1" ht="11.25" customHeight="1">
      <c r="A180" s="877"/>
      <c r="B180" s="1500"/>
      <c r="C180" s="1500"/>
      <c r="D180" s="268"/>
      <c r="K180" s="1042"/>
      <c r="L180" s="1500"/>
      <c r="M180" s="1500"/>
      <c r="N180" s="1042"/>
      <c r="O180" s="1042"/>
      <c r="P180" s="1042"/>
      <c r="Q180" s="1042"/>
      <c r="R180" s="1500"/>
      <c r="S180" s="1042"/>
      <c r="T180" s="1042"/>
      <c r="U180" s="451"/>
      <c r="V180" s="1042"/>
      <c r="W180" s="1042"/>
      <c r="X180" s="1042"/>
      <c r="Y180" s="1042"/>
      <c r="Z180" s="1042"/>
      <c r="AA180" s="1496"/>
      <c r="AB180" s="473"/>
      <c r="AC180" s="473"/>
      <c r="AD180" s="473"/>
      <c r="AE180" s="473"/>
    </row>
    <row r="181" spans="1:31" s="4866" customFormat="1" ht="11.25" customHeight="1">
      <c r="A181" s="877"/>
      <c r="B181" s="1500"/>
      <c r="C181" s="1500"/>
      <c r="D181" s="268"/>
      <c r="K181" s="1042"/>
      <c r="L181" s="1500"/>
      <c r="M181" s="1500"/>
      <c r="N181" s="1042"/>
      <c r="O181" s="1042"/>
      <c r="P181" s="1042"/>
      <c r="Q181" s="1042"/>
      <c r="R181" s="1500"/>
      <c r="S181" s="1042"/>
      <c r="T181" s="1042"/>
      <c r="U181" s="451"/>
      <c r="V181" s="1042"/>
      <c r="W181" s="1042"/>
      <c r="X181" s="1042"/>
      <c r="Y181" s="1042"/>
      <c r="Z181" s="1042"/>
      <c r="AA181" s="1496"/>
      <c r="AB181" s="473"/>
      <c r="AC181" s="473"/>
      <c r="AD181" s="473"/>
      <c r="AE181" s="473"/>
    </row>
    <row r="182" spans="1:31" s="4866" customFormat="1" ht="11.25" customHeight="1">
      <c r="A182" s="877"/>
      <c r="B182" s="1500"/>
      <c r="C182" s="1500"/>
      <c r="D182" s="268"/>
      <c r="K182" s="1042"/>
      <c r="L182" s="1500"/>
      <c r="M182" s="1500"/>
      <c r="N182" s="1042"/>
      <c r="O182" s="1042"/>
      <c r="P182" s="1042"/>
      <c r="Q182" s="1042"/>
      <c r="R182" s="1500"/>
      <c r="S182" s="1042"/>
      <c r="T182" s="1042"/>
      <c r="U182" s="451"/>
      <c r="V182" s="1042"/>
      <c r="W182" s="1042"/>
      <c r="X182" s="1042"/>
      <c r="Y182" s="1042"/>
      <c r="Z182" s="1042"/>
      <c r="AA182" s="1496"/>
      <c r="AB182" s="473"/>
      <c r="AC182" s="473"/>
      <c r="AD182" s="473"/>
      <c r="AE182" s="473"/>
    </row>
    <row r="183" spans="1:31" s="4866" customFormat="1" ht="11.25" customHeight="1">
      <c r="A183" s="877"/>
      <c r="B183" s="1500"/>
      <c r="C183" s="1500"/>
      <c r="D183" s="268"/>
      <c r="K183" s="1042"/>
      <c r="L183" s="1500"/>
      <c r="M183" s="1500"/>
      <c r="N183" s="1042"/>
      <c r="O183" s="1042"/>
      <c r="P183" s="1042"/>
      <c r="Q183" s="1042"/>
      <c r="R183" s="1500"/>
      <c r="S183" s="1042"/>
      <c r="T183" s="1042"/>
      <c r="U183" s="451"/>
      <c r="V183" s="1042"/>
      <c r="W183" s="1042"/>
      <c r="X183" s="1042"/>
      <c r="Y183" s="1042"/>
      <c r="Z183" s="1042"/>
      <c r="AA183" s="1496"/>
      <c r="AB183" s="473"/>
      <c r="AC183" s="473"/>
      <c r="AD183" s="473"/>
      <c r="AE183" s="473"/>
    </row>
    <row r="184" spans="1:31" s="4866" customFormat="1" ht="11.25" customHeight="1">
      <c r="A184" s="877"/>
      <c r="B184" s="1500"/>
      <c r="C184" s="1500"/>
      <c r="D184" s="268"/>
      <c r="K184" s="1042"/>
      <c r="L184" s="1500"/>
      <c r="M184" s="1500"/>
      <c r="N184" s="1042"/>
      <c r="O184" s="1042"/>
      <c r="P184" s="1042"/>
      <c r="Q184" s="1042"/>
      <c r="R184" s="1500"/>
      <c r="S184" s="1042"/>
      <c r="T184" s="1042"/>
      <c r="U184" s="451"/>
      <c r="V184" s="1042"/>
      <c r="W184" s="1042"/>
      <c r="X184" s="1042"/>
      <c r="Y184" s="1042"/>
      <c r="Z184" s="1042"/>
      <c r="AA184" s="1496"/>
      <c r="AB184" s="473"/>
      <c r="AC184" s="473"/>
      <c r="AD184" s="473"/>
      <c r="AE184" s="473"/>
    </row>
    <row r="185" spans="1:31" s="4866" customFormat="1" ht="11.25" customHeight="1">
      <c r="A185" s="877"/>
      <c r="B185" s="1500"/>
      <c r="C185" s="1500"/>
      <c r="D185" s="268"/>
      <c r="K185" s="1042"/>
      <c r="L185" s="1500"/>
      <c r="M185" s="1500"/>
      <c r="N185" s="1042"/>
      <c r="O185" s="1042"/>
      <c r="P185" s="1042"/>
      <c r="Q185" s="1042"/>
      <c r="R185" s="1500"/>
      <c r="S185" s="1042"/>
      <c r="T185" s="1042"/>
      <c r="U185" s="451"/>
      <c r="V185" s="1042"/>
      <c r="W185" s="1042"/>
      <c r="X185" s="1042"/>
      <c r="Y185" s="1042"/>
      <c r="Z185" s="1042"/>
      <c r="AA185" s="1496"/>
      <c r="AB185" s="473"/>
      <c r="AC185" s="473"/>
      <c r="AD185" s="473"/>
      <c r="AE185" s="473"/>
    </row>
    <row r="186" spans="1:31" s="4866" customFormat="1" ht="11.25" customHeight="1">
      <c r="A186" s="877"/>
      <c r="B186" s="1500"/>
      <c r="C186" s="1500"/>
      <c r="D186" s="268"/>
      <c r="K186" s="1042"/>
      <c r="L186" s="1500"/>
      <c r="M186" s="1500"/>
      <c r="N186" s="1042"/>
      <c r="O186" s="1042"/>
      <c r="P186" s="1042"/>
      <c r="Q186" s="1042"/>
      <c r="R186" s="1500"/>
      <c r="S186" s="1042"/>
      <c r="T186" s="1042"/>
      <c r="U186" s="451"/>
      <c r="V186" s="1042"/>
      <c r="W186" s="1042"/>
      <c r="X186" s="1042"/>
      <c r="Y186" s="1042"/>
      <c r="Z186" s="1042"/>
      <c r="AA186" s="1496"/>
      <c r="AB186" s="473"/>
      <c r="AC186" s="473"/>
      <c r="AD186" s="473"/>
      <c r="AE186" s="473"/>
    </row>
    <row r="187" spans="1:31" s="4866" customFormat="1" ht="11.25" customHeight="1">
      <c r="A187" s="877"/>
      <c r="B187" s="1500"/>
      <c r="C187" s="1500"/>
      <c r="D187" s="268"/>
      <c r="K187" s="1042"/>
      <c r="L187" s="1500"/>
      <c r="M187" s="1500"/>
      <c r="N187" s="1042"/>
      <c r="O187" s="1042"/>
      <c r="P187" s="1042"/>
      <c r="Q187" s="1042"/>
      <c r="R187" s="1500"/>
      <c r="S187" s="1042"/>
      <c r="T187" s="1042"/>
      <c r="U187" s="451"/>
      <c r="V187" s="1042"/>
      <c r="W187" s="1042"/>
      <c r="X187" s="1042"/>
      <c r="Y187" s="1042"/>
      <c r="Z187" s="1042"/>
      <c r="AA187" s="1496"/>
      <c r="AB187" s="473"/>
      <c r="AC187" s="473"/>
      <c r="AD187" s="473"/>
      <c r="AE187" s="473"/>
    </row>
    <row r="188" spans="1:31" s="4866" customFormat="1" ht="11.25" customHeight="1">
      <c r="A188" s="877"/>
      <c r="B188" s="1500"/>
      <c r="C188" s="1500"/>
      <c r="D188" s="268"/>
      <c r="K188" s="1042"/>
      <c r="L188" s="1500"/>
      <c r="M188" s="1500"/>
      <c r="N188" s="1042"/>
      <c r="O188" s="1042"/>
      <c r="P188" s="1042"/>
      <c r="Q188" s="1042"/>
      <c r="R188" s="1500"/>
      <c r="S188" s="1042"/>
      <c r="T188" s="1042"/>
      <c r="U188" s="451"/>
      <c r="V188" s="1042"/>
      <c r="W188" s="1042"/>
      <c r="X188" s="1042"/>
      <c r="Y188" s="1042"/>
      <c r="Z188" s="1042"/>
      <c r="AA188" s="1496"/>
      <c r="AB188" s="473"/>
      <c r="AC188" s="473"/>
      <c r="AD188" s="473"/>
      <c r="AE188" s="473"/>
    </row>
    <row r="189" spans="1:31" s="4866" customFormat="1" ht="11.25" customHeight="1">
      <c r="A189" s="877"/>
      <c r="B189" s="1500"/>
      <c r="C189" s="1500"/>
      <c r="D189" s="268"/>
      <c r="K189" s="1042"/>
      <c r="L189" s="1500"/>
      <c r="M189" s="1500"/>
      <c r="N189" s="1042"/>
      <c r="O189" s="1042"/>
      <c r="P189" s="1042"/>
      <c r="Q189" s="1042"/>
      <c r="R189" s="1500"/>
      <c r="S189" s="1042"/>
      <c r="T189" s="1042"/>
      <c r="U189" s="451"/>
      <c r="V189" s="1042"/>
      <c r="W189" s="1042"/>
      <c r="X189" s="1042"/>
      <c r="Y189" s="1042"/>
      <c r="Z189" s="1042"/>
      <c r="AA189" s="1496"/>
      <c r="AB189" s="473"/>
      <c r="AC189" s="473"/>
      <c r="AD189" s="473"/>
      <c r="AE189" s="473"/>
    </row>
    <row r="190" spans="1:31" s="4866" customFormat="1" ht="11.25" customHeight="1">
      <c r="A190" s="877"/>
      <c r="B190" s="1500"/>
      <c r="C190" s="1500"/>
      <c r="D190" s="268"/>
      <c r="K190" s="1042"/>
      <c r="L190" s="1500"/>
      <c r="M190" s="1500"/>
      <c r="N190" s="1042"/>
      <c r="O190" s="1042"/>
      <c r="P190" s="1042"/>
      <c r="Q190" s="1042"/>
      <c r="R190" s="1500"/>
      <c r="S190" s="1042"/>
      <c r="T190" s="1042"/>
      <c r="U190" s="451"/>
      <c r="V190" s="1042"/>
      <c r="W190" s="1042"/>
      <c r="X190" s="1042"/>
      <c r="Y190" s="1042"/>
      <c r="Z190" s="1042"/>
      <c r="AA190" s="1496"/>
      <c r="AB190" s="473"/>
      <c r="AC190" s="473"/>
      <c r="AD190" s="473"/>
      <c r="AE190" s="473"/>
    </row>
    <row r="191" spans="1:31" s="4866" customFormat="1" ht="11.25" customHeight="1">
      <c r="A191" s="877"/>
      <c r="B191" s="1500"/>
      <c r="C191" s="1500"/>
      <c r="D191" s="268"/>
      <c r="K191" s="1042"/>
      <c r="L191" s="1500"/>
      <c r="M191" s="1500"/>
      <c r="N191" s="1042"/>
      <c r="O191" s="1042"/>
      <c r="P191" s="1042"/>
      <c r="Q191" s="1042"/>
      <c r="R191" s="1500"/>
      <c r="S191" s="1042"/>
      <c r="T191" s="1042"/>
      <c r="U191" s="451"/>
      <c r="V191" s="1042"/>
      <c r="W191" s="1042"/>
      <c r="X191" s="1042"/>
      <c r="Y191" s="1042"/>
      <c r="Z191" s="1042"/>
      <c r="AA191" s="1496"/>
      <c r="AB191" s="473"/>
      <c r="AC191" s="473"/>
      <c r="AD191" s="473"/>
      <c r="AE191" s="473"/>
    </row>
    <row r="192" spans="1:31" s="4866" customFormat="1" ht="11.25" customHeight="1">
      <c r="A192" s="877"/>
      <c r="B192" s="1500"/>
      <c r="C192" s="1500"/>
      <c r="D192" s="268"/>
      <c r="K192" s="1042"/>
      <c r="L192" s="1500"/>
      <c r="M192" s="1500"/>
      <c r="N192" s="1042"/>
      <c r="O192" s="1042"/>
      <c r="P192" s="1042"/>
      <c r="Q192" s="1042"/>
      <c r="R192" s="1500"/>
      <c r="S192" s="1042"/>
      <c r="T192" s="1042"/>
      <c r="U192" s="451"/>
      <c r="V192" s="1042"/>
      <c r="W192" s="1042"/>
      <c r="X192" s="1042"/>
      <c r="Y192" s="1042"/>
      <c r="Z192" s="1042"/>
      <c r="AA192" s="1496"/>
      <c r="AB192" s="473"/>
      <c r="AC192" s="473"/>
      <c r="AD192" s="473"/>
      <c r="AE192" s="473"/>
    </row>
    <row r="193" spans="1:31" s="4866" customFormat="1" ht="11.25" customHeight="1">
      <c r="A193" s="877"/>
      <c r="B193" s="1500"/>
      <c r="C193" s="1500"/>
      <c r="D193" s="268"/>
      <c r="K193" s="1042"/>
      <c r="L193" s="1500"/>
      <c r="M193" s="1500"/>
      <c r="N193" s="1042"/>
      <c r="O193" s="1042"/>
      <c r="P193" s="1042"/>
      <c r="Q193" s="1042"/>
      <c r="R193" s="1500"/>
      <c r="S193" s="1042"/>
      <c r="T193" s="1042"/>
      <c r="U193" s="451"/>
      <c r="V193" s="1042"/>
      <c r="W193" s="1042"/>
      <c r="X193" s="1042"/>
      <c r="Y193" s="1042"/>
      <c r="Z193" s="1042"/>
      <c r="AA193" s="1496"/>
      <c r="AB193" s="473"/>
      <c r="AC193" s="473"/>
      <c r="AD193" s="473"/>
      <c r="AE193" s="473"/>
    </row>
    <row r="194" spans="1:31" s="4866" customFormat="1" ht="11.25" customHeight="1">
      <c r="A194" s="877"/>
      <c r="B194" s="1500"/>
      <c r="C194" s="1500"/>
      <c r="D194" s="268"/>
      <c r="K194" s="1042"/>
      <c r="L194" s="1500"/>
      <c r="M194" s="1500"/>
      <c r="N194" s="1042"/>
      <c r="O194" s="1042"/>
      <c r="P194" s="1042"/>
      <c r="Q194" s="1042"/>
      <c r="R194" s="1500"/>
      <c r="S194" s="1042"/>
      <c r="T194" s="1042"/>
      <c r="U194" s="451"/>
      <c r="V194" s="1042"/>
      <c r="W194" s="1042"/>
      <c r="X194" s="1042"/>
      <c r="Y194" s="1042"/>
      <c r="Z194" s="1042"/>
      <c r="AA194" s="1496"/>
      <c r="AB194" s="473"/>
      <c r="AC194" s="473"/>
      <c r="AD194" s="473"/>
      <c r="AE194" s="473"/>
    </row>
    <row r="195" spans="1:31" s="4866" customFormat="1" ht="11.25" customHeight="1">
      <c r="A195" s="877"/>
      <c r="B195" s="1500"/>
      <c r="C195" s="1500"/>
      <c r="D195" s="268"/>
      <c r="K195" s="1042"/>
      <c r="L195" s="1500"/>
      <c r="M195" s="1500"/>
      <c r="N195" s="1042"/>
      <c r="O195" s="1042"/>
      <c r="P195" s="1042"/>
      <c r="Q195" s="1042"/>
      <c r="R195" s="1500"/>
      <c r="S195" s="1042"/>
      <c r="T195" s="1042"/>
      <c r="U195" s="451"/>
      <c r="V195" s="1042"/>
      <c r="W195" s="1042"/>
      <c r="X195" s="1042"/>
      <c r="Y195" s="1042"/>
      <c r="Z195" s="1042"/>
      <c r="AA195" s="1496"/>
      <c r="AB195" s="473"/>
      <c r="AC195" s="473"/>
      <c r="AD195" s="473"/>
      <c r="AE195" s="473"/>
    </row>
    <row r="196" spans="1:31" s="4866" customFormat="1" ht="11.25" customHeight="1">
      <c r="A196" s="877"/>
      <c r="B196" s="1500"/>
      <c r="C196" s="1500"/>
      <c r="D196" s="268"/>
      <c r="K196" s="1042"/>
      <c r="L196" s="1500"/>
      <c r="M196" s="1500"/>
      <c r="N196" s="1042"/>
      <c r="O196" s="1042"/>
      <c r="P196" s="1042"/>
      <c r="Q196" s="1042"/>
      <c r="R196" s="1500"/>
      <c r="S196" s="1042"/>
      <c r="T196" s="1042"/>
      <c r="U196" s="451"/>
      <c r="V196" s="1042"/>
      <c r="W196" s="1042"/>
      <c r="X196" s="1042"/>
      <c r="Y196" s="1042"/>
      <c r="Z196" s="1042"/>
      <c r="AA196" s="1496"/>
      <c r="AB196" s="473"/>
      <c r="AC196" s="473"/>
      <c r="AD196" s="473"/>
      <c r="AE196" s="473"/>
    </row>
    <row r="197" spans="1:31" s="4866" customFormat="1" ht="11.25" customHeight="1">
      <c r="A197" s="877"/>
      <c r="B197" s="1500"/>
      <c r="C197" s="1500"/>
      <c r="D197" s="268"/>
      <c r="K197" s="1042"/>
      <c r="L197" s="1500"/>
      <c r="M197" s="1500"/>
      <c r="N197" s="1042"/>
      <c r="O197" s="1042"/>
      <c r="P197" s="1042"/>
      <c r="Q197" s="1042"/>
      <c r="R197" s="1500"/>
      <c r="S197" s="1042"/>
      <c r="T197" s="1042"/>
      <c r="U197" s="451"/>
      <c r="V197" s="1042"/>
      <c r="W197" s="1042"/>
      <c r="X197" s="1042"/>
      <c r="Y197" s="1042"/>
      <c r="Z197" s="1042"/>
      <c r="AA197" s="1496"/>
      <c r="AB197" s="473"/>
      <c r="AC197" s="473"/>
      <c r="AD197" s="473"/>
      <c r="AE197" s="473"/>
    </row>
    <row r="198" spans="1:31" s="4866" customFormat="1" ht="11.25" customHeight="1">
      <c r="A198" s="877"/>
      <c r="B198" s="1500"/>
      <c r="C198" s="1500"/>
      <c r="D198" s="268"/>
      <c r="K198" s="1042"/>
      <c r="L198" s="1500"/>
      <c r="M198" s="1500"/>
      <c r="N198" s="1042"/>
      <c r="O198" s="1042"/>
      <c r="P198" s="1042"/>
      <c r="Q198" s="1042"/>
      <c r="R198" s="1500"/>
      <c r="S198" s="1042"/>
      <c r="T198" s="1042"/>
      <c r="U198" s="451"/>
      <c r="V198" s="1042"/>
      <c r="W198" s="1042"/>
      <c r="X198" s="1042"/>
      <c r="Y198" s="1042"/>
      <c r="Z198" s="1042"/>
      <c r="AA198" s="1496"/>
      <c r="AB198" s="473"/>
      <c r="AC198" s="473"/>
      <c r="AD198" s="473"/>
      <c r="AE198" s="473"/>
    </row>
    <row r="199" spans="1:31" s="4866" customFormat="1" ht="11.25" customHeight="1">
      <c r="A199" s="877"/>
      <c r="B199" s="1500"/>
      <c r="C199" s="1500"/>
      <c r="D199" s="268"/>
      <c r="K199" s="1042"/>
      <c r="L199" s="1500"/>
      <c r="M199" s="1500"/>
      <c r="N199" s="1042"/>
      <c r="O199" s="1042"/>
      <c r="P199" s="1042"/>
      <c r="Q199" s="1042"/>
      <c r="R199" s="1500"/>
      <c r="S199" s="1042"/>
      <c r="T199" s="1042"/>
      <c r="U199" s="451"/>
      <c r="V199" s="1042"/>
      <c r="W199" s="1042"/>
      <c r="X199" s="1042"/>
      <c r="Y199" s="1042"/>
      <c r="Z199" s="1042"/>
      <c r="AA199" s="1496"/>
      <c r="AB199" s="473"/>
      <c r="AC199" s="473"/>
      <c r="AD199" s="473"/>
      <c r="AE199" s="473"/>
    </row>
    <row r="200" spans="1:31" s="4866" customFormat="1" ht="11.25" customHeight="1">
      <c r="A200" s="877"/>
      <c r="B200" s="1500"/>
      <c r="C200" s="1500"/>
      <c r="D200" s="268"/>
      <c r="K200" s="1042"/>
      <c r="L200" s="1500"/>
      <c r="M200" s="1500"/>
      <c r="N200" s="1042"/>
      <c r="O200" s="1042"/>
      <c r="P200" s="1042"/>
      <c r="Q200" s="1042"/>
      <c r="R200" s="1500"/>
      <c r="S200" s="1042"/>
      <c r="T200" s="1042"/>
      <c r="U200" s="451"/>
      <c r="V200" s="1042"/>
      <c r="W200" s="1042"/>
      <c r="X200" s="1042"/>
      <c r="Y200" s="1042"/>
      <c r="Z200" s="1042"/>
      <c r="AA200" s="1496"/>
      <c r="AB200" s="473"/>
      <c r="AC200" s="473"/>
      <c r="AD200" s="473"/>
      <c r="AE200" s="473"/>
    </row>
    <row r="201" spans="1:31" s="4866" customFormat="1" ht="11.25" customHeight="1">
      <c r="A201" s="877"/>
      <c r="B201" s="1500"/>
      <c r="C201" s="1500"/>
      <c r="D201" s="268"/>
      <c r="K201" s="1042"/>
      <c r="L201" s="1500"/>
      <c r="M201" s="1500"/>
      <c r="N201" s="1042"/>
      <c r="O201" s="1042"/>
      <c r="P201" s="1042"/>
      <c r="Q201" s="1042"/>
      <c r="R201" s="1500"/>
      <c r="S201" s="1042"/>
      <c r="T201" s="1042"/>
      <c r="U201" s="451"/>
      <c r="V201" s="1042"/>
      <c r="W201" s="1042"/>
      <c r="X201" s="1042"/>
      <c r="Y201" s="1042"/>
      <c r="Z201" s="1042"/>
      <c r="AA201" s="1496"/>
      <c r="AB201" s="473"/>
      <c r="AC201" s="473"/>
      <c r="AD201" s="473"/>
      <c r="AE201" s="473"/>
    </row>
    <row r="202" spans="1:31" s="4866" customFormat="1" ht="11.25" customHeight="1">
      <c r="A202" s="877"/>
      <c r="B202" s="1500"/>
      <c r="C202" s="1500"/>
      <c r="D202" s="268"/>
      <c r="K202" s="1042"/>
      <c r="L202" s="1500"/>
      <c r="M202" s="1500"/>
      <c r="N202" s="1042"/>
      <c r="O202" s="1042"/>
      <c r="P202" s="1042"/>
      <c r="Q202" s="1042"/>
      <c r="R202" s="1500"/>
      <c r="S202" s="1042"/>
      <c r="T202" s="1042"/>
      <c r="U202" s="451"/>
      <c r="V202" s="1042"/>
      <c r="W202" s="1042"/>
      <c r="X202" s="1042"/>
      <c r="Y202" s="1042"/>
      <c r="Z202" s="1042"/>
      <c r="AA202" s="1496"/>
      <c r="AB202" s="473"/>
      <c r="AC202" s="473"/>
      <c r="AD202" s="473"/>
      <c r="AE202" s="473"/>
    </row>
    <row r="203" spans="1:31" s="4866" customFormat="1" ht="11.25" customHeight="1">
      <c r="A203" s="877"/>
      <c r="B203" s="1500"/>
      <c r="C203" s="1500"/>
      <c r="D203" s="268"/>
      <c r="K203" s="1042"/>
      <c r="L203" s="1500"/>
      <c r="M203" s="1500"/>
      <c r="N203" s="1042"/>
      <c r="O203" s="1042"/>
      <c r="P203" s="1042"/>
      <c r="Q203" s="1042"/>
      <c r="R203" s="1500"/>
      <c r="S203" s="1042"/>
      <c r="T203" s="1042"/>
      <c r="U203" s="451"/>
      <c r="V203" s="1042"/>
      <c r="W203" s="1042"/>
      <c r="X203" s="1042"/>
      <c r="Y203" s="1042"/>
      <c r="Z203" s="1042"/>
      <c r="AA203" s="1496"/>
      <c r="AB203" s="473"/>
      <c r="AC203" s="473"/>
      <c r="AD203" s="473"/>
      <c r="AE203" s="473"/>
    </row>
    <row r="204" spans="1:31" s="4866" customFormat="1" ht="11.25" customHeight="1">
      <c r="A204" s="877"/>
      <c r="B204" s="1500"/>
      <c r="C204" s="1500"/>
      <c r="D204" s="268"/>
      <c r="K204" s="1042"/>
      <c r="L204" s="1500"/>
      <c r="M204" s="1500"/>
      <c r="N204" s="1042"/>
      <c r="O204" s="1042"/>
      <c r="P204" s="1042"/>
      <c r="Q204" s="1042"/>
      <c r="R204" s="1500"/>
      <c r="S204" s="1042"/>
      <c r="T204" s="1042"/>
      <c r="U204" s="451"/>
      <c r="V204" s="1042"/>
      <c r="W204" s="1042"/>
      <c r="X204" s="1042"/>
      <c r="Y204" s="1042"/>
      <c r="Z204" s="1042"/>
      <c r="AA204" s="1496"/>
      <c r="AB204" s="473"/>
      <c r="AC204" s="473"/>
      <c r="AD204" s="473"/>
      <c r="AE204" s="473"/>
    </row>
    <row r="208" spans="1:31" ht="11.25" customHeight="1">
      <c r="A208" s="880"/>
      <c r="B208" s="1495"/>
      <c r="D208" s="1495"/>
      <c r="K208" s="1495"/>
      <c r="N208" s="1495"/>
      <c r="O208" s="1495"/>
      <c r="P208" s="1495"/>
      <c r="Q208" s="1495"/>
      <c r="S208" s="1495"/>
      <c r="T208" s="1495"/>
      <c r="U208" s="1495"/>
      <c r="V208" s="1495"/>
      <c r="W208" s="1495"/>
      <c r="X208" s="1495"/>
      <c r="Y208" s="1495"/>
      <c r="Z208" s="1495"/>
      <c r="AA208" s="1495"/>
      <c r="AB208" s="1495"/>
      <c r="AC208" s="1495"/>
      <c r="AD208" s="1495"/>
      <c r="AE208" s="1495"/>
    </row>
    <row r="209" spans="1:31" ht="11.25" customHeight="1">
      <c r="A209" s="880"/>
      <c r="B209" s="1495"/>
      <c r="D209" s="1495"/>
      <c r="K209" s="1495"/>
      <c r="N209" s="1495"/>
      <c r="O209" s="1495"/>
      <c r="P209" s="1495"/>
      <c r="Q209" s="1495"/>
      <c r="S209" s="1495"/>
      <c r="T209" s="1495"/>
      <c r="U209" s="1495"/>
      <c r="V209" s="1495"/>
      <c r="W209" s="1495"/>
      <c r="X209" s="1495"/>
      <c r="Y209" s="1495"/>
      <c r="Z209" s="1495"/>
      <c r="AA209" s="1495"/>
      <c r="AB209" s="1495"/>
      <c r="AC209" s="1495"/>
      <c r="AD209" s="1495"/>
      <c r="AE209" s="1495"/>
    </row>
    <row r="210" spans="1:31" ht="11.25" customHeight="1">
      <c r="A210" s="880"/>
      <c r="B210" s="1495"/>
      <c r="D210" s="1495"/>
      <c r="K210" s="1495"/>
      <c r="N210" s="1495"/>
      <c r="O210" s="1495"/>
      <c r="P210" s="1495"/>
      <c r="Q210" s="1495"/>
      <c r="S210" s="1495"/>
      <c r="T210" s="1495"/>
      <c r="U210" s="1495"/>
      <c r="V210" s="1495"/>
      <c r="W210" s="1495"/>
      <c r="X210" s="1495"/>
      <c r="Y210" s="1495"/>
      <c r="Z210" s="1495"/>
      <c r="AA210" s="1495"/>
      <c r="AB210" s="1495"/>
      <c r="AC210" s="1495"/>
      <c r="AD210" s="1495"/>
      <c r="AE210" s="1495"/>
    </row>
    <row r="211" spans="1:31" ht="11.25" customHeight="1">
      <c r="A211" s="880"/>
      <c r="B211" s="1495"/>
      <c r="D211" s="1495"/>
      <c r="K211" s="1495"/>
      <c r="N211" s="1495"/>
      <c r="O211" s="1495"/>
      <c r="P211" s="1495"/>
      <c r="Q211" s="1495"/>
      <c r="S211" s="1495"/>
      <c r="T211" s="1495"/>
      <c r="U211" s="1495"/>
      <c r="V211" s="1495"/>
      <c r="W211" s="1495"/>
      <c r="X211" s="1495"/>
      <c r="Y211" s="1495"/>
      <c r="Z211" s="1495"/>
      <c r="AA211" s="1495"/>
      <c r="AB211" s="1495"/>
      <c r="AC211" s="1495"/>
      <c r="AD211" s="1495"/>
      <c r="AE211" s="1495"/>
    </row>
    <row r="212" spans="1:31" ht="11.25" customHeight="1">
      <c r="A212" s="880"/>
      <c r="B212" s="1495"/>
      <c r="D212" s="1495"/>
      <c r="K212" s="1495"/>
      <c r="N212" s="1495"/>
      <c r="O212" s="1495"/>
      <c r="P212" s="1495"/>
      <c r="Q212" s="1495"/>
      <c r="S212" s="1495"/>
      <c r="T212" s="1495"/>
      <c r="U212" s="1495"/>
      <c r="V212" s="1495"/>
      <c r="W212" s="1495"/>
      <c r="X212" s="1495"/>
      <c r="Y212" s="1495"/>
      <c r="Z212" s="1495"/>
      <c r="AA212" s="1495"/>
      <c r="AB212" s="1495"/>
      <c r="AC212" s="1495"/>
      <c r="AD212" s="1495"/>
      <c r="AE212" s="1495"/>
    </row>
    <row r="213" spans="1:31" ht="11.25" customHeight="1">
      <c r="A213" s="880"/>
      <c r="B213" s="1495"/>
      <c r="D213" s="1495"/>
      <c r="K213" s="1495"/>
      <c r="N213" s="1495"/>
      <c r="O213" s="1495"/>
      <c r="P213" s="1495"/>
      <c r="Q213" s="1495"/>
      <c r="S213" s="1495"/>
      <c r="T213" s="1495"/>
      <c r="U213" s="1495"/>
      <c r="V213" s="1495"/>
      <c r="W213" s="1495"/>
      <c r="X213" s="1495"/>
      <c r="Y213" s="1495"/>
      <c r="Z213" s="1495"/>
      <c r="AA213" s="1495"/>
      <c r="AB213" s="1495"/>
      <c r="AC213" s="1495"/>
      <c r="AD213" s="1495"/>
      <c r="AE213" s="1495"/>
    </row>
    <row r="214" spans="1:31" ht="11.25" customHeight="1">
      <c r="A214" s="880"/>
      <c r="B214" s="1495"/>
      <c r="D214" s="1495"/>
      <c r="K214" s="1495"/>
      <c r="N214" s="1495"/>
      <c r="O214" s="1495"/>
      <c r="P214" s="1495"/>
      <c r="Q214" s="1495"/>
      <c r="S214" s="1495"/>
      <c r="T214" s="1495"/>
      <c r="U214" s="1495"/>
      <c r="V214" s="1495"/>
      <c r="W214" s="1495"/>
      <c r="X214" s="1495"/>
      <c r="Y214" s="1495"/>
      <c r="Z214" s="1495"/>
      <c r="AA214" s="1495"/>
      <c r="AB214" s="1495"/>
      <c r="AC214" s="1495"/>
      <c r="AD214" s="1495"/>
      <c r="AE214" s="1495"/>
    </row>
    <row r="215" spans="1:31" ht="11.25" customHeight="1">
      <c r="A215" s="880"/>
      <c r="B215" s="1495"/>
      <c r="D215" s="1495"/>
      <c r="K215" s="1495"/>
      <c r="N215" s="1495"/>
      <c r="O215" s="1495"/>
      <c r="P215" s="1495"/>
      <c r="Q215" s="1495"/>
      <c r="S215" s="1495"/>
      <c r="T215" s="1495"/>
      <c r="U215" s="1495"/>
      <c r="V215" s="1495"/>
      <c r="W215" s="1495"/>
      <c r="X215" s="1495"/>
      <c r="Y215" s="1495"/>
      <c r="Z215" s="1495"/>
      <c r="AA215" s="1495"/>
      <c r="AB215" s="1495"/>
      <c r="AC215" s="1495"/>
      <c r="AD215" s="1495"/>
      <c r="AE215" s="1495"/>
    </row>
    <row r="216" spans="1:31" ht="11.25" customHeight="1">
      <c r="A216" s="880"/>
      <c r="B216" s="1495"/>
      <c r="D216" s="1495"/>
      <c r="K216" s="1495"/>
      <c r="N216" s="1495"/>
      <c r="O216" s="1495"/>
      <c r="P216" s="1495"/>
      <c r="Q216" s="1495"/>
      <c r="S216" s="1495"/>
      <c r="T216" s="1495"/>
      <c r="U216" s="1495"/>
      <c r="V216" s="1495"/>
      <c r="W216" s="1495"/>
      <c r="X216" s="1495"/>
      <c r="Y216" s="1495"/>
      <c r="Z216" s="1495"/>
      <c r="AA216" s="1495"/>
      <c r="AB216" s="1495"/>
      <c r="AC216" s="1495"/>
      <c r="AD216" s="1495"/>
      <c r="AE216" s="1495"/>
    </row>
    <row r="217" spans="1:31" ht="11.25" customHeight="1">
      <c r="A217" s="880"/>
      <c r="B217" s="1495"/>
      <c r="D217" s="1495"/>
      <c r="K217" s="1495"/>
      <c r="N217" s="1495"/>
      <c r="O217" s="1495"/>
      <c r="P217" s="1495"/>
      <c r="Q217" s="1495"/>
      <c r="S217" s="1495"/>
      <c r="T217" s="1495"/>
      <c r="U217" s="1495"/>
      <c r="V217" s="1495"/>
      <c r="W217" s="1495"/>
      <c r="X217" s="1495"/>
      <c r="Y217" s="1495"/>
      <c r="Z217" s="1495"/>
      <c r="AA217" s="1495"/>
      <c r="AB217" s="1495"/>
      <c r="AC217" s="1495"/>
      <c r="AD217" s="1495"/>
      <c r="AE217" s="1495"/>
    </row>
    <row r="218" spans="1:31" ht="11.25" customHeight="1">
      <c r="A218" s="880"/>
      <c r="B218" s="1495"/>
      <c r="D218" s="1495"/>
      <c r="K218" s="1495"/>
      <c r="N218" s="1495"/>
      <c r="O218" s="1495"/>
      <c r="P218" s="1495"/>
      <c r="Q218" s="1495"/>
      <c r="S218" s="1495"/>
      <c r="T218" s="1495"/>
      <c r="U218" s="1495"/>
      <c r="V218" s="1495"/>
      <c r="W218" s="1495"/>
      <c r="X218" s="1495"/>
      <c r="Y218" s="1495"/>
      <c r="Z218" s="1495"/>
      <c r="AA218" s="1495"/>
      <c r="AB218" s="1495"/>
      <c r="AC218" s="1495"/>
      <c r="AD218" s="1495"/>
      <c r="AE218" s="1495"/>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5117" hidden="1" customWidth="1"/>
    <col min="2" max="2" width="16.85546875" style="4854" hidden="1" customWidth="1"/>
    <col min="3" max="3" width="5.5703125" style="4867" hidden="1" customWidth="1"/>
    <col min="4" max="4" width="3.7109375" style="5118" customWidth="1"/>
    <col min="5" max="5" width="7.7109375" style="4868" customWidth="1"/>
    <col min="6" max="6" width="54.5703125" style="4868" customWidth="1"/>
    <col min="7" max="7" width="10.42578125" style="4868" customWidth="1"/>
    <col min="8" max="8" width="40.7109375" style="4868" hidden="1" customWidth="1"/>
    <col min="9" max="9" width="40.7109375" style="4868" customWidth="1"/>
    <col min="10" max="10" width="102.85546875" style="4868" customWidth="1"/>
    <col min="11" max="11" width="9.7109375" style="4854" customWidth="1"/>
    <col min="12" max="12" width="5.28515625" style="4867" customWidth="1"/>
    <col min="13" max="13" width="3.7109375" style="4867" customWidth="1"/>
    <col min="14" max="17" width="3.7109375" style="4854" customWidth="1"/>
    <col min="18" max="18" width="10.5703125" style="4867" customWidth="1"/>
    <col min="19" max="19" width="34.7109375" style="4854" customWidth="1"/>
    <col min="20" max="20" width="9.42578125" style="4854" customWidth="1"/>
    <col min="21" max="21" width="9.140625" style="5119"/>
    <col min="22" max="26" width="9.140625" style="4854"/>
    <col min="27" max="31" width="9.140625" style="5113"/>
  </cols>
  <sheetData>
    <row r="1" spans="1:31" s="4854" customFormat="1" ht="11.25" hidden="1" customHeight="1">
      <c r="A1" s="877"/>
      <c r="C1" s="1500"/>
      <c r="D1" s="444"/>
      <c r="H1" s="1042">
        <v>4</v>
      </c>
      <c r="I1" s="1042">
        <v>4</v>
      </c>
      <c r="L1" s="1500"/>
      <c r="M1" s="1500"/>
      <c r="R1" s="1500"/>
    </row>
    <row r="2" spans="1:31" s="4854" customFormat="1" ht="22.5" hidden="1" customHeight="1">
      <c r="A2" s="877"/>
      <c r="C2" s="1500"/>
      <c r="D2" s="445"/>
      <c r="E2" s="1522"/>
      <c r="F2" s="447"/>
      <c r="G2" s="1521" t="s">
        <v>641</v>
      </c>
      <c r="H2" s="448"/>
      <c r="I2" s="448"/>
      <c r="J2" s="449" t="s">
        <v>644</v>
      </c>
      <c r="K2" s="450"/>
      <c r="L2" s="1500"/>
      <c r="M2" s="1500"/>
      <c r="R2" s="1500"/>
      <c r="U2" s="451"/>
      <c r="AA2" s="1496"/>
      <c r="AB2" s="1496"/>
      <c r="AC2" s="1496"/>
      <c r="AD2" s="1496"/>
      <c r="AE2" s="1496"/>
    </row>
    <row r="3" spans="1:31" ht="11.25" hidden="1" customHeight="1"/>
    <row r="4" spans="1:31" s="5113" customFormat="1" ht="11.25" hidden="1" customHeight="1">
      <c r="A4" s="877"/>
      <c r="B4" s="1042"/>
      <c r="C4" s="1500"/>
      <c r="D4" s="279"/>
      <c r="J4" s="1496">
        <v>4</v>
      </c>
      <c r="K4" s="1042"/>
      <c r="L4" s="1500"/>
      <c r="M4" s="1500"/>
      <c r="N4" s="1042"/>
      <c r="O4" s="1042"/>
      <c r="P4" s="1042"/>
      <c r="Q4" s="1042"/>
      <c r="R4" s="1500"/>
      <c r="S4" s="1042"/>
      <c r="T4" s="1042"/>
      <c r="U4" s="451"/>
      <c r="V4" s="1042"/>
      <c r="W4" s="1042"/>
      <c r="X4" s="1042"/>
      <c r="Y4" s="1042"/>
      <c r="Z4" s="1042"/>
    </row>
    <row r="6" spans="1:31" ht="32.25" customHeight="1">
      <c r="E6" s="5360" t="s">
        <v>778</v>
      </c>
      <c r="F6" s="5360"/>
      <c r="G6" s="5360"/>
      <c r="H6" s="5360"/>
      <c r="I6" s="5360"/>
      <c r="J6" s="463"/>
    </row>
    <row r="7" spans="1:31" ht="24" customHeight="1">
      <c r="E7" s="5308" t="str">
        <f>IF(org=0,"Не определено",org)</f>
        <v>ООО «Газпром теплоэнерго МО»</v>
      </c>
      <c r="F7" s="5308"/>
      <c r="G7" s="5308"/>
      <c r="H7" s="5308"/>
      <c r="I7" s="5308"/>
    </row>
    <row r="8" spans="1:31" ht="11.25" customHeight="1">
      <c r="E8" s="1019"/>
      <c r="F8" s="1019"/>
      <c r="G8" s="1019"/>
      <c r="H8" s="1019"/>
      <c r="I8" s="1019"/>
    </row>
    <row r="9" spans="1:31" s="4867" customFormat="1" ht="0.75" customHeight="1">
      <c r="A9" s="1049"/>
      <c r="D9" s="1506"/>
      <c r="H9" s="784"/>
      <c r="I9" s="784" t="s">
        <v>135</v>
      </c>
    </row>
    <row r="10" spans="1:31" ht="11.25" customHeight="1">
      <c r="E10" s="612"/>
      <c r="F10" s="5456" t="s">
        <v>125</v>
      </c>
      <c r="G10" s="5457"/>
      <c r="H10" s="1523" t="str">
        <f>IF(H9="","",INDEX(DIFFERENTIATION_UNMERGE_VD,MATCH(H9,DIFFERENTIATION_ID_DIFF,0)))</f>
        <v/>
      </c>
      <c r="I10" s="1523">
        <f>IF(I9="","",INDEX(DIFFERENTIATION_UNMERGE_VD,MATCH(I9,DIFFERENTIATION_ID_DIFF,0)))</f>
        <v>0</v>
      </c>
      <c r="J10" s="5244"/>
    </row>
    <row r="11" spans="1:31" ht="11.25" customHeight="1">
      <c r="E11" s="612"/>
      <c r="F11" s="5456" t="s">
        <v>653</v>
      </c>
      <c r="G11" s="5457"/>
      <c r="H11" s="1523" t="str">
        <f>IF(H9="","",INDEX(DIFFERENTIATION_UNMERGE_AREA,MATCH(H9,DIFFERENTIATION_ID_DIFF,0)))</f>
        <v/>
      </c>
      <c r="I11" s="1523" t="str">
        <f>IF(I9="","",INDEX(DIFFERENTIATION_UNMERGE_AREA,MATCH(I9,DIFFERENTIATION_ID_DIFF,0)))</f>
        <v/>
      </c>
      <c r="J11" s="5244"/>
    </row>
    <row r="12" spans="1:31" ht="11.25" hidden="1" customHeight="1">
      <c r="E12" s="1526"/>
      <c r="F12" s="5472" t="s">
        <v>654</v>
      </c>
      <c r="G12" s="5473"/>
      <c r="H12" s="1527" t="str">
        <f>IF(H9="","",INDEX(DIFFERENTIATION_UNMERGE_SYSTEM,MATCH(H9,DIFFERENTIATION_ID_DIFF,0)))</f>
        <v/>
      </c>
      <c r="I12" s="1527" t="str">
        <f>IF(I9="","",INDEX(DIFFERENTIATION_UNMERGE_SYSTEM,MATCH(I9,DIFFERENTIATION_ID_DIFF,0)))</f>
        <v>без дифференциации</v>
      </c>
      <c r="J12" s="5244"/>
    </row>
    <row r="13" spans="1:31" ht="11.25" customHeight="1">
      <c r="E13" s="5458" t="s">
        <v>378</v>
      </c>
      <c r="F13" s="5459"/>
      <c r="G13" s="5459"/>
      <c r="H13" s="1520"/>
      <c r="I13" s="1520"/>
      <c r="J13" s="5244"/>
    </row>
    <row r="14" spans="1:31" ht="22.5" customHeight="1">
      <c r="E14" s="1521" t="s">
        <v>85</v>
      </c>
      <c r="F14" s="1524" t="s">
        <v>380</v>
      </c>
      <c r="G14" s="1524" t="s">
        <v>655</v>
      </c>
      <c r="H14" s="1524" t="s">
        <v>381</v>
      </c>
      <c r="I14" s="1524" t="s">
        <v>381</v>
      </c>
      <c r="J14" s="5244"/>
    </row>
    <row r="15" spans="1:31" ht="18.75" customHeight="1">
      <c r="D15" s="1502"/>
      <c r="E15" s="1494" t="s">
        <v>129</v>
      </c>
      <c r="F15" s="608" t="s">
        <v>779</v>
      </c>
      <c r="G15" s="1521" t="s">
        <v>641</v>
      </c>
      <c r="H15" s="464"/>
      <c r="I15" s="464"/>
      <c r="J15" s="207" t="s">
        <v>780</v>
      </c>
      <c r="K15" s="450" t="s">
        <v>708</v>
      </c>
    </row>
    <row r="16" spans="1:31" ht="22.5" customHeight="1">
      <c r="D16" s="1502"/>
      <c r="E16" s="1494" t="s">
        <v>100</v>
      </c>
      <c r="F16" s="1529" t="s">
        <v>781</v>
      </c>
      <c r="G16" s="1521" t="s">
        <v>641</v>
      </c>
      <c r="H16" s="465">
        <f>SUM(H17,H20:H27)</f>
        <v>0</v>
      </c>
      <c r="I16" s="465">
        <f>SUM(I17,I20:I27)</f>
        <v>0</v>
      </c>
      <c r="J16" s="207" t="s">
        <v>782</v>
      </c>
      <c r="K16" s="450" t="s">
        <v>708</v>
      </c>
    </row>
    <row r="17" spans="1:31" ht="33.75" customHeight="1">
      <c r="D17" s="1502"/>
      <c r="E17" s="1528" t="s">
        <v>711</v>
      </c>
      <c r="F17" s="1531" t="s">
        <v>783</v>
      </c>
      <c r="G17" s="1518" t="s">
        <v>641</v>
      </c>
      <c r="H17" s="464"/>
      <c r="I17" s="464"/>
      <c r="J17" s="207" t="s">
        <v>784</v>
      </c>
      <c r="K17" s="450"/>
    </row>
    <row r="18" spans="1:31" ht="18.75" customHeight="1">
      <c r="D18" s="1502"/>
      <c r="E18" s="1528" t="s">
        <v>714</v>
      </c>
      <c r="F18" s="1532" t="s">
        <v>785</v>
      </c>
      <c r="G18" s="1518" t="s">
        <v>641</v>
      </c>
      <c r="H18" s="464"/>
      <c r="I18" s="464"/>
      <c r="J18" s="207"/>
      <c r="K18" s="450"/>
    </row>
    <row r="19" spans="1:31" ht="22.5" customHeight="1">
      <c r="D19" s="1502"/>
      <c r="E19" s="1528" t="s">
        <v>717</v>
      </c>
      <c r="F19" s="1532" t="s">
        <v>786</v>
      </c>
      <c r="G19" s="1518" t="s">
        <v>641</v>
      </c>
      <c r="H19" s="464"/>
      <c r="I19" s="464"/>
      <c r="J19" s="207"/>
      <c r="K19" s="450"/>
    </row>
    <row r="20" spans="1:31" ht="33.75" customHeight="1">
      <c r="D20" s="1502"/>
      <c r="E20" s="1528" t="s">
        <v>385</v>
      </c>
      <c r="F20" s="1531" t="s">
        <v>787</v>
      </c>
      <c r="G20" s="1518" t="s">
        <v>641</v>
      </c>
      <c r="H20" s="464"/>
      <c r="I20" s="464"/>
      <c r="J20" s="207"/>
      <c r="K20" s="450"/>
    </row>
    <row r="21" spans="1:31" ht="33.75" customHeight="1">
      <c r="D21" s="1502"/>
      <c r="E21" s="1528" t="s">
        <v>388</v>
      </c>
      <c r="F21" s="1531" t="s">
        <v>788</v>
      </c>
      <c r="G21" s="1518" t="s">
        <v>641</v>
      </c>
      <c r="H21" s="464"/>
      <c r="I21" s="464"/>
      <c r="J21" s="207"/>
      <c r="K21" s="450"/>
    </row>
    <row r="22" spans="1:31" ht="56.25" customHeight="1">
      <c r="D22" s="1502"/>
      <c r="E22" s="1528" t="s">
        <v>731</v>
      </c>
      <c r="F22" s="1531" t="s">
        <v>789</v>
      </c>
      <c r="G22" s="1518" t="s">
        <v>641</v>
      </c>
      <c r="H22" s="464"/>
      <c r="I22" s="464"/>
      <c r="J22" s="207"/>
      <c r="K22" s="450"/>
    </row>
    <row r="23" spans="1:31" ht="33.75" customHeight="1">
      <c r="D23" s="1502"/>
      <c r="E23" s="1528" t="s">
        <v>738</v>
      </c>
      <c r="F23" s="1531" t="s">
        <v>790</v>
      </c>
      <c r="G23" s="1518" t="s">
        <v>641</v>
      </c>
      <c r="H23" s="464"/>
      <c r="I23" s="464"/>
      <c r="J23" s="207"/>
      <c r="K23" s="450"/>
    </row>
    <row r="24" spans="1:31" ht="33.75" customHeight="1">
      <c r="D24" s="1502"/>
      <c r="E24" s="1528" t="s">
        <v>740</v>
      </c>
      <c r="F24" s="1531" t="s">
        <v>791</v>
      </c>
      <c r="G24" s="1518" t="s">
        <v>641</v>
      </c>
      <c r="H24" s="464"/>
      <c r="I24" s="464"/>
      <c r="J24" s="207"/>
      <c r="K24" s="450"/>
    </row>
    <row r="25" spans="1:31" ht="22.5" customHeight="1">
      <c r="D25" s="1502"/>
      <c r="E25" s="1528" t="s">
        <v>742</v>
      </c>
      <c r="F25" s="1531" t="s">
        <v>792</v>
      </c>
      <c r="G25" s="1518" t="s">
        <v>641</v>
      </c>
      <c r="H25" s="464"/>
      <c r="I25" s="464"/>
      <c r="J25" s="207"/>
      <c r="K25" s="450"/>
    </row>
    <row r="26" spans="1:31" ht="67.5" customHeight="1">
      <c r="D26" s="1502"/>
      <c r="E26" s="1528" t="s">
        <v>744</v>
      </c>
      <c r="F26" s="1531" t="s">
        <v>793</v>
      </c>
      <c r="G26" s="1518" t="s">
        <v>641</v>
      </c>
      <c r="H26" s="464"/>
      <c r="I26" s="464"/>
      <c r="J26" s="207"/>
      <c r="K26" s="450"/>
    </row>
    <row r="27" spans="1:31" s="4854" customFormat="1" ht="22.5" customHeight="1">
      <c r="A27" s="877"/>
      <c r="C27" s="1500"/>
      <c r="D27" s="1502"/>
      <c r="E27" s="1493" t="s">
        <v>748</v>
      </c>
      <c r="F27" s="1492" t="s">
        <v>794</v>
      </c>
      <c r="G27" s="1519" t="s">
        <v>641</v>
      </c>
      <c r="H27" s="486">
        <f>SUM(H28:H29)</f>
        <v>0</v>
      </c>
      <c r="I27" s="486">
        <f>SUM(I28:I29)</f>
        <v>0</v>
      </c>
      <c r="J27" s="207" t="s">
        <v>746</v>
      </c>
      <c r="K27" s="450"/>
      <c r="L27" s="1500"/>
      <c r="M27" s="1500"/>
      <c r="R27" s="1500"/>
      <c r="U27" s="451"/>
      <c r="AA27" s="1496"/>
      <c r="AB27" s="1496"/>
      <c r="AC27" s="1496"/>
      <c r="AD27" s="1496"/>
      <c r="AE27" s="1496"/>
    </row>
    <row r="28" spans="1:31" s="4867" customFormat="1" ht="0.75" customHeight="1">
      <c r="A28" s="1049"/>
      <c r="D28" s="455"/>
      <c r="E28" s="701" t="str">
        <f>E27&amp;".0"</f>
        <v>2.9.0</v>
      </c>
      <c r="F28" s="881"/>
      <c r="G28" s="458"/>
      <c r="H28" s="882"/>
      <c r="I28" s="882"/>
      <c r="J28" s="883"/>
    </row>
    <row r="29" spans="1:31" s="4854" customFormat="1" ht="18.75" customHeight="1">
      <c r="A29" s="877"/>
      <c r="C29" s="1500"/>
      <c r="D29" s="1497"/>
      <c r="E29" s="477"/>
      <c r="F29" s="1530" t="s">
        <v>666</v>
      </c>
      <c r="G29" s="479"/>
      <c r="H29" s="480"/>
      <c r="I29" s="480"/>
      <c r="J29" s="219" t="s">
        <v>747</v>
      </c>
      <c r="K29" s="450"/>
      <c r="L29" s="1500"/>
      <c r="M29" s="1500"/>
      <c r="R29" s="1500"/>
      <c r="U29" s="451"/>
      <c r="AA29" s="1496"/>
      <c r="AB29" s="1496"/>
      <c r="AC29" s="1496"/>
      <c r="AD29" s="1496"/>
      <c r="AE29" s="1496"/>
    </row>
    <row r="30" spans="1:31" s="4854" customFormat="1" ht="22.5" customHeight="1">
      <c r="A30" s="877"/>
      <c r="C30" s="1500"/>
      <c r="D30" s="1502"/>
      <c r="E30" s="1528" t="s">
        <v>87</v>
      </c>
      <c r="F30" s="1525" t="s">
        <v>795</v>
      </c>
      <c r="G30" s="1518" t="s">
        <v>641</v>
      </c>
      <c r="H30" s="464"/>
      <c r="I30" s="464"/>
      <c r="J30" s="207"/>
      <c r="K30" s="450"/>
      <c r="L30" s="1500"/>
      <c r="M30" s="1500"/>
      <c r="R30" s="1500"/>
      <c r="U30" s="451"/>
      <c r="AA30" s="1496"/>
      <c r="AB30" s="1496"/>
      <c r="AC30" s="1496"/>
      <c r="AD30" s="1496"/>
      <c r="AE30" s="1496"/>
    </row>
    <row r="31" spans="1:31" s="4854" customFormat="1" ht="33.75" customHeight="1">
      <c r="A31" s="877"/>
      <c r="C31" s="1500"/>
      <c r="D31" s="482"/>
      <c r="E31" s="1528" t="s">
        <v>88</v>
      </c>
      <c r="F31" s="1525" t="s">
        <v>796</v>
      </c>
      <c r="G31" s="1518" t="s">
        <v>641</v>
      </c>
      <c r="H31" s="464"/>
      <c r="I31" s="464"/>
      <c r="J31" s="207" t="s">
        <v>797</v>
      </c>
      <c r="K31" s="450"/>
      <c r="L31" s="1500"/>
      <c r="M31" s="1500"/>
      <c r="R31" s="1500"/>
      <c r="U31" s="451"/>
      <c r="AA31" s="1496"/>
      <c r="AB31" s="1496"/>
      <c r="AC31" s="1496"/>
      <c r="AD31" s="1496"/>
      <c r="AE31" s="1496"/>
    </row>
    <row r="32" spans="1:31" s="4854" customFormat="1" ht="22.5" customHeight="1">
      <c r="A32" s="877"/>
      <c r="C32" s="1500"/>
      <c r="D32" s="1502"/>
      <c r="E32" s="1528" t="s">
        <v>756</v>
      </c>
      <c r="F32" s="592" t="s">
        <v>760</v>
      </c>
      <c r="G32" s="1518" t="s">
        <v>641</v>
      </c>
      <c r="H32" s="464"/>
      <c r="I32" s="464"/>
      <c r="J32" s="207" t="s">
        <v>798</v>
      </c>
      <c r="K32" s="450"/>
      <c r="L32" s="1500"/>
      <c r="M32" s="1500"/>
      <c r="R32" s="1500"/>
      <c r="U32" s="451"/>
      <c r="AA32" s="1496"/>
      <c r="AB32" s="1496"/>
      <c r="AC32" s="1496"/>
      <c r="AD32" s="1496"/>
      <c r="AE32" s="1496"/>
    </row>
    <row r="33" spans="1:31" s="4854" customFormat="1" ht="22.5" customHeight="1">
      <c r="A33" s="877"/>
      <c r="C33" s="1500"/>
      <c r="D33" s="1502"/>
      <c r="E33" s="1528" t="s">
        <v>799</v>
      </c>
      <c r="F33" s="592" t="s">
        <v>800</v>
      </c>
      <c r="G33" s="1518" t="s">
        <v>641</v>
      </c>
      <c r="H33" s="464"/>
      <c r="I33" s="464"/>
      <c r="J33" s="207" t="s">
        <v>801</v>
      </c>
      <c r="K33" s="450"/>
      <c r="L33" s="1500"/>
      <c r="M33" s="1500"/>
      <c r="R33" s="1500"/>
      <c r="U33" s="451"/>
      <c r="AA33" s="1496"/>
      <c r="AB33" s="1496"/>
      <c r="AC33" s="1496"/>
      <c r="AD33" s="1496"/>
      <c r="AE33" s="1496"/>
    </row>
    <row r="34" spans="1:31" s="4854" customFormat="1" ht="22.5" customHeight="1">
      <c r="A34" s="877"/>
      <c r="C34" s="1500"/>
      <c r="D34" s="1502"/>
      <c r="E34" s="1528" t="s">
        <v>802</v>
      </c>
      <c r="F34" s="592" t="s">
        <v>766</v>
      </c>
      <c r="G34" s="1518" t="s">
        <v>641</v>
      </c>
      <c r="H34" s="464"/>
      <c r="I34" s="464"/>
      <c r="J34" s="207" t="s">
        <v>803</v>
      </c>
      <c r="K34" s="450"/>
      <c r="L34" s="1500"/>
      <c r="M34" s="1500"/>
      <c r="R34" s="1500"/>
      <c r="U34" s="451"/>
      <c r="AA34" s="1496"/>
      <c r="AB34" s="1496"/>
      <c r="AC34" s="1496"/>
      <c r="AD34" s="1496"/>
      <c r="AE34" s="1496"/>
    </row>
    <row r="35" spans="1:31" s="4854" customFormat="1" ht="33.75" customHeight="1">
      <c r="A35" s="877"/>
      <c r="C35" s="1500" t="s">
        <v>677</v>
      </c>
      <c r="D35" s="1502"/>
      <c r="E35" s="1528" t="s">
        <v>114</v>
      </c>
      <c r="F35" s="1525" t="s">
        <v>768</v>
      </c>
      <c r="G35" s="1521" t="s">
        <v>384</v>
      </c>
      <c r="H35" s="317"/>
      <c r="I35" s="317"/>
      <c r="J35" s="207" t="s">
        <v>804</v>
      </c>
      <c r="K35" s="450"/>
      <c r="L35" s="1500"/>
      <c r="M35" s="1500"/>
      <c r="R35" s="1500"/>
      <c r="U35" s="451"/>
      <c r="AA35" s="1496"/>
      <c r="AB35" s="1496"/>
      <c r="AC35" s="1496"/>
      <c r="AD35" s="1496"/>
      <c r="AE35" s="1496"/>
    </row>
    <row r="36" spans="1:31" s="4854" customFormat="1" ht="22.5" customHeight="1">
      <c r="A36" s="877"/>
      <c r="C36" s="1500"/>
      <c r="D36" s="1502"/>
      <c r="E36" s="1528" t="s">
        <v>89</v>
      </c>
      <c r="F36" s="1525" t="s">
        <v>805</v>
      </c>
      <c r="G36" s="1518" t="s">
        <v>772</v>
      </c>
      <c r="H36" s="452"/>
      <c r="I36" s="452"/>
      <c r="J36" s="207" t="s">
        <v>773</v>
      </c>
      <c r="K36" s="450"/>
      <c r="L36" s="1500"/>
      <c r="M36" s="1500"/>
      <c r="R36" s="1500"/>
      <c r="U36" s="451"/>
      <c r="AA36" s="1496"/>
      <c r="AB36" s="1496"/>
      <c r="AC36" s="1496"/>
      <c r="AD36" s="1496"/>
      <c r="AE36" s="1496"/>
    </row>
    <row r="37" spans="1:31" s="4854" customFormat="1" ht="22.5" customHeight="1">
      <c r="A37" s="877"/>
      <c r="C37" s="1500"/>
      <c r="D37" s="1502"/>
      <c r="E37" s="1528" t="s">
        <v>90</v>
      </c>
      <c r="F37" s="1525" t="s">
        <v>806</v>
      </c>
      <c r="G37" s="1518" t="s">
        <v>775</v>
      </c>
      <c r="H37" s="452"/>
      <c r="I37" s="452"/>
      <c r="J37" s="207" t="s">
        <v>776</v>
      </c>
      <c r="K37" s="450"/>
      <c r="L37" s="1500"/>
      <c r="M37" s="1500"/>
      <c r="R37" s="1500"/>
      <c r="U37" s="451"/>
      <c r="AA37" s="1496"/>
      <c r="AB37" s="1496"/>
      <c r="AC37" s="1496"/>
      <c r="AD37" s="1496"/>
      <c r="AE37" s="1496"/>
    </row>
    <row r="38" spans="1:31" ht="11.25" customHeight="1">
      <c r="D38" s="1502"/>
    </row>
    <row r="39" spans="1:31" ht="26.25" customHeight="1">
      <c r="D39" s="1502"/>
      <c r="E39" s="1136" t="s">
        <v>807</v>
      </c>
      <c r="F39" s="5396" t="s">
        <v>808</v>
      </c>
      <c r="G39" s="5396"/>
      <c r="H39" s="5396"/>
      <c r="I39" s="5396"/>
      <c r="J39" s="5396"/>
    </row>
    <row r="40" spans="1:31" s="4866" customFormat="1" ht="37.5" customHeight="1">
      <c r="A40" s="877"/>
      <c r="B40" s="1500"/>
      <c r="C40" s="1500"/>
      <c r="D40" s="268"/>
      <c r="F40" s="5396" t="s">
        <v>809</v>
      </c>
      <c r="G40" s="5396"/>
      <c r="H40" s="5396"/>
      <c r="I40" s="5396"/>
      <c r="J40" s="5396"/>
      <c r="K40" s="1042"/>
      <c r="L40" s="1500"/>
      <c r="M40" s="1500"/>
      <c r="N40" s="1042"/>
      <c r="O40" s="1042"/>
      <c r="P40" s="1042"/>
      <c r="Q40" s="1042"/>
      <c r="R40" s="1500"/>
      <c r="S40" s="1042"/>
      <c r="T40" s="1042"/>
      <c r="U40" s="451"/>
      <c r="V40" s="1042"/>
      <c r="W40" s="1042"/>
      <c r="X40" s="1042"/>
      <c r="Y40" s="1042"/>
      <c r="Z40" s="1042"/>
      <c r="AA40" s="1496"/>
      <c r="AB40" s="473"/>
      <c r="AC40" s="473"/>
      <c r="AD40" s="473"/>
      <c r="AE40" s="473"/>
    </row>
    <row r="41" spans="1:31" s="4866" customFormat="1" ht="11.25" customHeight="1">
      <c r="A41" s="877"/>
      <c r="B41" s="1500"/>
      <c r="C41" s="1500"/>
      <c r="D41" s="268"/>
      <c r="K41" s="1042"/>
      <c r="L41" s="1500"/>
      <c r="M41" s="1500"/>
      <c r="N41" s="1042"/>
      <c r="O41" s="1042"/>
      <c r="P41" s="1042"/>
      <c r="Q41" s="1042"/>
      <c r="R41" s="1500"/>
      <c r="S41" s="1042"/>
      <c r="T41" s="1042"/>
      <c r="U41" s="451"/>
      <c r="V41" s="1042"/>
      <c r="W41" s="1042"/>
      <c r="X41" s="1042"/>
      <c r="Y41" s="1042"/>
      <c r="Z41" s="1042"/>
      <c r="AA41" s="1496"/>
      <c r="AB41" s="473"/>
      <c r="AC41" s="473"/>
      <c r="AD41" s="473"/>
      <c r="AE41" s="473"/>
    </row>
    <row r="42" spans="1:31" s="4866" customFormat="1" ht="11.25" customHeight="1">
      <c r="A42" s="877"/>
      <c r="B42" s="1500"/>
      <c r="C42" s="1500"/>
      <c r="D42" s="268"/>
      <c r="K42" s="1042"/>
      <c r="L42" s="1500"/>
      <c r="M42" s="1500"/>
      <c r="N42" s="1042"/>
      <c r="O42" s="1042"/>
      <c r="P42" s="1042"/>
      <c r="Q42" s="1042"/>
      <c r="R42" s="1500"/>
      <c r="S42" s="1042"/>
      <c r="T42" s="1042"/>
      <c r="U42" s="451"/>
      <c r="V42" s="1042"/>
      <c r="W42" s="1042"/>
      <c r="X42" s="1042"/>
      <c r="Y42" s="1042"/>
      <c r="Z42" s="1042"/>
      <c r="AA42" s="1496"/>
      <c r="AB42" s="473"/>
      <c r="AC42" s="473"/>
      <c r="AD42" s="473"/>
      <c r="AE42" s="473"/>
    </row>
    <row r="43" spans="1:31" s="4866" customFormat="1" ht="11.25" customHeight="1">
      <c r="A43" s="877"/>
      <c r="B43" s="1500"/>
      <c r="C43" s="1500"/>
      <c r="D43" s="268"/>
      <c r="H43" s="473"/>
      <c r="I43" s="473"/>
      <c r="K43" s="1042"/>
      <c r="L43" s="1500"/>
      <c r="M43" s="1500"/>
      <c r="N43" s="1042"/>
      <c r="O43" s="1042"/>
      <c r="P43" s="1042"/>
      <c r="Q43" s="1042"/>
      <c r="R43" s="1500"/>
      <c r="S43" s="1042"/>
      <c r="T43" s="1042"/>
      <c r="U43" s="451"/>
      <c r="V43" s="1042"/>
      <c r="W43" s="1042"/>
      <c r="X43" s="1042"/>
      <c r="Y43" s="1042"/>
      <c r="Z43" s="1042"/>
      <c r="AA43" s="1496"/>
      <c r="AB43" s="473"/>
      <c r="AC43" s="473"/>
      <c r="AD43" s="473"/>
      <c r="AE43" s="473"/>
    </row>
    <row r="44" spans="1:31" s="4866" customFormat="1" ht="11.25" customHeight="1">
      <c r="A44" s="877"/>
      <c r="B44" s="1500"/>
      <c r="C44" s="1500"/>
      <c r="D44" s="268"/>
      <c r="K44" s="1042"/>
      <c r="L44" s="1500"/>
      <c r="M44" s="1500"/>
      <c r="N44" s="1042"/>
      <c r="O44" s="1042"/>
      <c r="P44" s="1042"/>
      <c r="Q44" s="1042"/>
      <c r="R44" s="1500"/>
      <c r="S44" s="1042"/>
      <c r="T44" s="1042"/>
      <c r="U44" s="451"/>
      <c r="V44" s="1042"/>
      <c r="W44" s="1042"/>
      <c r="X44" s="1042"/>
      <c r="Y44" s="1042"/>
      <c r="Z44" s="1042"/>
      <c r="AA44" s="1496"/>
      <c r="AB44" s="473"/>
      <c r="AC44" s="473"/>
      <c r="AD44" s="473"/>
      <c r="AE44" s="473"/>
    </row>
    <row r="45" spans="1:31" s="4866" customFormat="1" ht="11.25" customHeight="1">
      <c r="A45" s="877"/>
      <c r="B45" s="1500"/>
      <c r="C45" s="1500"/>
      <c r="D45" s="268"/>
      <c r="K45" s="1042"/>
      <c r="L45" s="1500"/>
      <c r="M45" s="1500"/>
      <c r="N45" s="1042"/>
      <c r="O45" s="1042"/>
      <c r="P45" s="1042"/>
      <c r="Q45" s="1042"/>
      <c r="R45" s="1500"/>
      <c r="S45" s="1042"/>
      <c r="T45" s="1042"/>
      <c r="U45" s="451"/>
      <c r="V45" s="1042"/>
      <c r="W45" s="1042"/>
      <c r="X45" s="1042"/>
      <c r="Y45" s="1042"/>
      <c r="Z45" s="1042"/>
      <c r="AA45" s="1496"/>
      <c r="AB45" s="473"/>
      <c r="AC45" s="473"/>
      <c r="AD45" s="473"/>
      <c r="AE45" s="473"/>
    </row>
    <row r="46" spans="1:31" s="4866" customFormat="1" ht="11.25" customHeight="1">
      <c r="A46" s="877"/>
      <c r="B46" s="1500"/>
      <c r="C46" s="1500"/>
      <c r="D46" s="268"/>
      <c r="K46" s="1042"/>
      <c r="L46" s="1500"/>
      <c r="M46" s="1500"/>
      <c r="N46" s="1042"/>
      <c r="O46" s="1042"/>
      <c r="P46" s="1042"/>
      <c r="Q46" s="1042"/>
      <c r="R46" s="1500"/>
      <c r="S46" s="1042"/>
      <c r="T46" s="1042"/>
      <c r="U46" s="451"/>
      <c r="V46" s="1042"/>
      <c r="W46" s="1042"/>
      <c r="X46" s="1042"/>
      <c r="Y46" s="1042"/>
      <c r="Z46" s="1042"/>
      <c r="AA46" s="1496"/>
      <c r="AB46" s="473"/>
      <c r="AC46" s="473"/>
      <c r="AD46" s="473"/>
      <c r="AE46" s="473"/>
    </row>
    <row r="47" spans="1:31" s="4866" customFormat="1" ht="11.25" customHeight="1">
      <c r="A47" s="877"/>
      <c r="B47" s="1500"/>
      <c r="C47" s="1500"/>
      <c r="D47" s="268"/>
      <c r="K47" s="1042"/>
      <c r="L47" s="1500"/>
      <c r="M47" s="1500"/>
      <c r="N47" s="1042"/>
      <c r="O47" s="1042"/>
      <c r="P47" s="1042"/>
      <c r="Q47" s="1042"/>
      <c r="R47" s="1500"/>
      <c r="S47" s="1042"/>
      <c r="T47" s="1042"/>
      <c r="U47" s="451"/>
      <c r="V47" s="1042"/>
      <c r="W47" s="1042"/>
      <c r="X47" s="1042"/>
      <c r="Y47" s="1042"/>
      <c r="Z47" s="1042"/>
      <c r="AA47" s="1496"/>
      <c r="AB47" s="473"/>
      <c r="AC47" s="473"/>
      <c r="AD47" s="473"/>
      <c r="AE47" s="473"/>
    </row>
    <row r="48" spans="1:31" s="4866" customFormat="1" ht="11.25" customHeight="1">
      <c r="A48" s="877"/>
      <c r="B48" s="1500"/>
      <c r="C48" s="1500"/>
      <c r="D48" s="268"/>
      <c r="K48" s="1042"/>
      <c r="L48" s="1500"/>
      <c r="M48" s="1500"/>
      <c r="N48" s="1042"/>
      <c r="O48" s="1042"/>
      <c r="P48" s="1042"/>
      <c r="Q48" s="1042"/>
      <c r="R48" s="1500"/>
      <c r="S48" s="1042"/>
      <c r="T48" s="1042"/>
      <c r="U48" s="451"/>
      <c r="V48" s="1042"/>
      <c r="W48" s="1042"/>
      <c r="X48" s="1042"/>
      <c r="Y48" s="1042"/>
      <c r="Z48" s="1042"/>
      <c r="AA48" s="1496"/>
      <c r="AB48" s="473"/>
      <c r="AC48" s="473"/>
      <c r="AD48" s="473"/>
      <c r="AE48" s="473"/>
    </row>
    <row r="49" spans="1:31" s="4866" customFormat="1" ht="11.25" customHeight="1">
      <c r="A49" s="877"/>
      <c r="B49" s="1500"/>
      <c r="C49" s="1500"/>
      <c r="D49" s="268"/>
      <c r="K49" s="1042"/>
      <c r="L49" s="1500"/>
      <c r="M49" s="1500"/>
      <c r="N49" s="1042"/>
      <c r="O49" s="1042"/>
      <c r="P49" s="1042"/>
      <c r="Q49" s="1042"/>
      <c r="R49" s="1500"/>
      <c r="S49" s="1042"/>
      <c r="T49" s="1042"/>
      <c r="U49" s="451"/>
      <c r="V49" s="1042"/>
      <c r="W49" s="1042"/>
      <c r="X49" s="1042"/>
      <c r="Y49" s="1042"/>
      <c r="Z49" s="1042"/>
      <c r="AA49" s="1496"/>
      <c r="AB49" s="473"/>
      <c r="AC49" s="473"/>
      <c r="AD49" s="473"/>
      <c r="AE49" s="473"/>
    </row>
    <row r="50" spans="1:31" s="4866" customFormat="1" ht="11.25" customHeight="1">
      <c r="A50" s="877"/>
      <c r="B50" s="1500"/>
      <c r="C50" s="1500"/>
      <c r="D50" s="268"/>
      <c r="K50" s="1042"/>
      <c r="L50" s="1500"/>
      <c r="M50" s="1500"/>
      <c r="N50" s="1042"/>
      <c r="O50" s="1042"/>
      <c r="P50" s="1042"/>
      <c r="Q50" s="1042"/>
      <c r="R50" s="1500"/>
      <c r="S50" s="1042"/>
      <c r="T50" s="1042"/>
      <c r="U50" s="451"/>
      <c r="V50" s="1042"/>
      <c r="W50" s="1042"/>
      <c r="X50" s="1042"/>
      <c r="Y50" s="1042"/>
      <c r="Z50" s="1042"/>
      <c r="AA50" s="1496"/>
      <c r="AB50" s="473"/>
      <c r="AC50" s="473"/>
      <c r="AD50" s="473"/>
      <c r="AE50" s="473"/>
    </row>
    <row r="51" spans="1:31" s="4866" customFormat="1" ht="11.25" customHeight="1">
      <c r="A51" s="877"/>
      <c r="B51" s="1500"/>
      <c r="C51" s="1500"/>
      <c r="D51" s="268"/>
      <c r="K51" s="1042"/>
      <c r="L51" s="1500"/>
      <c r="M51" s="1500"/>
      <c r="N51" s="1042"/>
      <c r="O51" s="1042"/>
      <c r="P51" s="1042"/>
      <c r="Q51" s="1042"/>
      <c r="R51" s="1500"/>
      <c r="S51" s="1042"/>
      <c r="T51" s="1042"/>
      <c r="U51" s="451"/>
      <c r="V51" s="1042"/>
      <c r="W51" s="1042"/>
      <c r="X51" s="1042"/>
      <c r="Y51" s="1042"/>
      <c r="Z51" s="1042"/>
      <c r="AA51" s="1496"/>
      <c r="AB51" s="473"/>
      <c r="AC51" s="473"/>
      <c r="AD51" s="473"/>
      <c r="AE51" s="473"/>
    </row>
    <row r="52" spans="1:31" s="4866" customFormat="1" ht="11.25" customHeight="1">
      <c r="A52" s="877"/>
      <c r="B52" s="1500"/>
      <c r="C52" s="1500"/>
      <c r="D52" s="268"/>
      <c r="K52" s="1042"/>
      <c r="L52" s="1500"/>
      <c r="M52" s="1500"/>
      <c r="N52" s="1042"/>
      <c r="O52" s="1042"/>
      <c r="P52" s="1042"/>
      <c r="Q52" s="1042"/>
      <c r="R52" s="1500"/>
      <c r="S52" s="1042"/>
      <c r="T52" s="1042"/>
      <c r="U52" s="451"/>
      <c r="V52" s="1042"/>
      <c r="W52" s="1042"/>
      <c r="X52" s="1042"/>
      <c r="Y52" s="1042"/>
      <c r="Z52" s="1042"/>
      <c r="AA52" s="1496"/>
      <c r="AB52" s="473"/>
      <c r="AC52" s="473"/>
      <c r="AD52" s="473"/>
      <c r="AE52" s="473"/>
    </row>
    <row r="53" spans="1:31" s="4866" customFormat="1" ht="11.25" customHeight="1">
      <c r="A53" s="877"/>
      <c r="B53" s="1500"/>
      <c r="C53" s="1500"/>
      <c r="D53" s="268"/>
      <c r="K53" s="1042"/>
      <c r="L53" s="1500"/>
      <c r="M53" s="1500"/>
      <c r="N53" s="1042"/>
      <c r="O53" s="1042"/>
      <c r="P53" s="1042"/>
      <c r="Q53" s="1042"/>
      <c r="R53" s="1500"/>
      <c r="S53" s="1042"/>
      <c r="T53" s="1042"/>
      <c r="U53" s="451"/>
      <c r="V53" s="1042"/>
      <c r="W53" s="1042"/>
      <c r="X53" s="1042"/>
      <c r="Y53" s="1042"/>
      <c r="Z53" s="1042"/>
      <c r="AA53" s="1496"/>
      <c r="AB53" s="473"/>
      <c r="AC53" s="473"/>
      <c r="AD53" s="473"/>
      <c r="AE53" s="473"/>
    </row>
    <row r="54" spans="1:31" s="4866" customFormat="1" ht="11.25" customHeight="1">
      <c r="A54" s="877"/>
      <c r="B54" s="1500"/>
      <c r="C54" s="1500"/>
      <c r="D54" s="268"/>
      <c r="K54" s="1042"/>
      <c r="L54" s="1500"/>
      <c r="M54" s="1500"/>
      <c r="N54" s="1042"/>
      <c r="O54" s="1042"/>
      <c r="P54" s="1042"/>
      <c r="Q54" s="1042"/>
      <c r="R54" s="1500"/>
      <c r="S54" s="1042"/>
      <c r="T54" s="1042"/>
      <c r="U54" s="451"/>
      <c r="V54" s="1042"/>
      <c r="W54" s="1042"/>
      <c r="X54" s="1042"/>
      <c r="Y54" s="1042"/>
      <c r="Z54" s="1042"/>
      <c r="AA54" s="1496"/>
      <c r="AB54" s="473"/>
      <c r="AC54" s="473"/>
      <c r="AD54" s="473"/>
      <c r="AE54" s="473"/>
    </row>
    <row r="55" spans="1:31" s="4866" customFormat="1" ht="11.25" customHeight="1">
      <c r="A55" s="877"/>
      <c r="B55" s="1500"/>
      <c r="C55" s="1500"/>
      <c r="D55" s="268"/>
      <c r="K55" s="1042"/>
      <c r="L55" s="1500"/>
      <c r="M55" s="1500"/>
      <c r="N55" s="1042"/>
      <c r="O55" s="1042"/>
      <c r="P55" s="1042"/>
      <c r="Q55" s="1042"/>
      <c r="R55" s="1500"/>
      <c r="S55" s="1042"/>
      <c r="T55" s="1042"/>
      <c r="U55" s="451"/>
      <c r="V55" s="1042"/>
      <c r="W55" s="1042"/>
      <c r="X55" s="1042"/>
      <c r="Y55" s="1042"/>
      <c r="Z55" s="1042"/>
      <c r="AA55" s="1496"/>
      <c r="AB55" s="473"/>
      <c r="AC55" s="473"/>
      <c r="AD55" s="473"/>
      <c r="AE55" s="473"/>
    </row>
    <row r="56" spans="1:31" s="4866" customFormat="1" ht="11.25" customHeight="1">
      <c r="A56" s="877"/>
      <c r="B56" s="1500"/>
      <c r="C56" s="1500"/>
      <c r="D56" s="268"/>
      <c r="K56" s="1042"/>
      <c r="L56" s="1500"/>
      <c r="M56" s="1500"/>
      <c r="N56" s="1042"/>
      <c r="O56" s="1042"/>
      <c r="P56" s="1042"/>
      <c r="Q56" s="1042"/>
      <c r="R56" s="1500"/>
      <c r="S56" s="1042"/>
      <c r="T56" s="1042"/>
      <c r="U56" s="451"/>
      <c r="V56" s="1042"/>
      <c r="W56" s="1042"/>
      <c r="X56" s="1042"/>
      <c r="Y56" s="1042"/>
      <c r="Z56" s="1042"/>
      <c r="AA56" s="1496"/>
      <c r="AB56" s="473"/>
      <c r="AC56" s="473"/>
      <c r="AD56" s="473"/>
      <c r="AE56" s="473"/>
    </row>
    <row r="57" spans="1:31" s="4866" customFormat="1" ht="11.25" customHeight="1">
      <c r="A57" s="877"/>
      <c r="B57" s="1500"/>
      <c r="C57" s="1500"/>
      <c r="D57" s="268"/>
      <c r="K57" s="1042"/>
      <c r="L57" s="1500"/>
      <c r="M57" s="1500"/>
      <c r="N57" s="1042"/>
      <c r="O57" s="1042"/>
      <c r="P57" s="1042"/>
      <c r="Q57" s="1042"/>
      <c r="R57" s="1500"/>
      <c r="S57" s="1042"/>
      <c r="T57" s="1042"/>
      <c r="U57" s="451"/>
      <c r="V57" s="1042"/>
      <c r="W57" s="1042"/>
      <c r="X57" s="1042"/>
      <c r="Y57" s="1042"/>
      <c r="Z57" s="1042"/>
      <c r="AA57" s="1496"/>
      <c r="AB57" s="473"/>
      <c r="AC57" s="473"/>
      <c r="AD57" s="473"/>
      <c r="AE57" s="473"/>
    </row>
    <row r="58" spans="1:31" s="4866" customFormat="1" ht="11.25" customHeight="1">
      <c r="A58" s="877"/>
      <c r="B58" s="1500"/>
      <c r="C58" s="1500"/>
      <c r="D58" s="268"/>
      <c r="K58" s="1042"/>
      <c r="L58" s="1500"/>
      <c r="M58" s="1500"/>
      <c r="N58" s="1042"/>
      <c r="O58" s="1042"/>
      <c r="P58" s="1042"/>
      <c r="Q58" s="1042"/>
      <c r="R58" s="1500"/>
      <c r="S58" s="1042"/>
      <c r="T58" s="1042"/>
      <c r="U58" s="451"/>
      <c r="V58" s="1042"/>
      <c r="W58" s="1042"/>
      <c r="X58" s="1042"/>
      <c r="Y58" s="1042"/>
      <c r="Z58" s="1042"/>
      <c r="AA58" s="1496"/>
      <c r="AB58" s="473"/>
      <c r="AC58" s="473"/>
      <c r="AD58" s="473"/>
      <c r="AE58" s="473"/>
    </row>
    <row r="59" spans="1:31" s="4866" customFormat="1" ht="11.25" customHeight="1">
      <c r="A59" s="877"/>
      <c r="B59" s="1500"/>
      <c r="C59" s="1500"/>
      <c r="D59" s="268"/>
      <c r="K59" s="1042"/>
      <c r="L59" s="1500"/>
      <c r="M59" s="1500"/>
      <c r="N59" s="1042"/>
      <c r="O59" s="1042"/>
      <c r="P59" s="1042"/>
      <c r="Q59" s="1042"/>
      <c r="R59" s="1500"/>
      <c r="S59" s="1042"/>
      <c r="T59" s="1042"/>
      <c r="U59" s="451"/>
      <c r="V59" s="1042"/>
      <c r="W59" s="1042"/>
      <c r="X59" s="1042"/>
      <c r="Y59" s="1042"/>
      <c r="Z59" s="1042"/>
      <c r="AA59" s="1496"/>
      <c r="AB59" s="473"/>
      <c r="AC59" s="473"/>
      <c r="AD59" s="473"/>
      <c r="AE59" s="473"/>
    </row>
    <row r="60" spans="1:31" s="4866" customFormat="1" ht="11.25" customHeight="1">
      <c r="A60" s="877"/>
      <c r="B60" s="1500"/>
      <c r="C60" s="1500"/>
      <c r="D60" s="268"/>
      <c r="K60" s="1042"/>
      <c r="L60" s="1500"/>
      <c r="M60" s="1500"/>
      <c r="N60" s="1042"/>
      <c r="O60" s="1042"/>
      <c r="P60" s="1042"/>
      <c r="Q60" s="1042"/>
      <c r="R60" s="1500"/>
      <c r="S60" s="1042"/>
      <c r="T60" s="1042"/>
      <c r="U60" s="451"/>
      <c r="V60" s="1042"/>
      <c r="W60" s="1042"/>
      <c r="X60" s="1042"/>
      <c r="Y60" s="1042"/>
      <c r="Z60" s="1042"/>
      <c r="AA60" s="1496"/>
      <c r="AB60" s="473"/>
      <c r="AC60" s="473"/>
      <c r="AD60" s="473"/>
      <c r="AE60" s="473"/>
    </row>
    <row r="61" spans="1:31" s="4866" customFormat="1" ht="11.25" customHeight="1">
      <c r="A61" s="877"/>
      <c r="B61" s="1500"/>
      <c r="C61" s="1500"/>
      <c r="D61" s="268"/>
      <c r="K61" s="1042"/>
      <c r="L61" s="1500"/>
      <c r="M61" s="1500"/>
      <c r="N61" s="1042"/>
      <c r="O61" s="1042"/>
      <c r="P61" s="1042"/>
      <c r="Q61" s="1042"/>
      <c r="R61" s="1500"/>
      <c r="S61" s="1042"/>
      <c r="T61" s="1042"/>
      <c r="U61" s="451"/>
      <c r="V61" s="1042"/>
      <c r="W61" s="1042"/>
      <c r="X61" s="1042"/>
      <c r="Y61" s="1042"/>
      <c r="Z61" s="1042"/>
      <c r="AA61" s="1496"/>
      <c r="AB61" s="473"/>
      <c r="AC61" s="473"/>
      <c r="AD61" s="473"/>
      <c r="AE61" s="473"/>
    </row>
    <row r="62" spans="1:31" s="4866" customFormat="1" ht="11.25" customHeight="1">
      <c r="A62" s="877"/>
      <c r="B62" s="1500"/>
      <c r="C62" s="1500"/>
      <c r="D62" s="268"/>
      <c r="K62" s="1042"/>
      <c r="L62" s="1500"/>
      <c r="M62" s="1500"/>
      <c r="N62" s="1042"/>
      <c r="O62" s="1042"/>
      <c r="P62" s="1042"/>
      <c r="Q62" s="1042"/>
      <c r="R62" s="1500"/>
      <c r="S62" s="1042"/>
      <c r="T62" s="1042"/>
      <c r="U62" s="451"/>
      <c r="V62" s="1042"/>
      <c r="W62" s="1042"/>
      <c r="X62" s="1042"/>
      <c r="Y62" s="1042"/>
      <c r="Z62" s="1042"/>
      <c r="AA62" s="1496"/>
      <c r="AB62" s="473"/>
      <c r="AC62" s="473"/>
      <c r="AD62" s="473"/>
      <c r="AE62" s="473"/>
    </row>
    <row r="63" spans="1:31" s="4866" customFormat="1" ht="11.25" customHeight="1">
      <c r="A63" s="877"/>
      <c r="B63" s="1500"/>
      <c r="C63" s="1500"/>
      <c r="D63" s="268"/>
      <c r="K63" s="1042"/>
      <c r="L63" s="1500"/>
      <c r="M63" s="1500"/>
      <c r="N63" s="1042"/>
      <c r="O63" s="1042"/>
      <c r="P63" s="1042"/>
      <c r="Q63" s="1042"/>
      <c r="R63" s="1500"/>
      <c r="S63" s="1042"/>
      <c r="T63" s="1042"/>
      <c r="U63" s="451"/>
      <c r="V63" s="1042"/>
      <c r="W63" s="1042"/>
      <c r="X63" s="1042"/>
      <c r="Y63" s="1042"/>
      <c r="Z63" s="1042"/>
      <c r="AA63" s="1496"/>
      <c r="AB63" s="473"/>
      <c r="AC63" s="473"/>
      <c r="AD63" s="473"/>
      <c r="AE63" s="473"/>
    </row>
    <row r="64" spans="1:31" s="4866" customFormat="1" ht="11.25" customHeight="1">
      <c r="A64" s="877"/>
      <c r="B64" s="1500"/>
      <c r="C64" s="1500"/>
      <c r="D64" s="268"/>
      <c r="K64" s="1042"/>
      <c r="L64" s="1500"/>
      <c r="M64" s="1500"/>
      <c r="N64" s="1042"/>
      <c r="O64" s="1042"/>
      <c r="P64" s="1042"/>
      <c r="Q64" s="1042"/>
      <c r="R64" s="1500"/>
      <c r="S64" s="1042"/>
      <c r="T64" s="1042"/>
      <c r="U64" s="451"/>
      <c r="V64" s="1042"/>
      <c r="W64" s="1042"/>
      <c r="X64" s="1042"/>
      <c r="Y64" s="1042"/>
      <c r="Z64" s="1042"/>
      <c r="AA64" s="1496"/>
      <c r="AB64" s="473"/>
      <c r="AC64" s="473"/>
      <c r="AD64" s="473"/>
      <c r="AE64" s="473"/>
    </row>
    <row r="65" spans="1:31" s="4866" customFormat="1" ht="11.25" customHeight="1">
      <c r="A65" s="877"/>
      <c r="B65" s="1500"/>
      <c r="C65" s="1500"/>
      <c r="D65" s="268"/>
      <c r="K65" s="1042"/>
      <c r="L65" s="1500"/>
      <c r="M65" s="1500"/>
      <c r="N65" s="1042"/>
      <c r="O65" s="1042"/>
      <c r="P65" s="1042"/>
      <c r="Q65" s="1042"/>
      <c r="R65" s="1500"/>
      <c r="S65" s="1042"/>
      <c r="T65" s="1042"/>
      <c r="U65" s="451"/>
      <c r="V65" s="1042"/>
      <c r="W65" s="1042"/>
      <c r="X65" s="1042"/>
      <c r="Y65" s="1042"/>
      <c r="Z65" s="1042"/>
      <c r="AA65" s="1496"/>
      <c r="AB65" s="473"/>
      <c r="AC65" s="473"/>
      <c r="AD65" s="473"/>
      <c r="AE65" s="473"/>
    </row>
    <row r="66" spans="1:31" s="4866" customFormat="1" ht="11.25" customHeight="1">
      <c r="A66" s="877"/>
      <c r="B66" s="1500"/>
      <c r="C66" s="1500"/>
      <c r="D66" s="268"/>
      <c r="K66" s="1042"/>
      <c r="L66" s="1500"/>
      <c r="M66" s="1500"/>
      <c r="N66" s="1042"/>
      <c r="O66" s="1042"/>
      <c r="P66" s="1042"/>
      <c r="Q66" s="1042"/>
      <c r="R66" s="1500"/>
      <c r="S66" s="1042"/>
      <c r="T66" s="1042"/>
      <c r="U66" s="451"/>
      <c r="V66" s="1042"/>
      <c r="W66" s="1042"/>
      <c r="X66" s="1042"/>
      <c r="Y66" s="1042"/>
      <c r="Z66" s="1042"/>
      <c r="AA66" s="1496"/>
      <c r="AB66" s="473"/>
      <c r="AC66" s="473"/>
      <c r="AD66" s="473"/>
      <c r="AE66" s="473"/>
    </row>
    <row r="67" spans="1:31" s="4866" customFormat="1" ht="11.25" customHeight="1">
      <c r="A67" s="877"/>
      <c r="B67" s="1500"/>
      <c r="C67" s="1500"/>
      <c r="D67" s="268"/>
      <c r="K67" s="1042"/>
      <c r="L67" s="1500"/>
      <c r="M67" s="1500"/>
      <c r="N67" s="1042"/>
      <c r="O67" s="1042"/>
      <c r="P67" s="1042"/>
      <c r="Q67" s="1042"/>
      <c r="R67" s="1500"/>
      <c r="S67" s="1042"/>
      <c r="T67" s="1042"/>
      <c r="U67" s="451"/>
      <c r="V67" s="1042"/>
      <c r="W67" s="1042"/>
      <c r="X67" s="1042"/>
      <c r="Y67" s="1042"/>
      <c r="Z67" s="1042"/>
      <c r="AA67" s="1496"/>
      <c r="AB67" s="473"/>
      <c r="AC67" s="473"/>
      <c r="AD67" s="473"/>
      <c r="AE67" s="473"/>
    </row>
    <row r="68" spans="1:31" s="4866" customFormat="1" ht="11.25" customHeight="1">
      <c r="A68" s="877"/>
      <c r="B68" s="1500"/>
      <c r="C68" s="1500"/>
      <c r="D68" s="268"/>
      <c r="K68" s="1042"/>
      <c r="L68" s="1500"/>
      <c r="M68" s="1500"/>
      <c r="N68" s="1042"/>
      <c r="O68" s="1042"/>
      <c r="P68" s="1042"/>
      <c r="Q68" s="1042"/>
      <c r="R68" s="1500"/>
      <c r="S68" s="1042"/>
      <c r="T68" s="1042"/>
      <c r="U68" s="451"/>
      <c r="V68" s="1042"/>
      <c r="W68" s="1042"/>
      <c r="X68" s="1042"/>
      <c r="Y68" s="1042"/>
      <c r="Z68" s="1042"/>
      <c r="AA68" s="1496"/>
      <c r="AB68" s="473"/>
      <c r="AC68" s="473"/>
      <c r="AD68" s="473"/>
      <c r="AE68" s="473"/>
    </row>
    <row r="69" spans="1:31" s="4866" customFormat="1" ht="11.25" customHeight="1">
      <c r="A69" s="877"/>
      <c r="B69" s="1500"/>
      <c r="C69" s="1500"/>
      <c r="D69" s="268"/>
      <c r="K69" s="1042"/>
      <c r="L69" s="1500"/>
      <c r="M69" s="1500"/>
      <c r="N69" s="1042"/>
      <c r="O69" s="1042"/>
      <c r="P69" s="1042"/>
      <c r="Q69" s="1042"/>
      <c r="R69" s="1500"/>
      <c r="S69" s="1042"/>
      <c r="T69" s="1042"/>
      <c r="U69" s="451"/>
      <c r="V69" s="1042"/>
      <c r="W69" s="1042"/>
      <c r="X69" s="1042"/>
      <c r="Y69" s="1042"/>
      <c r="Z69" s="1042"/>
      <c r="AA69" s="1496"/>
      <c r="AB69" s="473"/>
      <c r="AC69" s="473"/>
      <c r="AD69" s="473"/>
      <c r="AE69" s="473"/>
    </row>
    <row r="70" spans="1:31" s="4866" customFormat="1" ht="11.25" customHeight="1">
      <c r="A70" s="877"/>
      <c r="B70" s="1500"/>
      <c r="C70" s="1500"/>
      <c r="D70" s="268"/>
      <c r="K70" s="1042"/>
      <c r="L70" s="1500"/>
      <c r="M70" s="1500"/>
      <c r="N70" s="1042"/>
      <c r="O70" s="1042"/>
      <c r="P70" s="1042"/>
      <c r="Q70" s="1042"/>
      <c r="R70" s="1500"/>
      <c r="S70" s="1042"/>
      <c r="T70" s="1042"/>
      <c r="U70" s="451"/>
      <c r="V70" s="1042"/>
      <c r="W70" s="1042"/>
      <c r="X70" s="1042"/>
      <c r="Y70" s="1042"/>
      <c r="Z70" s="1042"/>
      <c r="AA70" s="1496"/>
      <c r="AB70" s="473"/>
      <c r="AC70" s="473"/>
      <c r="AD70" s="473"/>
      <c r="AE70" s="473"/>
    </row>
    <row r="71" spans="1:31" s="4866" customFormat="1" ht="11.25" customHeight="1">
      <c r="A71" s="877"/>
      <c r="B71" s="1500"/>
      <c r="C71" s="1500"/>
      <c r="D71" s="268"/>
      <c r="K71" s="1042"/>
      <c r="L71" s="1500"/>
      <c r="M71" s="1500"/>
      <c r="N71" s="1042"/>
      <c r="O71" s="1042"/>
      <c r="P71" s="1042"/>
      <c r="Q71" s="1042"/>
      <c r="R71" s="1500"/>
      <c r="S71" s="1042"/>
      <c r="T71" s="1042"/>
      <c r="U71" s="451"/>
      <c r="V71" s="1042"/>
      <c r="W71" s="1042"/>
      <c r="X71" s="1042"/>
      <c r="Y71" s="1042"/>
      <c r="Z71" s="1042"/>
      <c r="AA71" s="1496"/>
      <c r="AB71" s="473"/>
      <c r="AC71" s="473"/>
      <c r="AD71" s="473"/>
      <c r="AE71" s="473"/>
    </row>
    <row r="72" spans="1:31" s="4866" customFormat="1" ht="11.25" customHeight="1">
      <c r="A72" s="877"/>
      <c r="B72" s="1500"/>
      <c r="C72" s="1500"/>
      <c r="D72" s="268"/>
      <c r="K72" s="1042"/>
      <c r="L72" s="1500"/>
      <c r="M72" s="1500"/>
      <c r="N72" s="1042"/>
      <c r="O72" s="1042"/>
      <c r="P72" s="1042"/>
      <c r="Q72" s="1042"/>
      <c r="R72" s="1500"/>
      <c r="S72" s="1042"/>
      <c r="T72" s="1042"/>
      <c r="U72" s="451"/>
      <c r="V72" s="1042"/>
      <c r="W72" s="1042"/>
      <c r="X72" s="1042"/>
      <c r="Y72" s="1042"/>
      <c r="Z72" s="1042"/>
      <c r="AA72" s="1496"/>
      <c r="AB72" s="473"/>
      <c r="AC72" s="473"/>
      <c r="AD72" s="473"/>
      <c r="AE72" s="473"/>
    </row>
    <row r="73" spans="1:31" s="4866" customFormat="1" ht="11.25" customHeight="1">
      <c r="A73" s="877"/>
      <c r="B73" s="1500"/>
      <c r="C73" s="1500"/>
      <c r="D73" s="268"/>
      <c r="K73" s="1042"/>
      <c r="L73" s="1500"/>
      <c r="M73" s="1500"/>
      <c r="N73" s="1042"/>
      <c r="O73" s="1042"/>
      <c r="P73" s="1042"/>
      <c r="Q73" s="1042"/>
      <c r="R73" s="1500"/>
      <c r="S73" s="1042"/>
      <c r="T73" s="1042"/>
      <c r="U73" s="451"/>
      <c r="V73" s="1042"/>
      <c r="W73" s="1042"/>
      <c r="X73" s="1042"/>
      <c r="Y73" s="1042"/>
      <c r="Z73" s="1042"/>
      <c r="AA73" s="1496"/>
      <c r="AB73" s="473"/>
      <c r="AC73" s="473"/>
      <c r="AD73" s="473"/>
      <c r="AE73" s="473"/>
    </row>
    <row r="74" spans="1:31" s="4866" customFormat="1" ht="11.25" customHeight="1">
      <c r="A74" s="877"/>
      <c r="B74" s="1500"/>
      <c r="C74" s="1500"/>
      <c r="D74" s="268"/>
      <c r="K74" s="1042"/>
      <c r="L74" s="1500"/>
      <c r="M74" s="1500"/>
      <c r="N74" s="1042"/>
      <c r="O74" s="1042"/>
      <c r="P74" s="1042"/>
      <c r="Q74" s="1042"/>
      <c r="R74" s="1500"/>
      <c r="S74" s="1042"/>
      <c r="T74" s="1042"/>
      <c r="U74" s="451"/>
      <c r="V74" s="1042"/>
      <c r="W74" s="1042"/>
      <c r="X74" s="1042"/>
      <c r="Y74" s="1042"/>
      <c r="Z74" s="1042"/>
      <c r="AA74" s="1496"/>
      <c r="AB74" s="473"/>
      <c r="AC74" s="473"/>
      <c r="AD74" s="473"/>
      <c r="AE74" s="473"/>
    </row>
    <row r="75" spans="1:31" s="4866" customFormat="1" ht="11.25" customHeight="1">
      <c r="A75" s="877"/>
      <c r="B75" s="1500"/>
      <c r="C75" s="1500"/>
      <c r="D75" s="268"/>
      <c r="K75" s="1042"/>
      <c r="L75" s="1500"/>
      <c r="M75" s="1500"/>
      <c r="N75" s="1042"/>
      <c r="O75" s="1042"/>
      <c r="P75" s="1042"/>
      <c r="Q75" s="1042"/>
      <c r="R75" s="1500"/>
      <c r="S75" s="1042"/>
      <c r="T75" s="1042"/>
      <c r="U75" s="451"/>
      <c r="V75" s="1042"/>
      <c r="W75" s="1042"/>
      <c r="X75" s="1042"/>
      <c r="Y75" s="1042"/>
      <c r="Z75" s="1042"/>
      <c r="AA75" s="1496"/>
      <c r="AB75" s="473"/>
      <c r="AC75" s="473"/>
      <c r="AD75" s="473"/>
      <c r="AE75" s="473"/>
    </row>
    <row r="76" spans="1:31" s="4866" customFormat="1" ht="11.25" customHeight="1">
      <c r="A76" s="877"/>
      <c r="B76" s="1500"/>
      <c r="C76" s="1500"/>
      <c r="D76" s="268"/>
      <c r="K76" s="1042"/>
      <c r="L76" s="1500"/>
      <c r="M76" s="1500"/>
      <c r="N76" s="1042"/>
      <c r="O76" s="1042"/>
      <c r="P76" s="1042"/>
      <c r="Q76" s="1042"/>
      <c r="R76" s="1500"/>
      <c r="S76" s="1042"/>
      <c r="T76" s="1042"/>
      <c r="U76" s="451"/>
      <c r="V76" s="1042"/>
      <c r="W76" s="1042"/>
      <c r="X76" s="1042"/>
      <c r="Y76" s="1042"/>
      <c r="Z76" s="1042"/>
      <c r="AA76" s="1496"/>
      <c r="AB76" s="473"/>
      <c r="AC76" s="473"/>
      <c r="AD76" s="473"/>
      <c r="AE76" s="473"/>
    </row>
    <row r="77" spans="1:31" s="4866" customFormat="1" ht="11.25" customHeight="1">
      <c r="A77" s="877"/>
      <c r="B77" s="1500"/>
      <c r="C77" s="1500"/>
      <c r="D77" s="268"/>
      <c r="K77" s="1042"/>
      <c r="L77" s="1500"/>
      <c r="M77" s="1500"/>
      <c r="N77" s="1042"/>
      <c r="O77" s="1042"/>
      <c r="P77" s="1042"/>
      <c r="Q77" s="1042"/>
      <c r="R77" s="1500"/>
      <c r="S77" s="1042"/>
      <c r="T77" s="1042"/>
      <c r="U77" s="451"/>
      <c r="V77" s="1042"/>
      <c r="W77" s="1042"/>
      <c r="X77" s="1042"/>
      <c r="Y77" s="1042"/>
      <c r="Z77" s="1042"/>
      <c r="AA77" s="1496"/>
      <c r="AB77" s="473"/>
      <c r="AC77" s="473"/>
      <c r="AD77" s="473"/>
      <c r="AE77" s="473"/>
    </row>
    <row r="78" spans="1:31" s="4866" customFormat="1" ht="11.25" customHeight="1">
      <c r="A78" s="877"/>
      <c r="B78" s="1500"/>
      <c r="C78" s="1500"/>
      <c r="D78" s="268"/>
      <c r="K78" s="1042"/>
      <c r="L78" s="1500"/>
      <c r="M78" s="1500"/>
      <c r="N78" s="1042"/>
      <c r="O78" s="1042"/>
      <c r="P78" s="1042"/>
      <c r="Q78" s="1042"/>
      <c r="R78" s="1500"/>
      <c r="S78" s="1042"/>
      <c r="T78" s="1042"/>
      <c r="U78" s="451"/>
      <c r="V78" s="1042"/>
      <c r="W78" s="1042"/>
      <c r="X78" s="1042"/>
      <c r="Y78" s="1042"/>
      <c r="Z78" s="1042"/>
      <c r="AA78" s="1496"/>
      <c r="AB78" s="473"/>
      <c r="AC78" s="473"/>
      <c r="AD78" s="473"/>
      <c r="AE78" s="473"/>
    </row>
    <row r="79" spans="1:31" s="4866" customFormat="1" ht="11.25" customHeight="1">
      <c r="A79" s="877"/>
      <c r="B79" s="1500"/>
      <c r="C79" s="1500"/>
      <c r="D79" s="268"/>
      <c r="K79" s="1042"/>
      <c r="L79" s="1500"/>
      <c r="M79" s="1500"/>
      <c r="N79" s="1042"/>
      <c r="O79" s="1042"/>
      <c r="P79" s="1042"/>
      <c r="Q79" s="1042"/>
      <c r="R79" s="1500"/>
      <c r="S79" s="1042"/>
      <c r="T79" s="1042"/>
      <c r="U79" s="451"/>
      <c r="V79" s="1042"/>
      <c r="W79" s="1042"/>
      <c r="X79" s="1042"/>
      <c r="Y79" s="1042"/>
      <c r="Z79" s="1042"/>
      <c r="AA79" s="1496"/>
      <c r="AB79" s="473"/>
      <c r="AC79" s="473"/>
      <c r="AD79" s="473"/>
      <c r="AE79" s="473"/>
    </row>
    <row r="80" spans="1:31" s="4866" customFormat="1" ht="11.25" customHeight="1">
      <c r="A80" s="877"/>
      <c r="B80" s="1500"/>
      <c r="C80" s="1500"/>
      <c r="D80" s="268"/>
      <c r="K80" s="1042"/>
      <c r="L80" s="1500"/>
      <c r="M80" s="1500"/>
      <c r="N80" s="1042"/>
      <c r="O80" s="1042"/>
      <c r="P80" s="1042"/>
      <c r="Q80" s="1042"/>
      <c r="R80" s="1500"/>
      <c r="S80" s="1042"/>
      <c r="T80" s="1042"/>
      <c r="U80" s="451"/>
      <c r="V80" s="1042"/>
      <c r="W80" s="1042"/>
      <c r="X80" s="1042"/>
      <c r="Y80" s="1042"/>
      <c r="Z80" s="1042"/>
      <c r="AA80" s="1496"/>
      <c r="AB80" s="473"/>
      <c r="AC80" s="473"/>
      <c r="AD80" s="473"/>
      <c r="AE80" s="473"/>
    </row>
    <row r="81" spans="1:31" s="4866" customFormat="1" ht="11.25" customHeight="1">
      <c r="A81" s="877"/>
      <c r="B81" s="1500"/>
      <c r="C81" s="1500"/>
      <c r="D81" s="268"/>
      <c r="K81" s="1042"/>
      <c r="L81" s="1500"/>
      <c r="M81" s="1500"/>
      <c r="N81" s="1042"/>
      <c r="O81" s="1042"/>
      <c r="P81" s="1042"/>
      <c r="Q81" s="1042"/>
      <c r="R81" s="1500"/>
      <c r="S81" s="1042"/>
      <c r="T81" s="1042"/>
      <c r="U81" s="451"/>
      <c r="V81" s="1042"/>
      <c r="W81" s="1042"/>
      <c r="X81" s="1042"/>
      <c r="Y81" s="1042"/>
      <c r="Z81" s="1042"/>
      <c r="AA81" s="1496"/>
      <c r="AB81" s="473"/>
      <c r="AC81" s="473"/>
      <c r="AD81" s="473"/>
      <c r="AE81" s="473"/>
    </row>
    <row r="82" spans="1:31" s="4866" customFormat="1" ht="11.25" customHeight="1">
      <c r="A82" s="877"/>
      <c r="B82" s="1500"/>
      <c r="C82" s="1500"/>
      <c r="D82" s="268"/>
      <c r="K82" s="1042"/>
      <c r="L82" s="1500"/>
      <c r="M82" s="1500"/>
      <c r="N82" s="1042"/>
      <c r="O82" s="1042"/>
      <c r="P82" s="1042"/>
      <c r="Q82" s="1042"/>
      <c r="R82" s="1500"/>
      <c r="S82" s="1042"/>
      <c r="T82" s="1042"/>
      <c r="U82" s="451"/>
      <c r="V82" s="1042"/>
      <c r="W82" s="1042"/>
      <c r="X82" s="1042"/>
      <c r="Y82" s="1042"/>
      <c r="Z82" s="1042"/>
      <c r="AA82" s="1496"/>
      <c r="AB82" s="473"/>
      <c r="AC82" s="473"/>
      <c r="AD82" s="473"/>
      <c r="AE82" s="473"/>
    </row>
    <row r="83" spans="1:31" s="4866" customFormat="1" ht="11.25" customHeight="1">
      <c r="A83" s="877"/>
      <c r="B83" s="1500"/>
      <c r="C83" s="1500"/>
      <c r="D83" s="268"/>
      <c r="K83" s="1042"/>
      <c r="L83" s="1500"/>
      <c r="M83" s="1500"/>
      <c r="N83" s="1042"/>
      <c r="O83" s="1042"/>
      <c r="P83" s="1042"/>
      <c r="Q83" s="1042"/>
      <c r="R83" s="1500"/>
      <c r="S83" s="1042"/>
      <c r="T83" s="1042"/>
      <c r="U83" s="451"/>
      <c r="V83" s="1042"/>
      <c r="W83" s="1042"/>
      <c r="X83" s="1042"/>
      <c r="Y83" s="1042"/>
      <c r="Z83" s="1042"/>
      <c r="AA83" s="1496"/>
      <c r="AB83" s="473"/>
      <c r="AC83" s="473"/>
      <c r="AD83" s="473"/>
      <c r="AE83" s="473"/>
    </row>
    <row r="84" spans="1:31" s="4866" customFormat="1" ht="11.25" customHeight="1">
      <c r="A84" s="877"/>
      <c r="B84" s="1500"/>
      <c r="C84" s="1500"/>
      <c r="D84" s="268"/>
      <c r="K84" s="1042"/>
      <c r="L84" s="1500"/>
      <c r="M84" s="1500"/>
      <c r="N84" s="1042"/>
      <c r="O84" s="1042"/>
      <c r="P84" s="1042"/>
      <c r="Q84" s="1042"/>
      <c r="R84" s="1500"/>
      <c r="S84" s="1042"/>
      <c r="T84" s="1042"/>
      <c r="U84" s="451"/>
      <c r="V84" s="1042"/>
      <c r="W84" s="1042"/>
      <c r="X84" s="1042"/>
      <c r="Y84" s="1042"/>
      <c r="Z84" s="1042"/>
      <c r="AA84" s="1496"/>
      <c r="AB84" s="473"/>
      <c r="AC84" s="473"/>
      <c r="AD84" s="473"/>
      <c r="AE84" s="473"/>
    </row>
    <row r="85" spans="1:31" s="4866" customFormat="1" ht="11.25" customHeight="1">
      <c r="A85" s="877"/>
      <c r="B85" s="1500"/>
      <c r="C85" s="1500"/>
      <c r="D85" s="268"/>
      <c r="K85" s="1042"/>
      <c r="L85" s="1500"/>
      <c r="M85" s="1500"/>
      <c r="N85" s="1042"/>
      <c r="O85" s="1042"/>
      <c r="P85" s="1042"/>
      <c r="Q85" s="1042"/>
      <c r="R85" s="1500"/>
      <c r="S85" s="1042"/>
      <c r="T85" s="1042"/>
      <c r="U85" s="451"/>
      <c r="V85" s="1042"/>
      <c r="W85" s="1042"/>
      <c r="X85" s="1042"/>
      <c r="Y85" s="1042"/>
      <c r="Z85" s="1042"/>
      <c r="AA85" s="1496"/>
      <c r="AB85" s="473"/>
      <c r="AC85" s="473"/>
      <c r="AD85" s="473"/>
      <c r="AE85" s="473"/>
    </row>
    <row r="86" spans="1:31" s="4866" customFormat="1" ht="11.25" customHeight="1">
      <c r="A86" s="877"/>
      <c r="B86" s="1500"/>
      <c r="C86" s="1500"/>
      <c r="D86" s="268"/>
      <c r="K86" s="1042"/>
      <c r="L86" s="1500"/>
      <c r="M86" s="1500"/>
      <c r="N86" s="1042"/>
      <c r="O86" s="1042"/>
      <c r="P86" s="1042"/>
      <c r="Q86" s="1042"/>
      <c r="R86" s="1500"/>
      <c r="S86" s="1042"/>
      <c r="T86" s="1042"/>
      <c r="U86" s="451"/>
      <c r="V86" s="1042"/>
      <c r="W86" s="1042"/>
      <c r="X86" s="1042"/>
      <c r="Y86" s="1042"/>
      <c r="Z86" s="1042"/>
      <c r="AA86" s="1496"/>
      <c r="AB86" s="473"/>
      <c r="AC86" s="473"/>
      <c r="AD86" s="473"/>
      <c r="AE86" s="473"/>
    </row>
    <row r="87" spans="1:31" s="4866" customFormat="1" ht="11.25" customHeight="1">
      <c r="A87" s="877"/>
      <c r="B87" s="1500"/>
      <c r="C87" s="1500"/>
      <c r="D87" s="268"/>
      <c r="K87" s="1042"/>
      <c r="L87" s="1500"/>
      <c r="M87" s="1500"/>
      <c r="N87" s="1042"/>
      <c r="O87" s="1042"/>
      <c r="P87" s="1042"/>
      <c r="Q87" s="1042"/>
      <c r="R87" s="1500"/>
      <c r="S87" s="1042"/>
      <c r="T87" s="1042"/>
      <c r="U87" s="451"/>
      <c r="V87" s="1042"/>
      <c r="W87" s="1042"/>
      <c r="X87" s="1042"/>
      <c r="Y87" s="1042"/>
      <c r="Z87" s="1042"/>
      <c r="AA87" s="1496"/>
      <c r="AB87" s="473"/>
      <c r="AC87" s="473"/>
      <c r="AD87" s="473"/>
      <c r="AE87" s="473"/>
    </row>
    <row r="88" spans="1:31" s="4866" customFormat="1" ht="11.25" customHeight="1">
      <c r="A88" s="877"/>
      <c r="B88" s="1500"/>
      <c r="C88" s="1500"/>
      <c r="D88" s="268"/>
      <c r="K88" s="1042"/>
      <c r="L88" s="1500"/>
      <c r="M88" s="1500"/>
      <c r="N88" s="1042"/>
      <c r="O88" s="1042"/>
      <c r="P88" s="1042"/>
      <c r="Q88" s="1042"/>
      <c r="R88" s="1500"/>
      <c r="S88" s="1042"/>
      <c r="T88" s="1042"/>
      <c r="U88" s="451"/>
      <c r="V88" s="1042"/>
      <c r="W88" s="1042"/>
      <c r="X88" s="1042"/>
      <c r="Y88" s="1042"/>
      <c r="Z88" s="1042"/>
      <c r="AA88" s="1496"/>
      <c r="AB88" s="473"/>
      <c r="AC88" s="473"/>
      <c r="AD88" s="473"/>
      <c r="AE88" s="473"/>
    </row>
    <row r="89" spans="1:31" s="4866" customFormat="1" ht="11.25" customHeight="1">
      <c r="A89" s="877"/>
      <c r="B89" s="1500"/>
      <c r="C89" s="1500"/>
      <c r="D89" s="268"/>
      <c r="K89" s="1042"/>
      <c r="L89" s="1500"/>
      <c r="M89" s="1500"/>
      <c r="N89" s="1042"/>
      <c r="O89" s="1042"/>
      <c r="P89" s="1042"/>
      <c r="Q89" s="1042"/>
      <c r="R89" s="1500"/>
      <c r="S89" s="1042"/>
      <c r="T89" s="1042"/>
      <c r="U89" s="451"/>
      <c r="V89" s="1042"/>
      <c r="W89" s="1042"/>
      <c r="X89" s="1042"/>
      <c r="Y89" s="1042"/>
      <c r="Z89" s="1042"/>
      <c r="AA89" s="1496"/>
      <c r="AB89" s="473"/>
      <c r="AC89" s="473"/>
      <c r="AD89" s="473"/>
      <c r="AE89" s="473"/>
    </row>
    <row r="90" spans="1:31" s="4866" customFormat="1" ht="11.25" customHeight="1">
      <c r="A90" s="877"/>
      <c r="B90" s="1500"/>
      <c r="C90" s="1500"/>
      <c r="D90" s="268"/>
      <c r="K90" s="1042"/>
      <c r="L90" s="1500"/>
      <c r="M90" s="1500"/>
      <c r="N90" s="1042"/>
      <c r="O90" s="1042"/>
      <c r="P90" s="1042"/>
      <c r="Q90" s="1042"/>
      <c r="R90" s="1500"/>
      <c r="S90" s="1042"/>
      <c r="T90" s="1042"/>
      <c r="U90" s="451"/>
      <c r="V90" s="1042"/>
      <c r="W90" s="1042"/>
      <c r="X90" s="1042"/>
      <c r="Y90" s="1042"/>
      <c r="Z90" s="1042"/>
      <c r="AA90" s="1496"/>
      <c r="AB90" s="473"/>
      <c r="AC90" s="473"/>
      <c r="AD90" s="473"/>
      <c r="AE90" s="473"/>
    </row>
    <row r="91" spans="1:31" s="4866" customFormat="1" ht="11.25" customHeight="1">
      <c r="A91" s="877"/>
      <c r="B91" s="1500"/>
      <c r="C91" s="1500"/>
      <c r="D91" s="268"/>
      <c r="K91" s="1042"/>
      <c r="L91" s="1500"/>
      <c r="M91" s="1500"/>
      <c r="N91" s="1042"/>
      <c r="O91" s="1042"/>
      <c r="P91" s="1042"/>
      <c r="Q91" s="1042"/>
      <c r="R91" s="1500"/>
      <c r="S91" s="1042"/>
      <c r="T91" s="1042"/>
      <c r="U91" s="451"/>
      <c r="V91" s="1042"/>
      <c r="W91" s="1042"/>
      <c r="X91" s="1042"/>
      <c r="Y91" s="1042"/>
      <c r="Z91" s="1042"/>
      <c r="AA91" s="1496"/>
      <c r="AB91" s="473"/>
      <c r="AC91" s="473"/>
      <c r="AD91" s="473"/>
      <c r="AE91" s="473"/>
    </row>
    <row r="92" spans="1:31" s="4866" customFormat="1" ht="11.25" customHeight="1">
      <c r="A92" s="877"/>
      <c r="B92" s="1500"/>
      <c r="C92" s="1500"/>
      <c r="D92" s="268"/>
      <c r="K92" s="1042"/>
      <c r="L92" s="1500"/>
      <c r="M92" s="1500"/>
      <c r="N92" s="1042"/>
      <c r="O92" s="1042"/>
      <c r="P92" s="1042"/>
      <c r="Q92" s="1042"/>
      <c r="R92" s="1500"/>
      <c r="S92" s="1042"/>
      <c r="T92" s="1042"/>
      <c r="U92" s="451"/>
      <c r="V92" s="1042"/>
      <c r="W92" s="1042"/>
      <c r="X92" s="1042"/>
      <c r="Y92" s="1042"/>
      <c r="Z92" s="1042"/>
      <c r="AA92" s="1496"/>
      <c r="AB92" s="473"/>
      <c r="AC92" s="473"/>
      <c r="AD92" s="473"/>
      <c r="AE92" s="473"/>
    </row>
    <row r="93" spans="1:31" s="4866" customFormat="1" ht="11.25" customHeight="1">
      <c r="A93" s="877"/>
      <c r="B93" s="1500"/>
      <c r="C93" s="1500"/>
      <c r="D93" s="268"/>
      <c r="K93" s="1042"/>
      <c r="L93" s="1500"/>
      <c r="M93" s="1500"/>
      <c r="N93" s="1042"/>
      <c r="O93" s="1042"/>
      <c r="P93" s="1042"/>
      <c r="Q93" s="1042"/>
      <c r="R93" s="1500"/>
      <c r="S93" s="1042"/>
      <c r="T93" s="1042"/>
      <c r="U93" s="451"/>
      <c r="V93" s="1042"/>
      <c r="W93" s="1042"/>
      <c r="X93" s="1042"/>
      <c r="Y93" s="1042"/>
      <c r="Z93" s="1042"/>
      <c r="AA93" s="1496"/>
      <c r="AB93" s="473"/>
      <c r="AC93" s="473"/>
      <c r="AD93" s="473"/>
      <c r="AE93" s="473"/>
    </row>
    <row r="94" spans="1:31" s="4866" customFormat="1" ht="11.25" customHeight="1">
      <c r="A94" s="877"/>
      <c r="B94" s="1500"/>
      <c r="C94" s="1500"/>
      <c r="D94" s="268"/>
      <c r="K94" s="1042"/>
      <c r="L94" s="1500"/>
      <c r="M94" s="1500"/>
      <c r="N94" s="1042"/>
      <c r="O94" s="1042"/>
      <c r="P94" s="1042"/>
      <c r="Q94" s="1042"/>
      <c r="R94" s="1500"/>
      <c r="S94" s="1042"/>
      <c r="T94" s="1042"/>
      <c r="U94" s="451"/>
      <c r="V94" s="1042"/>
      <c r="W94" s="1042"/>
      <c r="X94" s="1042"/>
      <c r="Y94" s="1042"/>
      <c r="Z94" s="1042"/>
      <c r="AA94" s="1496"/>
      <c r="AB94" s="473"/>
      <c r="AC94" s="473"/>
      <c r="AD94" s="473"/>
      <c r="AE94" s="473"/>
    </row>
    <row r="95" spans="1:31" s="4866" customFormat="1" ht="11.25" customHeight="1">
      <c r="A95" s="877"/>
      <c r="B95" s="1500"/>
      <c r="C95" s="1500"/>
      <c r="D95" s="268"/>
      <c r="K95" s="1042"/>
      <c r="L95" s="1500"/>
      <c r="M95" s="1500"/>
      <c r="N95" s="1042"/>
      <c r="O95" s="1042"/>
      <c r="P95" s="1042"/>
      <c r="Q95" s="1042"/>
      <c r="R95" s="1500"/>
      <c r="S95" s="1042"/>
      <c r="T95" s="1042"/>
      <c r="U95" s="451"/>
      <c r="V95" s="1042"/>
      <c r="W95" s="1042"/>
      <c r="X95" s="1042"/>
      <c r="Y95" s="1042"/>
      <c r="Z95" s="1042"/>
      <c r="AA95" s="1496"/>
      <c r="AB95" s="473"/>
      <c r="AC95" s="473"/>
      <c r="AD95" s="473"/>
      <c r="AE95" s="473"/>
    </row>
    <row r="96" spans="1:31" s="4866" customFormat="1" ht="11.25" customHeight="1">
      <c r="A96" s="877"/>
      <c r="B96" s="1500"/>
      <c r="C96" s="1500"/>
      <c r="D96" s="268"/>
      <c r="K96" s="1042"/>
      <c r="L96" s="1500"/>
      <c r="M96" s="1500"/>
      <c r="N96" s="1042"/>
      <c r="O96" s="1042"/>
      <c r="P96" s="1042"/>
      <c r="Q96" s="1042"/>
      <c r="R96" s="1500"/>
      <c r="S96" s="1042"/>
      <c r="T96" s="1042"/>
      <c r="U96" s="451"/>
      <c r="V96" s="1042"/>
      <c r="W96" s="1042"/>
      <c r="X96" s="1042"/>
      <c r="Y96" s="1042"/>
      <c r="Z96" s="1042"/>
      <c r="AA96" s="1496"/>
      <c r="AB96" s="473"/>
      <c r="AC96" s="473"/>
      <c r="AD96" s="473"/>
      <c r="AE96" s="473"/>
    </row>
    <row r="97" spans="1:31" s="4866" customFormat="1" ht="11.25" customHeight="1">
      <c r="A97" s="877"/>
      <c r="B97" s="1500"/>
      <c r="C97" s="1500"/>
      <c r="D97" s="268"/>
      <c r="K97" s="1042"/>
      <c r="L97" s="1500"/>
      <c r="M97" s="1500"/>
      <c r="N97" s="1042"/>
      <c r="O97" s="1042"/>
      <c r="P97" s="1042"/>
      <c r="Q97" s="1042"/>
      <c r="R97" s="1500"/>
      <c r="S97" s="1042"/>
      <c r="T97" s="1042"/>
      <c r="U97" s="451"/>
      <c r="V97" s="1042"/>
      <c r="W97" s="1042"/>
      <c r="X97" s="1042"/>
      <c r="Y97" s="1042"/>
      <c r="Z97" s="1042"/>
      <c r="AA97" s="1496"/>
      <c r="AB97" s="473"/>
      <c r="AC97" s="473"/>
      <c r="AD97" s="473"/>
      <c r="AE97" s="473"/>
    </row>
    <row r="98" spans="1:31" s="4866" customFormat="1" ht="11.25" customHeight="1">
      <c r="A98" s="877"/>
      <c r="B98" s="1500"/>
      <c r="C98" s="1500"/>
      <c r="D98" s="268"/>
      <c r="K98" s="1042"/>
      <c r="L98" s="1500"/>
      <c r="M98" s="1500"/>
      <c r="N98" s="1042"/>
      <c r="O98" s="1042"/>
      <c r="P98" s="1042"/>
      <c r="Q98" s="1042"/>
      <c r="R98" s="1500"/>
      <c r="S98" s="1042"/>
      <c r="T98" s="1042"/>
      <c r="U98" s="451"/>
      <c r="V98" s="1042"/>
      <c r="W98" s="1042"/>
      <c r="X98" s="1042"/>
      <c r="Y98" s="1042"/>
      <c r="Z98" s="1042"/>
      <c r="AA98" s="1496"/>
      <c r="AB98" s="473"/>
      <c r="AC98" s="473"/>
      <c r="AD98" s="473"/>
      <c r="AE98" s="473"/>
    </row>
    <row r="99" spans="1:31" s="4866" customFormat="1" ht="11.25" customHeight="1">
      <c r="A99" s="877"/>
      <c r="B99" s="1500"/>
      <c r="C99" s="1500"/>
      <c r="D99" s="268"/>
      <c r="K99" s="1042"/>
      <c r="L99" s="1500"/>
      <c r="M99" s="1500"/>
      <c r="N99" s="1042"/>
      <c r="O99" s="1042"/>
      <c r="P99" s="1042"/>
      <c r="Q99" s="1042"/>
      <c r="R99" s="1500"/>
      <c r="S99" s="1042"/>
      <c r="T99" s="1042"/>
      <c r="U99" s="451"/>
      <c r="V99" s="1042"/>
      <c r="W99" s="1042"/>
      <c r="X99" s="1042"/>
      <c r="Y99" s="1042"/>
      <c r="Z99" s="1042"/>
      <c r="AA99" s="1496"/>
      <c r="AB99" s="473"/>
      <c r="AC99" s="473"/>
      <c r="AD99" s="473"/>
      <c r="AE99" s="473"/>
    </row>
    <row r="100" spans="1:31" s="4866" customFormat="1" ht="11.25" customHeight="1">
      <c r="A100" s="877"/>
      <c r="B100" s="1500"/>
      <c r="C100" s="1500"/>
      <c r="D100" s="268"/>
      <c r="K100" s="1042"/>
      <c r="L100" s="1500"/>
      <c r="M100" s="1500"/>
      <c r="N100" s="1042"/>
      <c r="O100" s="1042"/>
      <c r="P100" s="1042"/>
      <c r="Q100" s="1042"/>
      <c r="R100" s="1500"/>
      <c r="S100" s="1042"/>
      <c r="T100" s="1042"/>
      <c r="U100" s="451"/>
      <c r="V100" s="1042"/>
      <c r="W100" s="1042"/>
      <c r="X100" s="1042"/>
      <c r="Y100" s="1042"/>
      <c r="Z100" s="1042"/>
      <c r="AA100" s="1496"/>
      <c r="AB100" s="473"/>
      <c r="AC100" s="473"/>
      <c r="AD100" s="473"/>
      <c r="AE100" s="473"/>
    </row>
    <row r="101" spans="1:31" s="4866" customFormat="1" ht="11.25" customHeight="1">
      <c r="A101" s="877"/>
      <c r="B101" s="1500"/>
      <c r="C101" s="1500"/>
      <c r="D101" s="268"/>
      <c r="K101" s="1042"/>
      <c r="L101" s="1500"/>
      <c r="M101" s="1500"/>
      <c r="N101" s="1042"/>
      <c r="O101" s="1042"/>
      <c r="P101" s="1042"/>
      <c r="Q101" s="1042"/>
      <c r="R101" s="1500"/>
      <c r="S101" s="1042"/>
      <c r="T101" s="1042"/>
      <c r="U101" s="451"/>
      <c r="V101" s="1042"/>
      <c r="W101" s="1042"/>
      <c r="X101" s="1042"/>
      <c r="Y101" s="1042"/>
      <c r="Z101" s="1042"/>
      <c r="AA101" s="1496"/>
      <c r="AB101" s="473"/>
      <c r="AC101" s="473"/>
      <c r="AD101" s="473"/>
      <c r="AE101" s="473"/>
    </row>
    <row r="102" spans="1:31" s="4866" customFormat="1" ht="11.25" customHeight="1">
      <c r="A102" s="877"/>
      <c r="B102" s="1500"/>
      <c r="C102" s="1500"/>
      <c r="D102" s="268"/>
      <c r="K102" s="1042"/>
      <c r="L102" s="1500"/>
      <c r="M102" s="1500"/>
      <c r="N102" s="1042"/>
      <c r="O102" s="1042"/>
      <c r="P102" s="1042"/>
      <c r="Q102" s="1042"/>
      <c r="R102" s="1500"/>
      <c r="S102" s="1042"/>
      <c r="T102" s="1042"/>
      <c r="U102" s="451"/>
      <c r="V102" s="1042"/>
      <c r="W102" s="1042"/>
      <c r="X102" s="1042"/>
      <c r="Y102" s="1042"/>
      <c r="Z102" s="1042"/>
      <c r="AA102" s="1496"/>
      <c r="AB102" s="473"/>
      <c r="AC102" s="473"/>
      <c r="AD102" s="473"/>
      <c r="AE102" s="473"/>
    </row>
    <row r="103" spans="1:31" s="4866" customFormat="1" ht="11.25" customHeight="1">
      <c r="A103" s="877"/>
      <c r="B103" s="1500"/>
      <c r="C103" s="1500"/>
      <c r="D103" s="268"/>
      <c r="K103" s="1042"/>
      <c r="L103" s="1500"/>
      <c r="M103" s="1500"/>
      <c r="N103" s="1042"/>
      <c r="O103" s="1042"/>
      <c r="P103" s="1042"/>
      <c r="Q103" s="1042"/>
      <c r="R103" s="1500"/>
      <c r="S103" s="1042"/>
      <c r="T103" s="1042"/>
      <c r="U103" s="451"/>
      <c r="V103" s="1042"/>
      <c r="W103" s="1042"/>
      <c r="X103" s="1042"/>
      <c r="Y103" s="1042"/>
      <c r="Z103" s="1042"/>
      <c r="AA103" s="1496"/>
      <c r="AB103" s="473"/>
      <c r="AC103" s="473"/>
      <c r="AD103" s="473"/>
      <c r="AE103" s="473"/>
    </row>
    <row r="104" spans="1:31" s="4866" customFormat="1" ht="11.25" customHeight="1">
      <c r="A104" s="877"/>
      <c r="B104" s="1500"/>
      <c r="C104" s="1500"/>
      <c r="D104" s="268"/>
      <c r="K104" s="1042"/>
      <c r="L104" s="1500"/>
      <c r="M104" s="1500"/>
      <c r="N104" s="1042"/>
      <c r="O104" s="1042"/>
      <c r="P104" s="1042"/>
      <c r="Q104" s="1042"/>
      <c r="R104" s="1500"/>
      <c r="S104" s="1042"/>
      <c r="T104" s="1042"/>
      <c r="U104" s="451"/>
      <c r="V104" s="1042"/>
      <c r="W104" s="1042"/>
      <c r="X104" s="1042"/>
      <c r="Y104" s="1042"/>
      <c r="Z104" s="1042"/>
      <c r="AA104" s="1496"/>
      <c r="AB104" s="473"/>
      <c r="AC104" s="473"/>
      <c r="AD104" s="473"/>
      <c r="AE104" s="473"/>
    </row>
    <row r="105" spans="1:31" s="4866" customFormat="1" ht="11.25" customHeight="1">
      <c r="A105" s="877"/>
      <c r="B105" s="1500"/>
      <c r="C105" s="1500"/>
      <c r="D105" s="268"/>
      <c r="K105" s="1042"/>
      <c r="L105" s="1500"/>
      <c r="M105" s="1500"/>
      <c r="N105" s="1042"/>
      <c r="O105" s="1042"/>
      <c r="P105" s="1042"/>
      <c r="Q105" s="1042"/>
      <c r="R105" s="1500"/>
      <c r="S105" s="1042"/>
      <c r="T105" s="1042"/>
      <c r="U105" s="451"/>
      <c r="V105" s="1042"/>
      <c r="W105" s="1042"/>
      <c r="X105" s="1042"/>
      <c r="Y105" s="1042"/>
      <c r="Z105" s="1042"/>
      <c r="AA105" s="1496"/>
      <c r="AB105" s="473"/>
      <c r="AC105" s="473"/>
      <c r="AD105" s="473"/>
      <c r="AE105" s="473"/>
    </row>
    <row r="106" spans="1:31" s="4866" customFormat="1" ht="11.25" customHeight="1">
      <c r="A106" s="877"/>
      <c r="B106" s="1500"/>
      <c r="C106" s="1500"/>
      <c r="D106" s="268"/>
      <c r="K106" s="1042"/>
      <c r="L106" s="1500"/>
      <c r="M106" s="1500"/>
      <c r="N106" s="1042"/>
      <c r="O106" s="1042"/>
      <c r="P106" s="1042"/>
      <c r="Q106" s="1042"/>
      <c r="R106" s="1500"/>
      <c r="S106" s="1042"/>
      <c r="T106" s="1042"/>
      <c r="U106" s="451"/>
      <c r="V106" s="1042"/>
      <c r="W106" s="1042"/>
      <c r="X106" s="1042"/>
      <c r="Y106" s="1042"/>
      <c r="Z106" s="1042"/>
      <c r="AA106" s="1496"/>
      <c r="AB106" s="473"/>
      <c r="AC106" s="473"/>
      <c r="AD106" s="473"/>
      <c r="AE106" s="473"/>
    </row>
    <row r="107" spans="1:31" s="4866" customFormat="1" ht="11.25" customHeight="1">
      <c r="A107" s="877"/>
      <c r="B107" s="1500"/>
      <c r="C107" s="1500"/>
      <c r="D107" s="268"/>
      <c r="K107" s="1042"/>
      <c r="L107" s="1500"/>
      <c r="M107" s="1500"/>
      <c r="N107" s="1042"/>
      <c r="O107" s="1042"/>
      <c r="P107" s="1042"/>
      <c r="Q107" s="1042"/>
      <c r="R107" s="1500"/>
      <c r="S107" s="1042"/>
      <c r="T107" s="1042"/>
      <c r="U107" s="451"/>
      <c r="V107" s="1042"/>
      <c r="W107" s="1042"/>
      <c r="X107" s="1042"/>
      <c r="Y107" s="1042"/>
      <c r="Z107" s="1042"/>
      <c r="AA107" s="1496"/>
      <c r="AB107" s="473"/>
      <c r="AC107" s="473"/>
      <c r="AD107" s="473"/>
      <c r="AE107" s="473"/>
    </row>
    <row r="108" spans="1:31" s="4866" customFormat="1" ht="11.25" customHeight="1">
      <c r="A108" s="877"/>
      <c r="B108" s="1500"/>
      <c r="C108" s="1500"/>
      <c r="D108" s="268"/>
      <c r="K108" s="1042"/>
      <c r="L108" s="1500"/>
      <c r="M108" s="1500"/>
      <c r="N108" s="1042"/>
      <c r="O108" s="1042"/>
      <c r="P108" s="1042"/>
      <c r="Q108" s="1042"/>
      <c r="R108" s="1500"/>
      <c r="S108" s="1042"/>
      <c r="T108" s="1042"/>
      <c r="U108" s="451"/>
      <c r="V108" s="1042"/>
      <c r="W108" s="1042"/>
      <c r="X108" s="1042"/>
      <c r="Y108" s="1042"/>
      <c r="Z108" s="1042"/>
      <c r="AA108" s="1496"/>
      <c r="AB108" s="473"/>
      <c r="AC108" s="473"/>
      <c r="AD108" s="473"/>
      <c r="AE108" s="473"/>
    </row>
    <row r="109" spans="1:31" s="4866" customFormat="1" ht="11.25" customHeight="1">
      <c r="A109" s="877"/>
      <c r="B109" s="1500"/>
      <c r="C109" s="1500"/>
      <c r="D109" s="268"/>
      <c r="K109" s="1042"/>
      <c r="L109" s="1500"/>
      <c r="M109" s="1500"/>
      <c r="N109" s="1042"/>
      <c r="O109" s="1042"/>
      <c r="P109" s="1042"/>
      <c r="Q109" s="1042"/>
      <c r="R109" s="1500"/>
      <c r="S109" s="1042"/>
      <c r="T109" s="1042"/>
      <c r="U109" s="451"/>
      <c r="V109" s="1042"/>
      <c r="W109" s="1042"/>
      <c r="X109" s="1042"/>
      <c r="Y109" s="1042"/>
      <c r="Z109" s="1042"/>
      <c r="AA109" s="1496"/>
      <c r="AB109" s="473"/>
      <c r="AC109" s="473"/>
      <c r="AD109" s="473"/>
      <c r="AE109" s="473"/>
    </row>
    <row r="110" spans="1:31" s="4866" customFormat="1" ht="11.25" customHeight="1">
      <c r="A110" s="877"/>
      <c r="B110" s="1500"/>
      <c r="C110" s="1500"/>
      <c r="D110" s="268"/>
      <c r="K110" s="1042"/>
      <c r="L110" s="1500"/>
      <c r="M110" s="1500"/>
      <c r="N110" s="1042"/>
      <c r="O110" s="1042"/>
      <c r="P110" s="1042"/>
      <c r="Q110" s="1042"/>
      <c r="R110" s="1500"/>
      <c r="S110" s="1042"/>
      <c r="T110" s="1042"/>
      <c r="U110" s="451"/>
      <c r="V110" s="1042"/>
      <c r="W110" s="1042"/>
      <c r="X110" s="1042"/>
      <c r="Y110" s="1042"/>
      <c r="Z110" s="1042"/>
      <c r="AA110" s="1496"/>
      <c r="AB110" s="473"/>
      <c r="AC110" s="473"/>
      <c r="AD110" s="473"/>
      <c r="AE110" s="473"/>
    </row>
    <row r="111" spans="1:31" s="4866" customFormat="1" ht="11.25" customHeight="1">
      <c r="A111" s="877"/>
      <c r="B111" s="1500"/>
      <c r="C111" s="1500"/>
      <c r="D111" s="268"/>
      <c r="K111" s="1042"/>
      <c r="L111" s="1500"/>
      <c r="M111" s="1500"/>
      <c r="N111" s="1042"/>
      <c r="O111" s="1042"/>
      <c r="P111" s="1042"/>
      <c r="Q111" s="1042"/>
      <c r="R111" s="1500"/>
      <c r="S111" s="1042"/>
      <c r="T111" s="1042"/>
      <c r="U111" s="451"/>
      <c r="V111" s="1042"/>
      <c r="W111" s="1042"/>
      <c r="X111" s="1042"/>
      <c r="Y111" s="1042"/>
      <c r="Z111" s="1042"/>
      <c r="AA111" s="1496"/>
      <c r="AB111" s="473"/>
      <c r="AC111" s="473"/>
      <c r="AD111" s="473"/>
      <c r="AE111" s="473"/>
    </row>
    <row r="112" spans="1:31" s="4866" customFormat="1" ht="11.25" customHeight="1">
      <c r="A112" s="877"/>
      <c r="B112" s="1500"/>
      <c r="C112" s="1500"/>
      <c r="D112" s="268"/>
      <c r="K112" s="1042"/>
      <c r="L112" s="1500"/>
      <c r="M112" s="1500"/>
      <c r="N112" s="1042"/>
      <c r="O112" s="1042"/>
      <c r="P112" s="1042"/>
      <c r="Q112" s="1042"/>
      <c r="R112" s="1500"/>
      <c r="S112" s="1042"/>
      <c r="T112" s="1042"/>
      <c r="U112" s="451"/>
      <c r="V112" s="1042"/>
      <c r="W112" s="1042"/>
      <c r="X112" s="1042"/>
      <c r="Y112" s="1042"/>
      <c r="Z112" s="1042"/>
      <c r="AA112" s="1496"/>
      <c r="AB112" s="473"/>
      <c r="AC112" s="473"/>
      <c r="AD112" s="473"/>
      <c r="AE112" s="473"/>
    </row>
    <row r="113" spans="1:31" s="4866" customFormat="1" ht="11.25" customHeight="1">
      <c r="A113" s="877"/>
      <c r="B113" s="1500"/>
      <c r="C113" s="1500"/>
      <c r="D113" s="268"/>
      <c r="K113" s="1042"/>
      <c r="L113" s="1500"/>
      <c r="M113" s="1500"/>
      <c r="N113" s="1042"/>
      <c r="O113" s="1042"/>
      <c r="P113" s="1042"/>
      <c r="Q113" s="1042"/>
      <c r="R113" s="1500"/>
      <c r="S113" s="1042"/>
      <c r="T113" s="1042"/>
      <c r="U113" s="451"/>
      <c r="V113" s="1042"/>
      <c r="W113" s="1042"/>
      <c r="X113" s="1042"/>
      <c r="Y113" s="1042"/>
      <c r="Z113" s="1042"/>
      <c r="AA113" s="1496"/>
      <c r="AB113" s="473"/>
      <c r="AC113" s="473"/>
      <c r="AD113" s="473"/>
      <c r="AE113" s="473"/>
    </row>
    <row r="114" spans="1:31" s="4866" customFormat="1" ht="11.25" customHeight="1">
      <c r="A114" s="877"/>
      <c r="B114" s="1500"/>
      <c r="C114" s="1500"/>
      <c r="D114" s="268"/>
      <c r="K114" s="1042"/>
      <c r="L114" s="1500"/>
      <c r="M114" s="1500"/>
      <c r="N114" s="1042"/>
      <c r="O114" s="1042"/>
      <c r="P114" s="1042"/>
      <c r="Q114" s="1042"/>
      <c r="R114" s="1500"/>
      <c r="S114" s="1042"/>
      <c r="T114" s="1042"/>
      <c r="U114" s="451"/>
      <c r="V114" s="1042"/>
      <c r="W114" s="1042"/>
      <c r="X114" s="1042"/>
      <c r="Y114" s="1042"/>
      <c r="Z114" s="1042"/>
      <c r="AA114" s="1496"/>
      <c r="AB114" s="473"/>
      <c r="AC114" s="473"/>
      <c r="AD114" s="473"/>
      <c r="AE114" s="473"/>
    </row>
    <row r="115" spans="1:31" s="4866" customFormat="1" ht="11.25" customHeight="1">
      <c r="A115" s="877"/>
      <c r="B115" s="1500"/>
      <c r="C115" s="1500"/>
      <c r="D115" s="268"/>
      <c r="K115" s="1042"/>
      <c r="L115" s="1500"/>
      <c r="M115" s="1500"/>
      <c r="N115" s="1042"/>
      <c r="O115" s="1042"/>
      <c r="P115" s="1042"/>
      <c r="Q115" s="1042"/>
      <c r="R115" s="1500"/>
      <c r="S115" s="1042"/>
      <c r="T115" s="1042"/>
      <c r="U115" s="451"/>
      <c r="V115" s="1042"/>
      <c r="W115" s="1042"/>
      <c r="X115" s="1042"/>
      <c r="Y115" s="1042"/>
      <c r="Z115" s="1042"/>
      <c r="AA115" s="1496"/>
      <c r="AB115" s="473"/>
      <c r="AC115" s="473"/>
      <c r="AD115" s="473"/>
      <c r="AE115" s="473"/>
    </row>
    <row r="116" spans="1:31" s="4866" customFormat="1" ht="11.25" customHeight="1">
      <c r="A116" s="877"/>
      <c r="B116" s="1500"/>
      <c r="C116" s="1500"/>
      <c r="D116" s="268"/>
      <c r="K116" s="1042"/>
      <c r="L116" s="1500"/>
      <c r="M116" s="1500"/>
      <c r="N116" s="1042"/>
      <c r="O116" s="1042"/>
      <c r="P116" s="1042"/>
      <c r="Q116" s="1042"/>
      <c r="R116" s="1500"/>
      <c r="S116" s="1042"/>
      <c r="T116" s="1042"/>
      <c r="U116" s="451"/>
      <c r="V116" s="1042"/>
      <c r="W116" s="1042"/>
      <c r="X116" s="1042"/>
      <c r="Y116" s="1042"/>
      <c r="Z116" s="1042"/>
      <c r="AA116" s="1496"/>
      <c r="AB116" s="473"/>
      <c r="AC116" s="473"/>
      <c r="AD116" s="473"/>
      <c r="AE116" s="473"/>
    </row>
    <row r="117" spans="1:31" s="4866" customFormat="1" ht="11.25" customHeight="1">
      <c r="A117" s="877"/>
      <c r="B117" s="1500"/>
      <c r="C117" s="1500"/>
      <c r="D117" s="268"/>
      <c r="K117" s="1042"/>
      <c r="L117" s="1500"/>
      <c r="M117" s="1500"/>
      <c r="N117" s="1042"/>
      <c r="O117" s="1042"/>
      <c r="P117" s="1042"/>
      <c r="Q117" s="1042"/>
      <c r="R117" s="1500"/>
      <c r="S117" s="1042"/>
      <c r="T117" s="1042"/>
      <c r="U117" s="451"/>
      <c r="V117" s="1042"/>
      <c r="W117" s="1042"/>
      <c r="X117" s="1042"/>
      <c r="Y117" s="1042"/>
      <c r="Z117" s="1042"/>
      <c r="AA117" s="1496"/>
      <c r="AB117" s="473"/>
      <c r="AC117" s="473"/>
      <c r="AD117" s="473"/>
      <c r="AE117" s="473"/>
    </row>
    <row r="118" spans="1:31" s="4866" customFormat="1" ht="11.25" customHeight="1">
      <c r="A118" s="877"/>
      <c r="B118" s="1500"/>
      <c r="C118" s="1500"/>
      <c r="D118" s="268"/>
      <c r="K118" s="1042"/>
      <c r="L118" s="1500"/>
      <c r="M118" s="1500"/>
      <c r="N118" s="1042"/>
      <c r="O118" s="1042"/>
      <c r="P118" s="1042"/>
      <c r="Q118" s="1042"/>
      <c r="R118" s="1500"/>
      <c r="S118" s="1042"/>
      <c r="T118" s="1042"/>
      <c r="U118" s="451"/>
      <c r="V118" s="1042"/>
      <c r="W118" s="1042"/>
      <c r="X118" s="1042"/>
      <c r="Y118" s="1042"/>
      <c r="Z118" s="1042"/>
      <c r="AA118" s="1496"/>
      <c r="AB118" s="473"/>
      <c r="AC118" s="473"/>
      <c r="AD118" s="473"/>
      <c r="AE118" s="473"/>
    </row>
    <row r="119" spans="1:31" s="4866" customFormat="1" ht="11.25" customHeight="1">
      <c r="A119" s="877"/>
      <c r="B119" s="1500"/>
      <c r="C119" s="1500"/>
      <c r="D119" s="268"/>
      <c r="K119" s="1042"/>
      <c r="L119" s="1500"/>
      <c r="M119" s="1500"/>
      <c r="N119" s="1042"/>
      <c r="O119" s="1042"/>
      <c r="P119" s="1042"/>
      <c r="Q119" s="1042"/>
      <c r="R119" s="1500"/>
      <c r="S119" s="1042"/>
      <c r="T119" s="1042"/>
      <c r="U119" s="451"/>
      <c r="V119" s="1042"/>
      <c r="W119" s="1042"/>
      <c r="X119" s="1042"/>
      <c r="Y119" s="1042"/>
      <c r="Z119" s="1042"/>
      <c r="AA119" s="1496"/>
      <c r="AB119" s="473"/>
      <c r="AC119" s="473"/>
      <c r="AD119" s="473"/>
      <c r="AE119" s="473"/>
    </row>
    <row r="120" spans="1:31" s="4866" customFormat="1" ht="11.25" customHeight="1">
      <c r="A120" s="877"/>
      <c r="B120" s="1500"/>
      <c r="C120" s="1500"/>
      <c r="D120" s="268"/>
      <c r="K120" s="1042"/>
      <c r="L120" s="1500"/>
      <c r="M120" s="1500"/>
      <c r="N120" s="1042"/>
      <c r="O120" s="1042"/>
      <c r="P120" s="1042"/>
      <c r="Q120" s="1042"/>
      <c r="R120" s="1500"/>
      <c r="S120" s="1042"/>
      <c r="T120" s="1042"/>
      <c r="U120" s="451"/>
      <c r="V120" s="1042"/>
      <c r="W120" s="1042"/>
      <c r="X120" s="1042"/>
      <c r="Y120" s="1042"/>
      <c r="Z120" s="1042"/>
      <c r="AA120" s="1496"/>
      <c r="AB120" s="473"/>
      <c r="AC120" s="473"/>
      <c r="AD120" s="473"/>
      <c r="AE120" s="473"/>
    </row>
    <row r="121" spans="1:31" s="4866" customFormat="1" ht="11.25" customHeight="1">
      <c r="A121" s="877"/>
      <c r="B121" s="1500"/>
      <c r="C121" s="1500"/>
      <c r="D121" s="268"/>
      <c r="K121" s="1042"/>
      <c r="L121" s="1500"/>
      <c r="M121" s="1500"/>
      <c r="N121" s="1042"/>
      <c r="O121" s="1042"/>
      <c r="P121" s="1042"/>
      <c r="Q121" s="1042"/>
      <c r="R121" s="1500"/>
      <c r="S121" s="1042"/>
      <c r="T121" s="1042"/>
      <c r="U121" s="451"/>
      <c r="V121" s="1042"/>
      <c r="W121" s="1042"/>
      <c r="X121" s="1042"/>
      <c r="Y121" s="1042"/>
      <c r="Z121" s="1042"/>
      <c r="AA121" s="1496"/>
      <c r="AB121" s="473"/>
      <c r="AC121" s="473"/>
      <c r="AD121" s="473"/>
      <c r="AE121" s="473"/>
    </row>
    <row r="122" spans="1:31" s="4866" customFormat="1" ht="11.25" customHeight="1">
      <c r="A122" s="877"/>
      <c r="B122" s="1500"/>
      <c r="C122" s="1500"/>
      <c r="D122" s="268"/>
      <c r="K122" s="1042"/>
      <c r="L122" s="1500"/>
      <c r="M122" s="1500"/>
      <c r="N122" s="1042"/>
      <c r="O122" s="1042"/>
      <c r="P122" s="1042"/>
      <c r="Q122" s="1042"/>
      <c r="R122" s="1500"/>
      <c r="S122" s="1042"/>
      <c r="T122" s="1042"/>
      <c r="U122" s="451"/>
      <c r="V122" s="1042"/>
      <c r="W122" s="1042"/>
      <c r="X122" s="1042"/>
      <c r="Y122" s="1042"/>
      <c r="Z122" s="1042"/>
      <c r="AA122" s="1496"/>
      <c r="AB122" s="473"/>
      <c r="AC122" s="473"/>
      <c r="AD122" s="473"/>
      <c r="AE122" s="473"/>
    </row>
    <row r="123" spans="1:31" s="4866" customFormat="1" ht="11.25" customHeight="1">
      <c r="A123" s="877"/>
      <c r="B123" s="1500"/>
      <c r="C123" s="1500"/>
      <c r="D123" s="268"/>
      <c r="K123" s="1042"/>
      <c r="L123" s="1500"/>
      <c r="M123" s="1500"/>
      <c r="N123" s="1042"/>
      <c r="O123" s="1042"/>
      <c r="P123" s="1042"/>
      <c r="Q123" s="1042"/>
      <c r="R123" s="1500"/>
      <c r="S123" s="1042"/>
      <c r="T123" s="1042"/>
      <c r="U123" s="451"/>
      <c r="V123" s="1042"/>
      <c r="W123" s="1042"/>
      <c r="X123" s="1042"/>
      <c r="Y123" s="1042"/>
      <c r="Z123" s="1042"/>
      <c r="AA123" s="1496"/>
      <c r="AB123" s="473"/>
      <c r="AC123" s="473"/>
      <c r="AD123" s="473"/>
      <c r="AE123" s="473"/>
    </row>
    <row r="124" spans="1:31" s="4866" customFormat="1" ht="11.25" customHeight="1">
      <c r="A124" s="877"/>
      <c r="B124" s="1500"/>
      <c r="C124" s="1500"/>
      <c r="D124" s="268"/>
      <c r="K124" s="1042"/>
      <c r="L124" s="1500"/>
      <c r="M124" s="1500"/>
      <c r="N124" s="1042"/>
      <c r="O124" s="1042"/>
      <c r="P124" s="1042"/>
      <c r="Q124" s="1042"/>
      <c r="R124" s="1500"/>
      <c r="S124" s="1042"/>
      <c r="T124" s="1042"/>
      <c r="U124" s="451"/>
      <c r="V124" s="1042"/>
      <c r="W124" s="1042"/>
      <c r="X124" s="1042"/>
      <c r="Y124" s="1042"/>
      <c r="Z124" s="1042"/>
      <c r="AA124" s="1496"/>
      <c r="AB124" s="473"/>
      <c r="AC124" s="473"/>
      <c r="AD124" s="473"/>
      <c r="AE124" s="473"/>
    </row>
    <row r="125" spans="1:31" s="4866" customFormat="1" ht="11.25" customHeight="1">
      <c r="A125" s="877"/>
      <c r="B125" s="1500"/>
      <c r="C125" s="1500"/>
      <c r="D125" s="268"/>
      <c r="K125" s="1042"/>
      <c r="L125" s="1500"/>
      <c r="M125" s="1500"/>
      <c r="N125" s="1042"/>
      <c r="O125" s="1042"/>
      <c r="P125" s="1042"/>
      <c r="Q125" s="1042"/>
      <c r="R125" s="1500"/>
      <c r="S125" s="1042"/>
      <c r="T125" s="1042"/>
      <c r="U125" s="451"/>
      <c r="V125" s="1042"/>
      <c r="W125" s="1042"/>
      <c r="X125" s="1042"/>
      <c r="Y125" s="1042"/>
      <c r="Z125" s="1042"/>
      <c r="AA125" s="1496"/>
      <c r="AB125" s="473"/>
      <c r="AC125" s="473"/>
      <c r="AD125" s="473"/>
      <c r="AE125" s="473"/>
    </row>
    <row r="126" spans="1:31" s="4866" customFormat="1" ht="11.25" customHeight="1">
      <c r="A126" s="877"/>
      <c r="B126" s="1500"/>
      <c r="C126" s="1500"/>
      <c r="D126" s="268"/>
      <c r="K126" s="1042"/>
      <c r="L126" s="1500"/>
      <c r="M126" s="1500"/>
      <c r="N126" s="1042"/>
      <c r="O126" s="1042"/>
      <c r="P126" s="1042"/>
      <c r="Q126" s="1042"/>
      <c r="R126" s="1500"/>
      <c r="S126" s="1042"/>
      <c r="T126" s="1042"/>
      <c r="U126" s="451"/>
      <c r="V126" s="1042"/>
      <c r="W126" s="1042"/>
      <c r="X126" s="1042"/>
      <c r="Y126" s="1042"/>
      <c r="Z126" s="1042"/>
      <c r="AA126" s="1496"/>
      <c r="AB126" s="473"/>
      <c r="AC126" s="473"/>
      <c r="AD126" s="473"/>
      <c r="AE126" s="473"/>
    </row>
    <row r="127" spans="1:31" s="4866" customFormat="1" ht="11.25" customHeight="1">
      <c r="A127" s="877"/>
      <c r="B127" s="1500"/>
      <c r="C127" s="1500"/>
      <c r="D127" s="268"/>
      <c r="K127" s="1042"/>
      <c r="L127" s="1500"/>
      <c r="M127" s="1500"/>
      <c r="N127" s="1042"/>
      <c r="O127" s="1042"/>
      <c r="P127" s="1042"/>
      <c r="Q127" s="1042"/>
      <c r="R127" s="1500"/>
      <c r="S127" s="1042"/>
      <c r="T127" s="1042"/>
      <c r="U127" s="451"/>
      <c r="V127" s="1042"/>
      <c r="W127" s="1042"/>
      <c r="X127" s="1042"/>
      <c r="Y127" s="1042"/>
      <c r="Z127" s="1042"/>
      <c r="AA127" s="1496"/>
      <c r="AB127" s="473"/>
      <c r="AC127" s="473"/>
      <c r="AD127" s="473"/>
      <c r="AE127" s="473"/>
    </row>
    <row r="128" spans="1:31" s="4866" customFormat="1" ht="11.25" customHeight="1">
      <c r="A128" s="877"/>
      <c r="B128" s="1500"/>
      <c r="C128" s="1500"/>
      <c r="D128" s="268"/>
      <c r="K128" s="1042"/>
      <c r="L128" s="1500"/>
      <c r="M128" s="1500"/>
      <c r="N128" s="1042"/>
      <c r="O128" s="1042"/>
      <c r="P128" s="1042"/>
      <c r="Q128" s="1042"/>
      <c r="R128" s="1500"/>
      <c r="S128" s="1042"/>
      <c r="T128" s="1042"/>
      <c r="U128" s="451"/>
      <c r="V128" s="1042"/>
      <c r="W128" s="1042"/>
      <c r="X128" s="1042"/>
      <c r="Y128" s="1042"/>
      <c r="Z128" s="1042"/>
      <c r="AA128" s="1496"/>
      <c r="AB128" s="473"/>
      <c r="AC128" s="473"/>
      <c r="AD128" s="473"/>
      <c r="AE128" s="473"/>
    </row>
    <row r="129" spans="1:31" s="4866" customFormat="1" ht="11.25" customHeight="1">
      <c r="A129" s="877"/>
      <c r="B129" s="1500"/>
      <c r="C129" s="1500"/>
      <c r="D129" s="268"/>
      <c r="K129" s="1042"/>
      <c r="L129" s="1500"/>
      <c r="M129" s="1500"/>
      <c r="N129" s="1042"/>
      <c r="O129" s="1042"/>
      <c r="P129" s="1042"/>
      <c r="Q129" s="1042"/>
      <c r="R129" s="1500"/>
      <c r="S129" s="1042"/>
      <c r="T129" s="1042"/>
      <c r="U129" s="451"/>
      <c r="V129" s="1042"/>
      <c r="W129" s="1042"/>
      <c r="X129" s="1042"/>
      <c r="Y129" s="1042"/>
      <c r="Z129" s="1042"/>
      <c r="AA129" s="1496"/>
      <c r="AB129" s="473"/>
      <c r="AC129" s="473"/>
      <c r="AD129" s="473"/>
      <c r="AE129" s="473"/>
    </row>
    <row r="130" spans="1:31" s="4866" customFormat="1" ht="11.25" customHeight="1">
      <c r="A130" s="877"/>
      <c r="B130" s="1500"/>
      <c r="C130" s="1500"/>
      <c r="D130" s="268"/>
      <c r="K130" s="1042"/>
      <c r="L130" s="1500"/>
      <c r="M130" s="1500"/>
      <c r="N130" s="1042"/>
      <c r="O130" s="1042"/>
      <c r="P130" s="1042"/>
      <c r="Q130" s="1042"/>
      <c r="R130" s="1500"/>
      <c r="S130" s="1042"/>
      <c r="T130" s="1042"/>
      <c r="U130" s="451"/>
      <c r="V130" s="1042"/>
      <c r="W130" s="1042"/>
      <c r="X130" s="1042"/>
      <c r="Y130" s="1042"/>
      <c r="Z130" s="1042"/>
      <c r="AA130" s="1496"/>
      <c r="AB130" s="473"/>
      <c r="AC130" s="473"/>
      <c r="AD130" s="473"/>
      <c r="AE130" s="473"/>
    </row>
    <row r="131" spans="1:31" s="4866" customFormat="1" ht="11.25" customHeight="1">
      <c r="A131" s="877"/>
      <c r="B131" s="1500"/>
      <c r="C131" s="1500"/>
      <c r="D131" s="268"/>
      <c r="K131" s="1042"/>
      <c r="L131" s="1500"/>
      <c r="M131" s="1500"/>
      <c r="N131" s="1042"/>
      <c r="O131" s="1042"/>
      <c r="P131" s="1042"/>
      <c r="Q131" s="1042"/>
      <c r="R131" s="1500"/>
      <c r="S131" s="1042"/>
      <c r="T131" s="1042"/>
      <c r="U131" s="451"/>
      <c r="V131" s="1042"/>
      <c r="W131" s="1042"/>
      <c r="X131" s="1042"/>
      <c r="Y131" s="1042"/>
      <c r="Z131" s="1042"/>
      <c r="AA131" s="1496"/>
      <c r="AB131" s="473"/>
      <c r="AC131" s="473"/>
      <c r="AD131" s="473"/>
      <c r="AE131" s="473"/>
    </row>
    <row r="132" spans="1:31" s="4866" customFormat="1" ht="11.25" customHeight="1">
      <c r="A132" s="877"/>
      <c r="B132" s="1500"/>
      <c r="C132" s="1500"/>
      <c r="D132" s="268"/>
      <c r="K132" s="1042"/>
      <c r="L132" s="1500"/>
      <c r="M132" s="1500"/>
      <c r="N132" s="1042"/>
      <c r="O132" s="1042"/>
      <c r="P132" s="1042"/>
      <c r="Q132" s="1042"/>
      <c r="R132" s="1500"/>
      <c r="S132" s="1042"/>
      <c r="T132" s="1042"/>
      <c r="U132" s="451"/>
      <c r="V132" s="1042"/>
      <c r="W132" s="1042"/>
      <c r="X132" s="1042"/>
      <c r="Y132" s="1042"/>
      <c r="Z132" s="1042"/>
      <c r="AA132" s="1496"/>
      <c r="AB132" s="473"/>
      <c r="AC132" s="473"/>
      <c r="AD132" s="473"/>
      <c r="AE132" s="473"/>
    </row>
    <row r="133" spans="1:31" s="4866" customFormat="1" ht="11.25" customHeight="1">
      <c r="A133" s="877"/>
      <c r="B133" s="1500"/>
      <c r="C133" s="1500"/>
      <c r="D133" s="268"/>
      <c r="K133" s="1042"/>
      <c r="L133" s="1500"/>
      <c r="M133" s="1500"/>
      <c r="N133" s="1042"/>
      <c r="O133" s="1042"/>
      <c r="P133" s="1042"/>
      <c r="Q133" s="1042"/>
      <c r="R133" s="1500"/>
      <c r="S133" s="1042"/>
      <c r="T133" s="1042"/>
      <c r="U133" s="451"/>
      <c r="V133" s="1042"/>
      <c r="W133" s="1042"/>
      <c r="X133" s="1042"/>
      <c r="Y133" s="1042"/>
      <c r="Z133" s="1042"/>
      <c r="AA133" s="1496"/>
      <c r="AB133" s="473"/>
      <c r="AC133" s="473"/>
      <c r="AD133" s="473"/>
      <c r="AE133" s="473"/>
    </row>
    <row r="134" spans="1:31" s="4866" customFormat="1" ht="11.25" customHeight="1">
      <c r="A134" s="877"/>
      <c r="B134" s="1500"/>
      <c r="C134" s="1500"/>
      <c r="D134" s="268"/>
      <c r="K134" s="1042"/>
      <c r="L134" s="1500"/>
      <c r="M134" s="1500"/>
      <c r="N134" s="1042"/>
      <c r="O134" s="1042"/>
      <c r="P134" s="1042"/>
      <c r="Q134" s="1042"/>
      <c r="R134" s="1500"/>
      <c r="S134" s="1042"/>
      <c r="T134" s="1042"/>
      <c r="U134" s="451"/>
      <c r="V134" s="1042"/>
      <c r="W134" s="1042"/>
      <c r="X134" s="1042"/>
      <c r="Y134" s="1042"/>
      <c r="Z134" s="1042"/>
      <c r="AA134" s="1496"/>
      <c r="AB134" s="473"/>
      <c r="AC134" s="473"/>
      <c r="AD134" s="473"/>
      <c r="AE134" s="473"/>
    </row>
    <row r="135" spans="1:31" s="4866" customFormat="1" ht="11.25" customHeight="1">
      <c r="A135" s="877"/>
      <c r="B135" s="1500"/>
      <c r="C135" s="1500"/>
      <c r="D135" s="268"/>
      <c r="K135" s="1042"/>
      <c r="L135" s="1500"/>
      <c r="M135" s="1500"/>
      <c r="N135" s="1042"/>
      <c r="O135" s="1042"/>
      <c r="P135" s="1042"/>
      <c r="Q135" s="1042"/>
      <c r="R135" s="1500"/>
      <c r="S135" s="1042"/>
      <c r="T135" s="1042"/>
      <c r="U135" s="451"/>
      <c r="V135" s="1042"/>
      <c r="W135" s="1042"/>
      <c r="X135" s="1042"/>
      <c r="Y135" s="1042"/>
      <c r="Z135" s="1042"/>
      <c r="AA135" s="1496"/>
      <c r="AB135" s="473"/>
      <c r="AC135" s="473"/>
      <c r="AD135" s="473"/>
      <c r="AE135" s="473"/>
    </row>
    <row r="136" spans="1:31" s="4866" customFormat="1" ht="11.25" customHeight="1">
      <c r="A136" s="877"/>
      <c r="B136" s="1500"/>
      <c r="C136" s="1500"/>
      <c r="D136" s="268"/>
      <c r="K136" s="1042"/>
      <c r="L136" s="1500"/>
      <c r="M136" s="1500"/>
      <c r="N136" s="1042"/>
      <c r="O136" s="1042"/>
      <c r="P136" s="1042"/>
      <c r="Q136" s="1042"/>
      <c r="R136" s="1500"/>
      <c r="S136" s="1042"/>
      <c r="T136" s="1042"/>
      <c r="U136" s="451"/>
      <c r="V136" s="1042"/>
      <c r="W136" s="1042"/>
      <c r="X136" s="1042"/>
      <c r="Y136" s="1042"/>
      <c r="Z136" s="1042"/>
      <c r="AA136" s="1496"/>
      <c r="AB136" s="473"/>
      <c r="AC136" s="473"/>
      <c r="AD136" s="473"/>
      <c r="AE136" s="473"/>
    </row>
    <row r="137" spans="1:31" s="4866" customFormat="1" ht="11.25" customHeight="1">
      <c r="A137" s="877"/>
      <c r="B137" s="1500"/>
      <c r="C137" s="1500"/>
      <c r="D137" s="268"/>
      <c r="K137" s="1042"/>
      <c r="L137" s="1500"/>
      <c r="M137" s="1500"/>
      <c r="N137" s="1042"/>
      <c r="O137" s="1042"/>
      <c r="P137" s="1042"/>
      <c r="Q137" s="1042"/>
      <c r="R137" s="1500"/>
      <c r="S137" s="1042"/>
      <c r="T137" s="1042"/>
      <c r="U137" s="451"/>
      <c r="V137" s="1042"/>
      <c r="W137" s="1042"/>
      <c r="X137" s="1042"/>
      <c r="Y137" s="1042"/>
      <c r="Z137" s="1042"/>
      <c r="AA137" s="1496"/>
      <c r="AB137" s="473"/>
      <c r="AC137" s="473"/>
      <c r="AD137" s="473"/>
      <c r="AE137" s="473"/>
    </row>
    <row r="138" spans="1:31" s="4866" customFormat="1" ht="11.25" customHeight="1">
      <c r="A138" s="877"/>
      <c r="B138" s="1500"/>
      <c r="C138" s="1500"/>
      <c r="D138" s="268"/>
      <c r="K138" s="1042"/>
      <c r="L138" s="1500"/>
      <c r="M138" s="1500"/>
      <c r="N138" s="1042"/>
      <c r="O138" s="1042"/>
      <c r="P138" s="1042"/>
      <c r="Q138" s="1042"/>
      <c r="R138" s="1500"/>
      <c r="S138" s="1042"/>
      <c r="T138" s="1042"/>
      <c r="U138" s="451"/>
      <c r="V138" s="1042"/>
      <c r="W138" s="1042"/>
      <c r="X138" s="1042"/>
      <c r="Y138" s="1042"/>
      <c r="Z138" s="1042"/>
      <c r="AA138" s="1496"/>
      <c r="AB138" s="473"/>
      <c r="AC138" s="473"/>
      <c r="AD138" s="473"/>
      <c r="AE138" s="473"/>
    </row>
    <row r="139" spans="1:31" s="4866" customFormat="1" ht="11.25" customHeight="1">
      <c r="A139" s="877"/>
      <c r="B139" s="1500"/>
      <c r="C139" s="1500"/>
      <c r="D139" s="268"/>
      <c r="K139" s="1042"/>
      <c r="L139" s="1500"/>
      <c r="M139" s="1500"/>
      <c r="N139" s="1042"/>
      <c r="O139" s="1042"/>
      <c r="P139" s="1042"/>
      <c r="Q139" s="1042"/>
      <c r="R139" s="1500"/>
      <c r="S139" s="1042"/>
      <c r="T139" s="1042"/>
      <c r="U139" s="451"/>
      <c r="V139" s="1042"/>
      <c r="W139" s="1042"/>
      <c r="X139" s="1042"/>
      <c r="Y139" s="1042"/>
      <c r="Z139" s="1042"/>
      <c r="AA139" s="1496"/>
      <c r="AB139" s="473"/>
      <c r="AC139" s="473"/>
      <c r="AD139" s="473"/>
      <c r="AE139" s="473"/>
    </row>
    <row r="140" spans="1:31" s="4866" customFormat="1" ht="11.25" customHeight="1">
      <c r="A140" s="877"/>
      <c r="B140" s="1500"/>
      <c r="C140" s="1500"/>
      <c r="D140" s="268"/>
      <c r="K140" s="1042"/>
      <c r="L140" s="1500"/>
      <c r="M140" s="1500"/>
      <c r="N140" s="1042"/>
      <c r="O140" s="1042"/>
      <c r="P140" s="1042"/>
      <c r="Q140" s="1042"/>
      <c r="R140" s="1500"/>
      <c r="S140" s="1042"/>
      <c r="T140" s="1042"/>
      <c r="U140" s="451"/>
      <c r="V140" s="1042"/>
      <c r="W140" s="1042"/>
      <c r="X140" s="1042"/>
      <c r="Y140" s="1042"/>
      <c r="Z140" s="1042"/>
      <c r="AA140" s="1496"/>
      <c r="AB140" s="473"/>
      <c r="AC140" s="473"/>
      <c r="AD140" s="473"/>
      <c r="AE140" s="473"/>
    </row>
    <row r="141" spans="1:31" s="4866" customFormat="1" ht="11.25" customHeight="1">
      <c r="A141" s="877"/>
      <c r="B141" s="1500"/>
      <c r="C141" s="1500"/>
      <c r="D141" s="268"/>
      <c r="K141" s="1042"/>
      <c r="L141" s="1500"/>
      <c r="M141" s="1500"/>
      <c r="N141" s="1042"/>
      <c r="O141" s="1042"/>
      <c r="P141" s="1042"/>
      <c r="Q141" s="1042"/>
      <c r="R141" s="1500"/>
      <c r="S141" s="1042"/>
      <c r="T141" s="1042"/>
      <c r="U141" s="451"/>
      <c r="V141" s="1042"/>
      <c r="W141" s="1042"/>
      <c r="X141" s="1042"/>
      <c r="Y141" s="1042"/>
      <c r="Z141" s="1042"/>
      <c r="AA141" s="1496"/>
      <c r="AB141" s="473"/>
      <c r="AC141" s="473"/>
      <c r="AD141" s="473"/>
      <c r="AE141" s="473"/>
    </row>
    <row r="142" spans="1:31" s="4866" customFormat="1" ht="11.25" customHeight="1">
      <c r="A142" s="877"/>
      <c r="B142" s="1500"/>
      <c r="C142" s="1500"/>
      <c r="D142" s="268"/>
      <c r="K142" s="1042"/>
      <c r="L142" s="1500"/>
      <c r="M142" s="1500"/>
      <c r="N142" s="1042"/>
      <c r="O142" s="1042"/>
      <c r="P142" s="1042"/>
      <c r="Q142" s="1042"/>
      <c r="R142" s="1500"/>
      <c r="S142" s="1042"/>
      <c r="T142" s="1042"/>
      <c r="U142" s="451"/>
      <c r="V142" s="1042"/>
      <c r="W142" s="1042"/>
      <c r="X142" s="1042"/>
      <c r="Y142" s="1042"/>
      <c r="Z142" s="1042"/>
      <c r="AA142" s="1496"/>
      <c r="AB142" s="473"/>
      <c r="AC142" s="473"/>
      <c r="AD142" s="473"/>
      <c r="AE142" s="473"/>
    </row>
    <row r="143" spans="1:31" s="4866" customFormat="1" ht="11.25" customHeight="1">
      <c r="A143" s="877"/>
      <c r="B143" s="1500"/>
      <c r="C143" s="1500"/>
      <c r="D143" s="268"/>
      <c r="K143" s="1042"/>
      <c r="L143" s="1500"/>
      <c r="M143" s="1500"/>
      <c r="N143" s="1042"/>
      <c r="O143" s="1042"/>
      <c r="P143" s="1042"/>
      <c r="Q143" s="1042"/>
      <c r="R143" s="1500"/>
      <c r="S143" s="1042"/>
      <c r="T143" s="1042"/>
      <c r="U143" s="451"/>
      <c r="V143" s="1042"/>
      <c r="W143" s="1042"/>
      <c r="X143" s="1042"/>
      <c r="Y143" s="1042"/>
      <c r="Z143" s="1042"/>
      <c r="AA143" s="1496"/>
      <c r="AB143" s="473"/>
      <c r="AC143" s="473"/>
      <c r="AD143" s="473"/>
      <c r="AE143" s="473"/>
    </row>
    <row r="144" spans="1:31" s="4866" customFormat="1" ht="11.25" customHeight="1">
      <c r="A144" s="877"/>
      <c r="B144" s="1500"/>
      <c r="C144" s="1500"/>
      <c r="D144" s="268"/>
      <c r="K144" s="1042"/>
      <c r="L144" s="1500"/>
      <c r="M144" s="1500"/>
      <c r="N144" s="1042"/>
      <c r="O144" s="1042"/>
      <c r="P144" s="1042"/>
      <c r="Q144" s="1042"/>
      <c r="R144" s="1500"/>
      <c r="S144" s="1042"/>
      <c r="T144" s="1042"/>
      <c r="U144" s="451"/>
      <c r="V144" s="1042"/>
      <c r="W144" s="1042"/>
      <c r="X144" s="1042"/>
      <c r="Y144" s="1042"/>
      <c r="Z144" s="1042"/>
      <c r="AA144" s="1496"/>
      <c r="AB144" s="473"/>
      <c r="AC144" s="473"/>
      <c r="AD144" s="473"/>
      <c r="AE144" s="473"/>
    </row>
    <row r="145" spans="1:31" s="4866" customFormat="1" ht="11.25" customHeight="1">
      <c r="A145" s="877"/>
      <c r="B145" s="1500"/>
      <c r="C145" s="1500"/>
      <c r="D145" s="268"/>
      <c r="K145" s="1042"/>
      <c r="L145" s="1500"/>
      <c r="M145" s="1500"/>
      <c r="N145" s="1042"/>
      <c r="O145" s="1042"/>
      <c r="P145" s="1042"/>
      <c r="Q145" s="1042"/>
      <c r="R145" s="1500"/>
      <c r="S145" s="1042"/>
      <c r="T145" s="1042"/>
      <c r="U145" s="451"/>
      <c r="V145" s="1042"/>
      <c r="W145" s="1042"/>
      <c r="X145" s="1042"/>
      <c r="Y145" s="1042"/>
      <c r="Z145" s="1042"/>
      <c r="AA145" s="1496"/>
      <c r="AB145" s="473"/>
      <c r="AC145" s="473"/>
      <c r="AD145" s="473"/>
      <c r="AE145" s="473"/>
    </row>
    <row r="146" spans="1:31" s="4866" customFormat="1" ht="11.25" customHeight="1">
      <c r="A146" s="877"/>
      <c r="B146" s="1500"/>
      <c r="C146" s="1500"/>
      <c r="D146" s="268"/>
      <c r="K146" s="1042"/>
      <c r="L146" s="1500"/>
      <c r="M146" s="1500"/>
      <c r="N146" s="1042"/>
      <c r="O146" s="1042"/>
      <c r="P146" s="1042"/>
      <c r="Q146" s="1042"/>
      <c r="R146" s="1500"/>
      <c r="S146" s="1042"/>
      <c r="T146" s="1042"/>
      <c r="U146" s="451"/>
      <c r="V146" s="1042"/>
      <c r="W146" s="1042"/>
      <c r="X146" s="1042"/>
      <c r="Y146" s="1042"/>
      <c r="Z146" s="1042"/>
      <c r="AA146" s="1496"/>
      <c r="AB146" s="473"/>
      <c r="AC146" s="473"/>
      <c r="AD146" s="473"/>
      <c r="AE146" s="473"/>
    </row>
    <row r="147" spans="1:31" s="4866" customFormat="1" ht="11.25" customHeight="1">
      <c r="A147" s="877"/>
      <c r="B147" s="1500"/>
      <c r="C147" s="1500"/>
      <c r="D147" s="268"/>
      <c r="K147" s="1042"/>
      <c r="L147" s="1500"/>
      <c r="M147" s="1500"/>
      <c r="N147" s="1042"/>
      <c r="O147" s="1042"/>
      <c r="P147" s="1042"/>
      <c r="Q147" s="1042"/>
      <c r="R147" s="1500"/>
      <c r="S147" s="1042"/>
      <c r="T147" s="1042"/>
      <c r="U147" s="451"/>
      <c r="V147" s="1042"/>
      <c r="W147" s="1042"/>
      <c r="X147" s="1042"/>
      <c r="Y147" s="1042"/>
      <c r="Z147" s="1042"/>
      <c r="AA147" s="1496"/>
      <c r="AB147" s="473"/>
      <c r="AC147" s="473"/>
      <c r="AD147" s="473"/>
      <c r="AE147" s="473"/>
    </row>
    <row r="148" spans="1:31" s="4866" customFormat="1" ht="11.25" customHeight="1">
      <c r="A148" s="877"/>
      <c r="B148" s="1500"/>
      <c r="C148" s="1500"/>
      <c r="D148" s="268"/>
      <c r="K148" s="1042"/>
      <c r="L148" s="1500"/>
      <c r="M148" s="1500"/>
      <c r="N148" s="1042"/>
      <c r="O148" s="1042"/>
      <c r="P148" s="1042"/>
      <c r="Q148" s="1042"/>
      <c r="R148" s="1500"/>
      <c r="S148" s="1042"/>
      <c r="T148" s="1042"/>
      <c r="U148" s="451"/>
      <c r="V148" s="1042"/>
      <c r="W148" s="1042"/>
      <c r="X148" s="1042"/>
      <c r="Y148" s="1042"/>
      <c r="Z148" s="1042"/>
      <c r="AA148" s="1496"/>
      <c r="AB148" s="473"/>
      <c r="AC148" s="473"/>
      <c r="AD148" s="473"/>
      <c r="AE148" s="473"/>
    </row>
    <row r="149" spans="1:31" s="4866" customFormat="1" ht="11.25" customHeight="1">
      <c r="A149" s="877"/>
      <c r="B149" s="1500"/>
      <c r="C149" s="1500"/>
      <c r="D149" s="268"/>
      <c r="K149" s="1042"/>
      <c r="L149" s="1500"/>
      <c r="M149" s="1500"/>
      <c r="N149" s="1042"/>
      <c r="O149" s="1042"/>
      <c r="P149" s="1042"/>
      <c r="Q149" s="1042"/>
      <c r="R149" s="1500"/>
      <c r="S149" s="1042"/>
      <c r="T149" s="1042"/>
      <c r="U149" s="451"/>
      <c r="V149" s="1042"/>
      <c r="W149" s="1042"/>
      <c r="X149" s="1042"/>
      <c r="Y149" s="1042"/>
      <c r="Z149" s="1042"/>
      <c r="AA149" s="1496"/>
      <c r="AB149" s="473"/>
      <c r="AC149" s="473"/>
      <c r="AD149" s="473"/>
      <c r="AE149" s="473"/>
    </row>
    <row r="150" spans="1:31" s="4866" customFormat="1" ht="11.25" customHeight="1">
      <c r="A150" s="877"/>
      <c r="B150" s="1500"/>
      <c r="C150" s="1500"/>
      <c r="D150" s="268"/>
      <c r="K150" s="1042"/>
      <c r="L150" s="1500"/>
      <c r="M150" s="1500"/>
      <c r="N150" s="1042"/>
      <c r="O150" s="1042"/>
      <c r="P150" s="1042"/>
      <c r="Q150" s="1042"/>
      <c r="R150" s="1500"/>
      <c r="S150" s="1042"/>
      <c r="T150" s="1042"/>
      <c r="U150" s="451"/>
      <c r="V150" s="1042"/>
      <c r="W150" s="1042"/>
      <c r="X150" s="1042"/>
      <c r="Y150" s="1042"/>
      <c r="Z150" s="1042"/>
      <c r="AA150" s="1496"/>
      <c r="AB150" s="473"/>
      <c r="AC150" s="473"/>
      <c r="AD150" s="473"/>
      <c r="AE150" s="473"/>
    </row>
    <row r="151" spans="1:31" s="4866" customFormat="1" ht="11.25" customHeight="1">
      <c r="A151" s="877"/>
      <c r="B151" s="1500"/>
      <c r="C151" s="1500"/>
      <c r="D151" s="268"/>
      <c r="K151" s="1042"/>
      <c r="L151" s="1500"/>
      <c r="M151" s="1500"/>
      <c r="N151" s="1042"/>
      <c r="O151" s="1042"/>
      <c r="P151" s="1042"/>
      <c r="Q151" s="1042"/>
      <c r="R151" s="1500"/>
      <c r="S151" s="1042"/>
      <c r="T151" s="1042"/>
      <c r="U151" s="451"/>
      <c r="V151" s="1042"/>
      <c r="W151" s="1042"/>
      <c r="X151" s="1042"/>
      <c r="Y151" s="1042"/>
      <c r="Z151" s="1042"/>
      <c r="AA151" s="1496"/>
      <c r="AB151" s="473"/>
      <c r="AC151" s="473"/>
      <c r="AD151" s="473"/>
      <c r="AE151" s="473"/>
    </row>
    <row r="152" spans="1:31" s="4866" customFormat="1" ht="11.25" customHeight="1">
      <c r="A152" s="877"/>
      <c r="B152" s="1500"/>
      <c r="C152" s="1500"/>
      <c r="D152" s="268"/>
      <c r="K152" s="1042"/>
      <c r="L152" s="1500"/>
      <c r="M152" s="1500"/>
      <c r="N152" s="1042"/>
      <c r="O152" s="1042"/>
      <c r="P152" s="1042"/>
      <c r="Q152" s="1042"/>
      <c r="R152" s="1500"/>
      <c r="S152" s="1042"/>
      <c r="T152" s="1042"/>
      <c r="U152" s="451"/>
      <c r="V152" s="1042"/>
      <c r="W152" s="1042"/>
      <c r="X152" s="1042"/>
      <c r="Y152" s="1042"/>
      <c r="Z152" s="1042"/>
      <c r="AA152" s="1496"/>
      <c r="AB152" s="473"/>
      <c r="AC152" s="473"/>
      <c r="AD152" s="473"/>
      <c r="AE152" s="473"/>
    </row>
    <row r="153" spans="1:31" s="4866" customFormat="1" ht="11.25" customHeight="1">
      <c r="A153" s="877"/>
      <c r="B153" s="1500"/>
      <c r="C153" s="1500"/>
      <c r="D153" s="268"/>
      <c r="K153" s="1042"/>
      <c r="L153" s="1500"/>
      <c r="M153" s="1500"/>
      <c r="N153" s="1042"/>
      <c r="O153" s="1042"/>
      <c r="P153" s="1042"/>
      <c r="Q153" s="1042"/>
      <c r="R153" s="1500"/>
      <c r="S153" s="1042"/>
      <c r="T153" s="1042"/>
      <c r="U153" s="451"/>
      <c r="V153" s="1042"/>
      <c r="W153" s="1042"/>
      <c r="X153" s="1042"/>
      <c r="Y153" s="1042"/>
      <c r="Z153" s="1042"/>
      <c r="AA153" s="1496"/>
      <c r="AB153" s="473"/>
      <c r="AC153" s="473"/>
      <c r="AD153" s="473"/>
      <c r="AE153" s="473"/>
    </row>
    <row r="154" spans="1:31" s="4866" customFormat="1" ht="11.25" customHeight="1">
      <c r="A154" s="877"/>
      <c r="B154" s="1500"/>
      <c r="C154" s="1500"/>
      <c r="D154" s="268"/>
      <c r="K154" s="1042"/>
      <c r="L154" s="1500"/>
      <c r="M154" s="1500"/>
      <c r="N154" s="1042"/>
      <c r="O154" s="1042"/>
      <c r="P154" s="1042"/>
      <c r="Q154" s="1042"/>
      <c r="R154" s="1500"/>
      <c r="S154" s="1042"/>
      <c r="T154" s="1042"/>
      <c r="U154" s="451"/>
      <c r="V154" s="1042"/>
      <c r="W154" s="1042"/>
      <c r="X154" s="1042"/>
      <c r="Y154" s="1042"/>
      <c r="Z154" s="1042"/>
      <c r="AA154" s="1496"/>
      <c r="AB154" s="473"/>
      <c r="AC154" s="473"/>
      <c r="AD154" s="473"/>
      <c r="AE154" s="473"/>
    </row>
    <row r="155" spans="1:31" s="4866" customFormat="1" ht="11.25" customHeight="1">
      <c r="A155" s="877"/>
      <c r="B155" s="1500"/>
      <c r="C155" s="1500"/>
      <c r="D155" s="268"/>
      <c r="K155" s="1042"/>
      <c r="L155" s="1500"/>
      <c r="M155" s="1500"/>
      <c r="N155" s="1042"/>
      <c r="O155" s="1042"/>
      <c r="P155" s="1042"/>
      <c r="Q155" s="1042"/>
      <c r="R155" s="1500"/>
      <c r="S155" s="1042"/>
      <c r="T155" s="1042"/>
      <c r="U155" s="451"/>
      <c r="V155" s="1042"/>
      <c r="W155" s="1042"/>
      <c r="X155" s="1042"/>
      <c r="Y155" s="1042"/>
      <c r="Z155" s="1042"/>
      <c r="AA155" s="1496"/>
      <c r="AB155" s="473"/>
      <c r="AC155" s="473"/>
      <c r="AD155" s="473"/>
      <c r="AE155" s="473"/>
    </row>
    <row r="156" spans="1:31" s="4866" customFormat="1" ht="11.25" customHeight="1">
      <c r="A156" s="877"/>
      <c r="B156" s="1500"/>
      <c r="C156" s="1500"/>
      <c r="D156" s="268"/>
      <c r="K156" s="1042"/>
      <c r="L156" s="1500"/>
      <c r="M156" s="1500"/>
      <c r="N156" s="1042"/>
      <c r="O156" s="1042"/>
      <c r="P156" s="1042"/>
      <c r="Q156" s="1042"/>
      <c r="R156" s="1500"/>
      <c r="S156" s="1042"/>
      <c r="T156" s="1042"/>
      <c r="U156" s="451"/>
      <c r="V156" s="1042"/>
      <c r="W156" s="1042"/>
      <c r="X156" s="1042"/>
      <c r="Y156" s="1042"/>
      <c r="Z156" s="1042"/>
      <c r="AA156" s="1496"/>
      <c r="AB156" s="473"/>
      <c r="AC156" s="473"/>
      <c r="AD156" s="473"/>
      <c r="AE156" s="473"/>
    </row>
    <row r="157" spans="1:31" s="4866" customFormat="1" ht="11.25" customHeight="1">
      <c r="A157" s="877"/>
      <c r="B157" s="1500"/>
      <c r="C157" s="1500"/>
      <c r="D157" s="268"/>
      <c r="K157" s="1042"/>
      <c r="L157" s="1500"/>
      <c r="M157" s="1500"/>
      <c r="N157" s="1042"/>
      <c r="O157" s="1042"/>
      <c r="P157" s="1042"/>
      <c r="Q157" s="1042"/>
      <c r="R157" s="1500"/>
      <c r="S157" s="1042"/>
      <c r="T157" s="1042"/>
      <c r="U157" s="451"/>
      <c r="V157" s="1042"/>
      <c r="W157" s="1042"/>
      <c r="X157" s="1042"/>
      <c r="Y157" s="1042"/>
      <c r="Z157" s="1042"/>
      <c r="AA157" s="1496"/>
      <c r="AB157" s="473"/>
      <c r="AC157" s="473"/>
      <c r="AD157" s="473"/>
      <c r="AE157" s="473"/>
    </row>
    <row r="158" spans="1:31" s="4866" customFormat="1" ht="11.25" customHeight="1">
      <c r="A158" s="877"/>
      <c r="B158" s="1500"/>
      <c r="C158" s="1500"/>
      <c r="D158" s="268"/>
      <c r="K158" s="1042"/>
      <c r="L158" s="1500"/>
      <c r="M158" s="1500"/>
      <c r="N158" s="1042"/>
      <c r="O158" s="1042"/>
      <c r="P158" s="1042"/>
      <c r="Q158" s="1042"/>
      <c r="R158" s="1500"/>
      <c r="S158" s="1042"/>
      <c r="T158" s="1042"/>
      <c r="U158" s="451"/>
      <c r="V158" s="1042"/>
      <c r="W158" s="1042"/>
      <c r="X158" s="1042"/>
      <c r="Y158" s="1042"/>
      <c r="Z158" s="1042"/>
      <c r="AA158" s="1496"/>
      <c r="AB158" s="473"/>
      <c r="AC158" s="473"/>
      <c r="AD158" s="473"/>
      <c r="AE158" s="473"/>
    </row>
    <row r="159" spans="1:31" s="4866" customFormat="1" ht="11.25" customHeight="1">
      <c r="A159" s="877"/>
      <c r="B159" s="1500"/>
      <c r="C159" s="1500"/>
      <c r="D159" s="268"/>
      <c r="K159" s="1042"/>
      <c r="L159" s="1500"/>
      <c r="M159" s="1500"/>
      <c r="N159" s="1042"/>
      <c r="O159" s="1042"/>
      <c r="P159" s="1042"/>
      <c r="Q159" s="1042"/>
      <c r="R159" s="1500"/>
      <c r="S159" s="1042"/>
      <c r="T159" s="1042"/>
      <c r="U159" s="451"/>
      <c r="V159" s="1042"/>
      <c r="W159" s="1042"/>
      <c r="X159" s="1042"/>
      <c r="Y159" s="1042"/>
      <c r="Z159" s="1042"/>
      <c r="AA159" s="1496"/>
      <c r="AB159" s="473"/>
      <c r="AC159" s="473"/>
      <c r="AD159" s="473"/>
      <c r="AE159" s="473"/>
    </row>
    <row r="160" spans="1:31" s="4866" customFormat="1" ht="11.25" customHeight="1">
      <c r="A160" s="877"/>
      <c r="B160" s="1500"/>
      <c r="C160" s="1500"/>
      <c r="D160" s="268"/>
      <c r="K160" s="1042"/>
      <c r="L160" s="1500"/>
      <c r="M160" s="1500"/>
      <c r="N160" s="1042"/>
      <c r="O160" s="1042"/>
      <c r="P160" s="1042"/>
      <c r="Q160" s="1042"/>
      <c r="R160" s="1500"/>
      <c r="S160" s="1042"/>
      <c r="T160" s="1042"/>
      <c r="U160" s="451"/>
      <c r="V160" s="1042"/>
      <c r="W160" s="1042"/>
      <c r="X160" s="1042"/>
      <c r="Y160" s="1042"/>
      <c r="Z160" s="1042"/>
      <c r="AA160" s="1496"/>
      <c r="AB160" s="473"/>
      <c r="AC160" s="473"/>
      <c r="AD160" s="473"/>
      <c r="AE160" s="473"/>
    </row>
    <row r="161" spans="1:31" s="4866" customFormat="1" ht="11.25" customHeight="1">
      <c r="A161" s="877"/>
      <c r="B161" s="1500"/>
      <c r="C161" s="1500"/>
      <c r="D161" s="268"/>
      <c r="K161" s="1042"/>
      <c r="L161" s="1500"/>
      <c r="M161" s="1500"/>
      <c r="N161" s="1042"/>
      <c r="O161" s="1042"/>
      <c r="P161" s="1042"/>
      <c r="Q161" s="1042"/>
      <c r="R161" s="1500"/>
      <c r="S161" s="1042"/>
      <c r="T161" s="1042"/>
      <c r="U161" s="451"/>
      <c r="V161" s="1042"/>
      <c r="W161" s="1042"/>
      <c r="X161" s="1042"/>
      <c r="Y161" s="1042"/>
      <c r="Z161" s="1042"/>
      <c r="AA161" s="1496"/>
      <c r="AB161" s="473"/>
      <c r="AC161" s="473"/>
      <c r="AD161" s="473"/>
      <c r="AE161" s="473"/>
    </row>
    <row r="162" spans="1:31" s="4866" customFormat="1" ht="11.25" customHeight="1">
      <c r="A162" s="877"/>
      <c r="B162" s="1500"/>
      <c r="C162" s="1500"/>
      <c r="D162" s="268"/>
      <c r="K162" s="1042"/>
      <c r="L162" s="1500"/>
      <c r="M162" s="1500"/>
      <c r="N162" s="1042"/>
      <c r="O162" s="1042"/>
      <c r="P162" s="1042"/>
      <c r="Q162" s="1042"/>
      <c r="R162" s="1500"/>
      <c r="S162" s="1042"/>
      <c r="T162" s="1042"/>
      <c r="U162" s="451"/>
      <c r="V162" s="1042"/>
      <c r="W162" s="1042"/>
      <c r="X162" s="1042"/>
      <c r="Y162" s="1042"/>
      <c r="Z162" s="1042"/>
      <c r="AA162" s="1496"/>
      <c r="AB162" s="473"/>
      <c r="AC162" s="473"/>
      <c r="AD162" s="473"/>
      <c r="AE162" s="473"/>
    </row>
    <row r="163" spans="1:31" s="4866" customFormat="1" ht="11.25" customHeight="1">
      <c r="A163" s="877"/>
      <c r="B163" s="1500"/>
      <c r="C163" s="1500"/>
      <c r="D163" s="268"/>
      <c r="K163" s="1042"/>
      <c r="L163" s="1500"/>
      <c r="M163" s="1500"/>
      <c r="N163" s="1042"/>
      <c r="O163" s="1042"/>
      <c r="P163" s="1042"/>
      <c r="Q163" s="1042"/>
      <c r="R163" s="1500"/>
      <c r="S163" s="1042"/>
      <c r="T163" s="1042"/>
      <c r="U163" s="451"/>
      <c r="V163" s="1042"/>
      <c r="W163" s="1042"/>
      <c r="X163" s="1042"/>
      <c r="Y163" s="1042"/>
      <c r="Z163" s="1042"/>
      <c r="AA163" s="1496"/>
      <c r="AB163" s="473"/>
      <c r="AC163" s="473"/>
      <c r="AD163" s="473"/>
      <c r="AE163" s="473"/>
    </row>
    <row r="164" spans="1:31" s="4866" customFormat="1" ht="11.25" customHeight="1">
      <c r="A164" s="877"/>
      <c r="B164" s="1500"/>
      <c r="C164" s="1500"/>
      <c r="D164" s="268"/>
      <c r="K164" s="1042"/>
      <c r="L164" s="1500"/>
      <c r="M164" s="1500"/>
      <c r="N164" s="1042"/>
      <c r="O164" s="1042"/>
      <c r="P164" s="1042"/>
      <c r="Q164" s="1042"/>
      <c r="R164" s="1500"/>
      <c r="S164" s="1042"/>
      <c r="T164" s="1042"/>
      <c r="U164" s="451"/>
      <c r="V164" s="1042"/>
      <c r="W164" s="1042"/>
      <c r="X164" s="1042"/>
      <c r="Y164" s="1042"/>
      <c r="Z164" s="1042"/>
      <c r="AA164" s="1496"/>
      <c r="AB164" s="473"/>
      <c r="AC164" s="473"/>
      <c r="AD164" s="473"/>
      <c r="AE164" s="473"/>
    </row>
    <row r="165" spans="1:31" s="4866" customFormat="1" ht="11.25" customHeight="1">
      <c r="A165" s="877"/>
      <c r="B165" s="1500"/>
      <c r="C165" s="1500"/>
      <c r="D165" s="268"/>
      <c r="K165" s="1042"/>
      <c r="L165" s="1500"/>
      <c r="M165" s="1500"/>
      <c r="N165" s="1042"/>
      <c r="O165" s="1042"/>
      <c r="P165" s="1042"/>
      <c r="Q165" s="1042"/>
      <c r="R165" s="1500"/>
      <c r="S165" s="1042"/>
      <c r="T165" s="1042"/>
      <c r="U165" s="451"/>
      <c r="V165" s="1042"/>
      <c r="W165" s="1042"/>
      <c r="X165" s="1042"/>
      <c r="Y165" s="1042"/>
      <c r="Z165" s="1042"/>
      <c r="AA165" s="1496"/>
      <c r="AB165" s="473"/>
      <c r="AC165" s="473"/>
      <c r="AD165" s="473"/>
      <c r="AE165" s="473"/>
    </row>
    <row r="166" spans="1:31" s="4866" customFormat="1" ht="11.25" customHeight="1">
      <c r="A166" s="877"/>
      <c r="B166" s="1500"/>
      <c r="C166" s="1500"/>
      <c r="D166" s="268"/>
      <c r="K166" s="1042"/>
      <c r="L166" s="1500"/>
      <c r="M166" s="1500"/>
      <c r="N166" s="1042"/>
      <c r="O166" s="1042"/>
      <c r="P166" s="1042"/>
      <c r="Q166" s="1042"/>
      <c r="R166" s="1500"/>
      <c r="S166" s="1042"/>
      <c r="T166" s="1042"/>
      <c r="U166" s="451"/>
      <c r="V166" s="1042"/>
      <c r="W166" s="1042"/>
      <c r="X166" s="1042"/>
      <c r="Y166" s="1042"/>
      <c r="Z166" s="1042"/>
      <c r="AA166" s="1496"/>
      <c r="AB166" s="473"/>
      <c r="AC166" s="473"/>
      <c r="AD166" s="473"/>
      <c r="AE166" s="473"/>
    </row>
    <row r="167" spans="1:31" s="4866" customFormat="1" ht="11.25" customHeight="1">
      <c r="A167" s="877"/>
      <c r="B167" s="1500"/>
      <c r="C167" s="1500"/>
      <c r="D167" s="268"/>
      <c r="K167" s="1042"/>
      <c r="L167" s="1500"/>
      <c r="M167" s="1500"/>
      <c r="N167" s="1042"/>
      <c r="O167" s="1042"/>
      <c r="P167" s="1042"/>
      <c r="Q167" s="1042"/>
      <c r="R167" s="1500"/>
      <c r="S167" s="1042"/>
      <c r="T167" s="1042"/>
      <c r="U167" s="451"/>
      <c r="V167" s="1042"/>
      <c r="W167" s="1042"/>
      <c r="X167" s="1042"/>
      <c r="Y167" s="1042"/>
      <c r="Z167" s="1042"/>
      <c r="AA167" s="1496"/>
      <c r="AB167" s="473"/>
      <c r="AC167" s="473"/>
      <c r="AD167" s="473"/>
      <c r="AE167" s="473"/>
    </row>
    <row r="168" spans="1:31" s="4866" customFormat="1" ht="11.25" customHeight="1">
      <c r="A168" s="877"/>
      <c r="B168" s="1500"/>
      <c r="C168" s="1500"/>
      <c r="D168" s="268"/>
      <c r="K168" s="1042"/>
      <c r="L168" s="1500"/>
      <c r="M168" s="1500"/>
      <c r="N168" s="1042"/>
      <c r="O168" s="1042"/>
      <c r="P168" s="1042"/>
      <c r="Q168" s="1042"/>
      <c r="R168" s="1500"/>
      <c r="S168" s="1042"/>
      <c r="T168" s="1042"/>
      <c r="U168" s="451"/>
      <c r="V168" s="1042"/>
      <c r="W168" s="1042"/>
      <c r="X168" s="1042"/>
      <c r="Y168" s="1042"/>
      <c r="Z168" s="1042"/>
      <c r="AA168" s="1496"/>
      <c r="AB168" s="473"/>
      <c r="AC168" s="473"/>
      <c r="AD168" s="473"/>
      <c r="AE168" s="473"/>
    </row>
    <row r="169" spans="1:31" s="4866" customFormat="1" ht="11.25" customHeight="1">
      <c r="A169" s="877"/>
      <c r="B169" s="1500"/>
      <c r="C169" s="1500"/>
      <c r="D169" s="268"/>
      <c r="K169" s="1042"/>
      <c r="L169" s="1500"/>
      <c r="M169" s="1500"/>
      <c r="N169" s="1042"/>
      <c r="O169" s="1042"/>
      <c r="P169" s="1042"/>
      <c r="Q169" s="1042"/>
      <c r="R169" s="1500"/>
      <c r="S169" s="1042"/>
      <c r="T169" s="1042"/>
      <c r="U169" s="451"/>
      <c r="V169" s="1042"/>
      <c r="W169" s="1042"/>
      <c r="X169" s="1042"/>
      <c r="Y169" s="1042"/>
      <c r="Z169" s="1042"/>
      <c r="AA169" s="1496"/>
      <c r="AB169" s="473"/>
      <c r="AC169" s="473"/>
      <c r="AD169" s="473"/>
      <c r="AE169" s="473"/>
    </row>
    <row r="170" spans="1:31" s="4866" customFormat="1" ht="11.25" customHeight="1">
      <c r="A170" s="877"/>
      <c r="B170" s="1500"/>
      <c r="C170" s="1500"/>
      <c r="D170" s="268"/>
      <c r="K170" s="1042"/>
      <c r="L170" s="1500"/>
      <c r="M170" s="1500"/>
      <c r="N170" s="1042"/>
      <c r="O170" s="1042"/>
      <c r="P170" s="1042"/>
      <c r="Q170" s="1042"/>
      <c r="R170" s="1500"/>
      <c r="S170" s="1042"/>
      <c r="T170" s="1042"/>
      <c r="U170" s="451"/>
      <c r="V170" s="1042"/>
      <c r="W170" s="1042"/>
      <c r="X170" s="1042"/>
      <c r="Y170" s="1042"/>
      <c r="Z170" s="1042"/>
      <c r="AA170" s="1496"/>
      <c r="AB170" s="473"/>
      <c r="AC170" s="473"/>
      <c r="AD170" s="473"/>
      <c r="AE170" s="473"/>
    </row>
    <row r="171" spans="1:31" s="4866" customFormat="1" ht="11.25" customHeight="1">
      <c r="A171" s="877"/>
      <c r="B171" s="1500"/>
      <c r="C171" s="1500"/>
      <c r="D171" s="268"/>
      <c r="K171" s="1042"/>
      <c r="L171" s="1500"/>
      <c r="M171" s="1500"/>
      <c r="N171" s="1042"/>
      <c r="O171" s="1042"/>
      <c r="P171" s="1042"/>
      <c r="Q171" s="1042"/>
      <c r="R171" s="1500"/>
      <c r="S171" s="1042"/>
      <c r="T171" s="1042"/>
      <c r="U171" s="451"/>
      <c r="V171" s="1042"/>
      <c r="W171" s="1042"/>
      <c r="X171" s="1042"/>
      <c r="Y171" s="1042"/>
      <c r="Z171" s="1042"/>
      <c r="AA171" s="1496"/>
      <c r="AB171" s="473"/>
      <c r="AC171" s="473"/>
      <c r="AD171" s="473"/>
      <c r="AE171" s="473"/>
    </row>
    <row r="172" spans="1:31" s="4866" customFormat="1" ht="11.25" customHeight="1">
      <c r="A172" s="877"/>
      <c r="B172" s="1500"/>
      <c r="C172" s="1500"/>
      <c r="D172" s="268"/>
      <c r="K172" s="1042"/>
      <c r="L172" s="1500"/>
      <c r="M172" s="1500"/>
      <c r="N172" s="1042"/>
      <c r="O172" s="1042"/>
      <c r="P172" s="1042"/>
      <c r="Q172" s="1042"/>
      <c r="R172" s="1500"/>
      <c r="S172" s="1042"/>
      <c r="T172" s="1042"/>
      <c r="U172" s="451"/>
      <c r="V172" s="1042"/>
      <c r="W172" s="1042"/>
      <c r="X172" s="1042"/>
      <c r="Y172" s="1042"/>
      <c r="Z172" s="1042"/>
      <c r="AA172" s="1496"/>
      <c r="AB172" s="473"/>
      <c r="AC172" s="473"/>
      <c r="AD172" s="473"/>
      <c r="AE172" s="473"/>
    </row>
    <row r="173" spans="1:31" s="4866" customFormat="1" ht="11.25" customHeight="1">
      <c r="A173" s="877"/>
      <c r="B173" s="1500"/>
      <c r="C173" s="1500"/>
      <c r="D173" s="268"/>
      <c r="K173" s="1042"/>
      <c r="L173" s="1500"/>
      <c r="M173" s="1500"/>
      <c r="N173" s="1042"/>
      <c r="O173" s="1042"/>
      <c r="P173" s="1042"/>
      <c r="Q173" s="1042"/>
      <c r="R173" s="1500"/>
      <c r="S173" s="1042"/>
      <c r="T173" s="1042"/>
      <c r="U173" s="451"/>
      <c r="V173" s="1042"/>
      <c r="W173" s="1042"/>
      <c r="X173" s="1042"/>
      <c r="Y173" s="1042"/>
      <c r="Z173" s="1042"/>
      <c r="AA173" s="1496"/>
      <c r="AB173" s="473"/>
      <c r="AC173" s="473"/>
      <c r="AD173" s="473"/>
      <c r="AE173" s="473"/>
    </row>
    <row r="174" spans="1:31" s="4866" customFormat="1" ht="11.25" customHeight="1">
      <c r="A174" s="877"/>
      <c r="B174" s="1500"/>
      <c r="C174" s="1500"/>
      <c r="D174" s="268"/>
      <c r="K174" s="1042"/>
      <c r="L174" s="1500"/>
      <c r="M174" s="1500"/>
      <c r="N174" s="1042"/>
      <c r="O174" s="1042"/>
      <c r="P174" s="1042"/>
      <c r="Q174" s="1042"/>
      <c r="R174" s="1500"/>
      <c r="S174" s="1042"/>
      <c r="T174" s="1042"/>
      <c r="U174" s="451"/>
      <c r="V174" s="1042"/>
      <c r="W174" s="1042"/>
      <c r="X174" s="1042"/>
      <c r="Y174" s="1042"/>
      <c r="Z174" s="1042"/>
      <c r="AA174" s="1496"/>
      <c r="AB174" s="473"/>
      <c r="AC174" s="473"/>
      <c r="AD174" s="473"/>
      <c r="AE174" s="473"/>
    </row>
    <row r="175" spans="1:31" s="4866" customFormat="1" ht="11.25" customHeight="1">
      <c r="A175" s="877"/>
      <c r="B175" s="1500"/>
      <c r="C175" s="1500"/>
      <c r="D175" s="268"/>
      <c r="K175" s="1042"/>
      <c r="L175" s="1500"/>
      <c r="M175" s="1500"/>
      <c r="N175" s="1042"/>
      <c r="O175" s="1042"/>
      <c r="P175" s="1042"/>
      <c r="Q175" s="1042"/>
      <c r="R175" s="1500"/>
      <c r="S175" s="1042"/>
      <c r="T175" s="1042"/>
      <c r="U175" s="451"/>
      <c r="V175" s="1042"/>
      <c r="W175" s="1042"/>
      <c r="X175" s="1042"/>
      <c r="Y175" s="1042"/>
      <c r="Z175" s="1042"/>
      <c r="AA175" s="1496"/>
      <c r="AB175" s="473"/>
      <c r="AC175" s="473"/>
      <c r="AD175" s="473"/>
      <c r="AE175" s="473"/>
    </row>
    <row r="176" spans="1:31" s="4866" customFormat="1" ht="11.25" customHeight="1">
      <c r="A176" s="877"/>
      <c r="B176" s="1500"/>
      <c r="C176" s="1500"/>
      <c r="D176" s="268"/>
      <c r="K176" s="1042"/>
      <c r="L176" s="1500"/>
      <c r="M176" s="1500"/>
      <c r="N176" s="1042"/>
      <c r="O176" s="1042"/>
      <c r="P176" s="1042"/>
      <c r="Q176" s="1042"/>
      <c r="R176" s="1500"/>
      <c r="S176" s="1042"/>
      <c r="T176" s="1042"/>
      <c r="U176" s="451"/>
      <c r="V176" s="1042"/>
      <c r="W176" s="1042"/>
      <c r="X176" s="1042"/>
      <c r="Y176" s="1042"/>
      <c r="Z176" s="1042"/>
      <c r="AA176" s="1496"/>
      <c r="AB176" s="473"/>
      <c r="AC176" s="473"/>
      <c r="AD176" s="473"/>
      <c r="AE176" s="473"/>
    </row>
    <row r="177" spans="1:31" s="4866" customFormat="1" ht="11.25" customHeight="1">
      <c r="A177" s="877"/>
      <c r="B177" s="1500"/>
      <c r="C177" s="1500"/>
      <c r="D177" s="268"/>
      <c r="K177" s="1042"/>
      <c r="L177" s="1500"/>
      <c r="M177" s="1500"/>
      <c r="N177" s="1042"/>
      <c r="O177" s="1042"/>
      <c r="P177" s="1042"/>
      <c r="Q177" s="1042"/>
      <c r="R177" s="1500"/>
      <c r="S177" s="1042"/>
      <c r="T177" s="1042"/>
      <c r="U177" s="451"/>
      <c r="V177" s="1042"/>
      <c r="W177" s="1042"/>
      <c r="X177" s="1042"/>
      <c r="Y177" s="1042"/>
      <c r="Z177" s="1042"/>
      <c r="AA177" s="1496"/>
      <c r="AB177" s="473"/>
      <c r="AC177" s="473"/>
      <c r="AD177" s="473"/>
      <c r="AE177" s="473"/>
    </row>
    <row r="178" spans="1:31" s="4866" customFormat="1" ht="11.25" customHeight="1">
      <c r="A178" s="877"/>
      <c r="B178" s="1500"/>
      <c r="C178" s="1500"/>
      <c r="D178" s="268"/>
      <c r="K178" s="1042"/>
      <c r="L178" s="1500"/>
      <c r="M178" s="1500"/>
      <c r="N178" s="1042"/>
      <c r="O178" s="1042"/>
      <c r="P178" s="1042"/>
      <c r="Q178" s="1042"/>
      <c r="R178" s="1500"/>
      <c r="S178" s="1042"/>
      <c r="T178" s="1042"/>
      <c r="U178" s="451"/>
      <c r="V178" s="1042"/>
      <c r="W178" s="1042"/>
      <c r="X178" s="1042"/>
      <c r="Y178" s="1042"/>
      <c r="Z178" s="1042"/>
      <c r="AA178" s="1496"/>
      <c r="AB178" s="473"/>
      <c r="AC178" s="473"/>
      <c r="AD178" s="473"/>
      <c r="AE178" s="473"/>
    </row>
    <row r="179" spans="1:31" s="4866" customFormat="1" ht="11.25" customHeight="1">
      <c r="A179" s="877"/>
      <c r="B179" s="1500"/>
      <c r="C179" s="1500"/>
      <c r="D179" s="268"/>
      <c r="K179" s="1042"/>
      <c r="L179" s="1500"/>
      <c r="M179" s="1500"/>
      <c r="N179" s="1042"/>
      <c r="O179" s="1042"/>
      <c r="P179" s="1042"/>
      <c r="Q179" s="1042"/>
      <c r="R179" s="1500"/>
      <c r="S179" s="1042"/>
      <c r="T179" s="1042"/>
      <c r="U179" s="451"/>
      <c r="V179" s="1042"/>
      <c r="W179" s="1042"/>
      <c r="X179" s="1042"/>
      <c r="Y179" s="1042"/>
      <c r="Z179" s="1042"/>
      <c r="AA179" s="1496"/>
      <c r="AB179" s="473"/>
      <c r="AC179" s="473"/>
      <c r="AD179" s="473"/>
      <c r="AE179" s="473"/>
    </row>
    <row r="180" spans="1:31" s="4866" customFormat="1" ht="11.25" customHeight="1">
      <c r="A180" s="877"/>
      <c r="B180" s="1500"/>
      <c r="C180" s="1500"/>
      <c r="D180" s="268"/>
      <c r="K180" s="1042"/>
      <c r="L180" s="1500"/>
      <c r="M180" s="1500"/>
      <c r="N180" s="1042"/>
      <c r="O180" s="1042"/>
      <c r="P180" s="1042"/>
      <c r="Q180" s="1042"/>
      <c r="R180" s="1500"/>
      <c r="S180" s="1042"/>
      <c r="T180" s="1042"/>
      <c r="U180" s="451"/>
      <c r="V180" s="1042"/>
      <c r="W180" s="1042"/>
      <c r="X180" s="1042"/>
      <c r="Y180" s="1042"/>
      <c r="Z180" s="1042"/>
      <c r="AA180" s="1496"/>
      <c r="AB180" s="473"/>
      <c r="AC180" s="473"/>
      <c r="AD180" s="473"/>
      <c r="AE180" s="473"/>
    </row>
    <row r="181" spans="1:31" s="4866" customFormat="1" ht="11.25" customHeight="1">
      <c r="A181" s="877"/>
      <c r="B181" s="1500"/>
      <c r="C181" s="1500"/>
      <c r="D181" s="268"/>
      <c r="K181" s="1042"/>
      <c r="L181" s="1500"/>
      <c r="M181" s="1500"/>
      <c r="N181" s="1042"/>
      <c r="O181" s="1042"/>
      <c r="P181" s="1042"/>
      <c r="Q181" s="1042"/>
      <c r="R181" s="1500"/>
      <c r="S181" s="1042"/>
      <c r="T181" s="1042"/>
      <c r="U181" s="451"/>
      <c r="V181" s="1042"/>
      <c r="W181" s="1042"/>
      <c r="X181" s="1042"/>
      <c r="Y181" s="1042"/>
      <c r="Z181" s="1042"/>
      <c r="AA181" s="1496"/>
      <c r="AB181" s="473"/>
      <c r="AC181" s="473"/>
      <c r="AD181" s="473"/>
      <c r="AE181" s="473"/>
    </row>
    <row r="182" spans="1:31" s="4866" customFormat="1" ht="11.25" customHeight="1">
      <c r="A182" s="877"/>
      <c r="B182" s="1500"/>
      <c r="C182" s="1500"/>
      <c r="D182" s="268"/>
      <c r="K182" s="1042"/>
      <c r="L182" s="1500"/>
      <c r="M182" s="1500"/>
      <c r="N182" s="1042"/>
      <c r="O182" s="1042"/>
      <c r="P182" s="1042"/>
      <c r="Q182" s="1042"/>
      <c r="R182" s="1500"/>
      <c r="S182" s="1042"/>
      <c r="T182" s="1042"/>
      <c r="U182" s="451"/>
      <c r="V182" s="1042"/>
      <c r="W182" s="1042"/>
      <c r="X182" s="1042"/>
      <c r="Y182" s="1042"/>
      <c r="Z182" s="1042"/>
      <c r="AA182" s="1496"/>
      <c r="AB182" s="473"/>
      <c r="AC182" s="473"/>
      <c r="AD182" s="473"/>
      <c r="AE182" s="473"/>
    </row>
    <row r="183" spans="1:31" s="4866" customFormat="1" ht="11.25" customHeight="1">
      <c r="A183" s="877"/>
      <c r="B183" s="1500"/>
      <c r="C183" s="1500"/>
      <c r="D183" s="268"/>
      <c r="K183" s="1042"/>
      <c r="L183" s="1500"/>
      <c r="M183" s="1500"/>
      <c r="N183" s="1042"/>
      <c r="O183" s="1042"/>
      <c r="P183" s="1042"/>
      <c r="Q183" s="1042"/>
      <c r="R183" s="1500"/>
      <c r="S183" s="1042"/>
      <c r="T183" s="1042"/>
      <c r="U183" s="451"/>
      <c r="V183" s="1042"/>
      <c r="W183" s="1042"/>
      <c r="X183" s="1042"/>
      <c r="Y183" s="1042"/>
      <c r="Z183" s="1042"/>
      <c r="AA183" s="1496"/>
      <c r="AB183" s="473"/>
      <c r="AC183" s="473"/>
      <c r="AD183" s="473"/>
      <c r="AE183" s="473"/>
    </row>
    <row r="184" spans="1:31" s="4866" customFormat="1" ht="11.25" customHeight="1">
      <c r="A184" s="877"/>
      <c r="B184" s="1500"/>
      <c r="C184" s="1500"/>
      <c r="D184" s="268"/>
      <c r="K184" s="1042"/>
      <c r="L184" s="1500"/>
      <c r="M184" s="1500"/>
      <c r="N184" s="1042"/>
      <c r="O184" s="1042"/>
      <c r="P184" s="1042"/>
      <c r="Q184" s="1042"/>
      <c r="R184" s="1500"/>
      <c r="S184" s="1042"/>
      <c r="T184" s="1042"/>
      <c r="U184" s="451"/>
      <c r="V184" s="1042"/>
      <c r="W184" s="1042"/>
      <c r="X184" s="1042"/>
      <c r="Y184" s="1042"/>
      <c r="Z184" s="1042"/>
      <c r="AA184" s="1496"/>
      <c r="AB184" s="473"/>
      <c r="AC184" s="473"/>
      <c r="AD184" s="473"/>
      <c r="AE184" s="473"/>
    </row>
    <row r="185" spans="1:31" s="4866" customFormat="1" ht="11.25" customHeight="1">
      <c r="A185" s="877"/>
      <c r="B185" s="1500"/>
      <c r="C185" s="1500"/>
      <c r="D185" s="268"/>
      <c r="K185" s="1042"/>
      <c r="L185" s="1500"/>
      <c r="M185" s="1500"/>
      <c r="N185" s="1042"/>
      <c r="O185" s="1042"/>
      <c r="P185" s="1042"/>
      <c r="Q185" s="1042"/>
      <c r="R185" s="1500"/>
      <c r="S185" s="1042"/>
      <c r="T185" s="1042"/>
      <c r="U185" s="451"/>
      <c r="V185" s="1042"/>
      <c r="W185" s="1042"/>
      <c r="X185" s="1042"/>
      <c r="Y185" s="1042"/>
      <c r="Z185" s="1042"/>
      <c r="AA185" s="1496"/>
      <c r="AB185" s="473"/>
      <c r="AC185" s="473"/>
      <c r="AD185" s="473"/>
      <c r="AE185" s="473"/>
    </row>
    <row r="186" spans="1:31" s="4866" customFormat="1" ht="11.25" customHeight="1">
      <c r="A186" s="877"/>
      <c r="B186" s="1500"/>
      <c r="C186" s="1500"/>
      <c r="D186" s="268"/>
      <c r="K186" s="1042"/>
      <c r="L186" s="1500"/>
      <c r="M186" s="1500"/>
      <c r="N186" s="1042"/>
      <c r="O186" s="1042"/>
      <c r="P186" s="1042"/>
      <c r="Q186" s="1042"/>
      <c r="R186" s="1500"/>
      <c r="S186" s="1042"/>
      <c r="T186" s="1042"/>
      <c r="U186" s="451"/>
      <c r="V186" s="1042"/>
      <c r="W186" s="1042"/>
      <c r="X186" s="1042"/>
      <c r="Y186" s="1042"/>
      <c r="Z186" s="1042"/>
      <c r="AA186" s="1496"/>
      <c r="AB186" s="473"/>
      <c r="AC186" s="473"/>
      <c r="AD186" s="473"/>
      <c r="AE186" s="473"/>
    </row>
    <row r="187" spans="1:31" s="4866" customFormat="1" ht="11.25" customHeight="1">
      <c r="A187" s="877"/>
      <c r="B187" s="1500"/>
      <c r="C187" s="1500"/>
      <c r="D187" s="268"/>
      <c r="K187" s="1042"/>
      <c r="L187" s="1500"/>
      <c r="M187" s="1500"/>
      <c r="N187" s="1042"/>
      <c r="O187" s="1042"/>
      <c r="P187" s="1042"/>
      <c r="Q187" s="1042"/>
      <c r="R187" s="1500"/>
      <c r="S187" s="1042"/>
      <c r="T187" s="1042"/>
      <c r="U187" s="451"/>
      <c r="V187" s="1042"/>
      <c r="W187" s="1042"/>
      <c r="X187" s="1042"/>
      <c r="Y187" s="1042"/>
      <c r="Z187" s="1042"/>
      <c r="AA187" s="1496"/>
      <c r="AB187" s="473"/>
      <c r="AC187" s="473"/>
      <c r="AD187" s="473"/>
      <c r="AE187" s="473"/>
    </row>
    <row r="188" spans="1:31" s="4866" customFormat="1" ht="11.25" customHeight="1">
      <c r="A188" s="877"/>
      <c r="B188" s="1500"/>
      <c r="C188" s="1500"/>
      <c r="D188" s="268"/>
      <c r="K188" s="1042"/>
      <c r="L188" s="1500"/>
      <c r="M188" s="1500"/>
      <c r="N188" s="1042"/>
      <c r="O188" s="1042"/>
      <c r="P188" s="1042"/>
      <c r="Q188" s="1042"/>
      <c r="R188" s="1500"/>
      <c r="S188" s="1042"/>
      <c r="T188" s="1042"/>
      <c r="U188" s="451"/>
      <c r="V188" s="1042"/>
      <c r="W188" s="1042"/>
      <c r="X188" s="1042"/>
      <c r="Y188" s="1042"/>
      <c r="Z188" s="1042"/>
      <c r="AA188" s="1496"/>
      <c r="AB188" s="473"/>
      <c r="AC188" s="473"/>
      <c r="AD188" s="473"/>
      <c r="AE188" s="473"/>
    </row>
    <row r="189" spans="1:31" s="4866" customFormat="1" ht="11.25" customHeight="1">
      <c r="A189" s="877"/>
      <c r="B189" s="1500"/>
      <c r="C189" s="1500"/>
      <c r="D189" s="268"/>
      <c r="K189" s="1042"/>
      <c r="L189" s="1500"/>
      <c r="M189" s="1500"/>
      <c r="N189" s="1042"/>
      <c r="O189" s="1042"/>
      <c r="P189" s="1042"/>
      <c r="Q189" s="1042"/>
      <c r="R189" s="1500"/>
      <c r="S189" s="1042"/>
      <c r="T189" s="1042"/>
      <c r="U189" s="451"/>
      <c r="V189" s="1042"/>
      <c r="W189" s="1042"/>
      <c r="X189" s="1042"/>
      <c r="Y189" s="1042"/>
      <c r="Z189" s="1042"/>
      <c r="AA189" s="1496"/>
      <c r="AB189" s="473"/>
      <c r="AC189" s="473"/>
      <c r="AD189" s="473"/>
      <c r="AE189" s="473"/>
    </row>
    <row r="190" spans="1:31" s="4866" customFormat="1" ht="11.25" customHeight="1">
      <c r="A190" s="877"/>
      <c r="B190" s="1500"/>
      <c r="C190" s="1500"/>
      <c r="D190" s="268"/>
      <c r="K190" s="1042"/>
      <c r="L190" s="1500"/>
      <c r="M190" s="1500"/>
      <c r="N190" s="1042"/>
      <c r="O190" s="1042"/>
      <c r="P190" s="1042"/>
      <c r="Q190" s="1042"/>
      <c r="R190" s="1500"/>
      <c r="S190" s="1042"/>
      <c r="T190" s="1042"/>
      <c r="U190" s="451"/>
      <c r="V190" s="1042"/>
      <c r="W190" s="1042"/>
      <c r="X190" s="1042"/>
      <c r="Y190" s="1042"/>
      <c r="Z190" s="1042"/>
      <c r="AA190" s="1496"/>
      <c r="AB190" s="473"/>
      <c r="AC190" s="473"/>
      <c r="AD190" s="473"/>
      <c r="AE190" s="473"/>
    </row>
    <row r="191" spans="1:31" s="4866" customFormat="1" ht="11.25" customHeight="1">
      <c r="A191" s="877"/>
      <c r="B191" s="1500"/>
      <c r="C191" s="1500"/>
      <c r="D191" s="268"/>
      <c r="K191" s="1042"/>
      <c r="L191" s="1500"/>
      <c r="M191" s="1500"/>
      <c r="N191" s="1042"/>
      <c r="O191" s="1042"/>
      <c r="P191" s="1042"/>
      <c r="Q191" s="1042"/>
      <c r="R191" s="1500"/>
      <c r="S191" s="1042"/>
      <c r="T191" s="1042"/>
      <c r="U191" s="451"/>
      <c r="V191" s="1042"/>
      <c r="W191" s="1042"/>
      <c r="X191" s="1042"/>
      <c r="Y191" s="1042"/>
      <c r="Z191" s="1042"/>
      <c r="AA191" s="1496"/>
      <c r="AB191" s="473"/>
      <c r="AC191" s="473"/>
      <c r="AD191" s="473"/>
      <c r="AE191" s="473"/>
    </row>
    <row r="192" spans="1:31" s="4866" customFormat="1" ht="11.25" customHeight="1">
      <c r="A192" s="877"/>
      <c r="B192" s="1500"/>
      <c r="C192" s="1500"/>
      <c r="D192" s="268"/>
      <c r="K192" s="1042"/>
      <c r="L192" s="1500"/>
      <c r="M192" s="1500"/>
      <c r="N192" s="1042"/>
      <c r="O192" s="1042"/>
      <c r="P192" s="1042"/>
      <c r="Q192" s="1042"/>
      <c r="R192" s="1500"/>
      <c r="S192" s="1042"/>
      <c r="T192" s="1042"/>
      <c r="U192" s="451"/>
      <c r="V192" s="1042"/>
      <c r="W192" s="1042"/>
      <c r="X192" s="1042"/>
      <c r="Y192" s="1042"/>
      <c r="Z192" s="1042"/>
      <c r="AA192" s="1496"/>
      <c r="AB192" s="473"/>
      <c r="AC192" s="473"/>
      <c r="AD192" s="473"/>
      <c r="AE192" s="473"/>
    </row>
    <row r="193" spans="1:31" s="4866" customFormat="1" ht="11.25" customHeight="1">
      <c r="A193" s="877"/>
      <c r="B193" s="1500"/>
      <c r="C193" s="1500"/>
      <c r="D193" s="268"/>
      <c r="K193" s="1042"/>
      <c r="L193" s="1500"/>
      <c r="M193" s="1500"/>
      <c r="N193" s="1042"/>
      <c r="O193" s="1042"/>
      <c r="P193" s="1042"/>
      <c r="Q193" s="1042"/>
      <c r="R193" s="1500"/>
      <c r="S193" s="1042"/>
      <c r="T193" s="1042"/>
      <c r="U193" s="451"/>
      <c r="V193" s="1042"/>
      <c r="W193" s="1042"/>
      <c r="X193" s="1042"/>
      <c r="Y193" s="1042"/>
      <c r="Z193" s="1042"/>
      <c r="AA193" s="1496"/>
      <c r="AB193" s="473"/>
      <c r="AC193" s="473"/>
      <c r="AD193" s="473"/>
      <c r="AE193" s="473"/>
    </row>
    <row r="194" spans="1:31" s="4866" customFormat="1" ht="11.25" customHeight="1">
      <c r="A194" s="877"/>
      <c r="B194" s="1500"/>
      <c r="C194" s="1500"/>
      <c r="D194" s="268"/>
      <c r="K194" s="1042"/>
      <c r="L194" s="1500"/>
      <c r="M194" s="1500"/>
      <c r="N194" s="1042"/>
      <c r="O194" s="1042"/>
      <c r="P194" s="1042"/>
      <c r="Q194" s="1042"/>
      <c r="R194" s="1500"/>
      <c r="S194" s="1042"/>
      <c r="T194" s="1042"/>
      <c r="U194" s="451"/>
      <c r="V194" s="1042"/>
      <c r="W194" s="1042"/>
      <c r="X194" s="1042"/>
      <c r="Y194" s="1042"/>
      <c r="Z194" s="1042"/>
      <c r="AA194" s="1496"/>
      <c r="AB194" s="473"/>
      <c r="AC194" s="473"/>
      <c r="AD194" s="473"/>
      <c r="AE194" s="473"/>
    </row>
    <row r="195" spans="1:31" s="4866" customFormat="1" ht="11.25" customHeight="1">
      <c r="A195" s="877"/>
      <c r="B195" s="1500"/>
      <c r="C195" s="1500"/>
      <c r="D195" s="268"/>
      <c r="K195" s="1042"/>
      <c r="L195" s="1500"/>
      <c r="M195" s="1500"/>
      <c r="N195" s="1042"/>
      <c r="O195" s="1042"/>
      <c r="P195" s="1042"/>
      <c r="Q195" s="1042"/>
      <c r="R195" s="1500"/>
      <c r="S195" s="1042"/>
      <c r="T195" s="1042"/>
      <c r="U195" s="451"/>
      <c r="V195" s="1042"/>
      <c r="W195" s="1042"/>
      <c r="X195" s="1042"/>
      <c r="Y195" s="1042"/>
      <c r="Z195" s="1042"/>
      <c r="AA195" s="1496"/>
      <c r="AB195" s="473"/>
      <c r="AC195" s="473"/>
      <c r="AD195" s="473"/>
      <c r="AE195" s="473"/>
    </row>
    <row r="199" spans="1:31" ht="11.25" customHeight="1">
      <c r="A199" s="880"/>
      <c r="B199" s="1495"/>
      <c r="D199" s="1495"/>
      <c r="K199" s="1495"/>
      <c r="N199" s="1495"/>
      <c r="O199" s="1495"/>
      <c r="P199" s="1495"/>
      <c r="Q199" s="1495"/>
      <c r="S199" s="1495"/>
      <c r="T199" s="1495"/>
      <c r="U199" s="1495"/>
      <c r="V199" s="1495"/>
      <c r="W199" s="1495"/>
      <c r="X199" s="1495"/>
      <c r="Y199" s="1495"/>
      <c r="Z199" s="1495"/>
      <c r="AA199" s="1495"/>
      <c r="AB199" s="1495"/>
      <c r="AC199" s="1495"/>
      <c r="AD199" s="1495"/>
      <c r="AE199" s="1495"/>
    </row>
    <row r="200" spans="1:31" ht="11.25" customHeight="1">
      <c r="A200" s="880"/>
      <c r="B200" s="1495"/>
      <c r="D200" s="1495"/>
      <c r="K200" s="1495"/>
      <c r="N200" s="1495"/>
      <c r="O200" s="1495"/>
      <c r="P200" s="1495"/>
      <c r="Q200" s="1495"/>
      <c r="S200" s="1495"/>
      <c r="T200" s="1495"/>
      <c r="U200" s="1495"/>
      <c r="V200" s="1495"/>
      <c r="W200" s="1495"/>
      <c r="X200" s="1495"/>
      <c r="Y200" s="1495"/>
      <c r="Z200" s="1495"/>
      <c r="AA200" s="1495"/>
      <c r="AB200" s="1495"/>
      <c r="AC200" s="1495"/>
      <c r="AD200" s="1495"/>
      <c r="AE200" s="1495"/>
    </row>
    <row r="201" spans="1:31" ht="11.25" customHeight="1">
      <c r="A201" s="880"/>
      <c r="B201" s="1495"/>
      <c r="D201" s="1495"/>
      <c r="K201" s="1495"/>
      <c r="N201" s="1495"/>
      <c r="O201" s="1495"/>
      <c r="P201" s="1495"/>
      <c r="Q201" s="1495"/>
      <c r="S201" s="1495"/>
      <c r="T201" s="1495"/>
      <c r="U201" s="1495"/>
      <c r="V201" s="1495"/>
      <c r="W201" s="1495"/>
      <c r="X201" s="1495"/>
      <c r="Y201" s="1495"/>
      <c r="Z201" s="1495"/>
      <c r="AA201" s="1495"/>
      <c r="AB201" s="1495"/>
      <c r="AC201" s="1495"/>
      <c r="AD201" s="1495"/>
      <c r="AE201" s="1495"/>
    </row>
    <row r="202" spans="1:31" ht="11.25" customHeight="1">
      <c r="A202" s="880"/>
      <c r="B202" s="1495"/>
      <c r="D202" s="1495"/>
      <c r="K202" s="1495"/>
      <c r="N202" s="1495"/>
      <c r="O202" s="1495"/>
      <c r="P202" s="1495"/>
      <c r="Q202" s="1495"/>
      <c r="S202" s="1495"/>
      <c r="T202" s="1495"/>
      <c r="U202" s="1495"/>
      <c r="V202" s="1495"/>
      <c r="W202" s="1495"/>
      <c r="X202" s="1495"/>
      <c r="Y202" s="1495"/>
      <c r="Z202" s="1495"/>
      <c r="AA202" s="1495"/>
      <c r="AB202" s="1495"/>
      <c r="AC202" s="1495"/>
      <c r="AD202" s="1495"/>
      <c r="AE202" s="1495"/>
    </row>
    <row r="203" spans="1:31" ht="11.25" customHeight="1">
      <c r="A203" s="880"/>
      <c r="B203" s="1495"/>
      <c r="D203" s="1495"/>
      <c r="K203" s="1495"/>
      <c r="N203" s="1495"/>
      <c r="O203" s="1495"/>
      <c r="P203" s="1495"/>
      <c r="Q203" s="1495"/>
      <c r="S203" s="1495"/>
      <c r="T203" s="1495"/>
      <c r="U203" s="1495"/>
      <c r="V203" s="1495"/>
      <c r="W203" s="1495"/>
      <c r="X203" s="1495"/>
      <c r="Y203" s="1495"/>
      <c r="Z203" s="1495"/>
      <c r="AA203" s="1495"/>
      <c r="AB203" s="1495"/>
      <c r="AC203" s="1495"/>
      <c r="AD203" s="1495"/>
      <c r="AE203" s="1495"/>
    </row>
    <row r="204" spans="1:31" ht="11.25" customHeight="1">
      <c r="A204" s="880"/>
      <c r="B204" s="1495"/>
      <c r="D204" s="1495"/>
      <c r="K204" s="1495"/>
      <c r="N204" s="1495"/>
      <c r="O204" s="1495"/>
      <c r="P204" s="1495"/>
      <c r="Q204" s="1495"/>
      <c r="S204" s="1495"/>
      <c r="T204" s="1495"/>
      <c r="U204" s="1495"/>
      <c r="V204" s="1495"/>
      <c r="W204" s="1495"/>
      <c r="X204" s="1495"/>
      <c r="Y204" s="1495"/>
      <c r="Z204" s="1495"/>
      <c r="AA204" s="1495"/>
      <c r="AB204" s="1495"/>
      <c r="AC204" s="1495"/>
      <c r="AD204" s="1495"/>
      <c r="AE204" s="1495"/>
    </row>
    <row r="205" spans="1:31" ht="11.25" customHeight="1">
      <c r="A205" s="880"/>
      <c r="B205" s="1495"/>
      <c r="D205" s="1495"/>
      <c r="K205" s="1495"/>
      <c r="N205" s="1495"/>
      <c r="O205" s="1495"/>
      <c r="P205" s="1495"/>
      <c r="Q205" s="1495"/>
      <c r="S205" s="1495"/>
      <c r="T205" s="1495"/>
      <c r="U205" s="1495"/>
      <c r="V205" s="1495"/>
      <c r="W205" s="1495"/>
      <c r="X205" s="1495"/>
      <c r="Y205" s="1495"/>
      <c r="Z205" s="1495"/>
      <c r="AA205" s="1495"/>
      <c r="AB205" s="1495"/>
      <c r="AC205" s="1495"/>
      <c r="AD205" s="1495"/>
      <c r="AE205" s="1495"/>
    </row>
    <row r="206" spans="1:31" ht="11.25" customHeight="1">
      <c r="A206" s="880"/>
      <c r="B206" s="1495"/>
      <c r="D206" s="1495"/>
      <c r="K206" s="1495"/>
      <c r="N206" s="1495"/>
      <c r="O206" s="1495"/>
      <c r="P206" s="1495"/>
      <c r="Q206" s="1495"/>
      <c r="S206" s="1495"/>
      <c r="T206" s="1495"/>
      <c r="U206" s="1495"/>
      <c r="V206" s="1495"/>
      <c r="W206" s="1495"/>
      <c r="X206" s="1495"/>
      <c r="Y206" s="1495"/>
      <c r="Z206" s="1495"/>
      <c r="AA206" s="1495"/>
      <c r="AB206" s="1495"/>
      <c r="AC206" s="1495"/>
      <c r="AD206" s="1495"/>
      <c r="AE206" s="1495"/>
    </row>
    <row r="207" spans="1:31" ht="11.25" customHeight="1">
      <c r="A207" s="880"/>
      <c r="B207" s="1495"/>
      <c r="D207" s="1495"/>
      <c r="K207" s="1495"/>
      <c r="N207" s="1495"/>
      <c r="O207" s="1495"/>
      <c r="P207" s="1495"/>
      <c r="Q207" s="1495"/>
      <c r="S207" s="1495"/>
      <c r="T207" s="1495"/>
      <c r="U207" s="1495"/>
      <c r="V207" s="1495"/>
      <c r="W207" s="1495"/>
      <c r="X207" s="1495"/>
      <c r="Y207" s="1495"/>
      <c r="Z207" s="1495"/>
      <c r="AA207" s="1495"/>
      <c r="AB207" s="1495"/>
      <c r="AC207" s="1495"/>
      <c r="AD207" s="1495"/>
      <c r="AE207" s="1495"/>
    </row>
    <row r="208" spans="1:31" ht="11.25" customHeight="1">
      <c r="A208" s="880"/>
      <c r="B208" s="1495"/>
      <c r="D208" s="1495"/>
      <c r="K208" s="1495"/>
      <c r="N208" s="1495"/>
      <c r="O208" s="1495"/>
      <c r="P208" s="1495"/>
      <c r="Q208" s="1495"/>
      <c r="S208" s="1495"/>
      <c r="T208" s="1495"/>
      <c r="U208" s="1495"/>
      <c r="V208" s="1495"/>
      <c r="W208" s="1495"/>
      <c r="X208" s="1495"/>
      <c r="Y208" s="1495"/>
      <c r="Z208" s="1495"/>
      <c r="AA208" s="1495"/>
      <c r="AB208" s="1495"/>
      <c r="AC208" s="1495"/>
      <c r="AD208" s="1495"/>
      <c r="AE208" s="1495"/>
    </row>
    <row r="209" spans="1:31" ht="11.25" customHeight="1">
      <c r="A209" s="880"/>
      <c r="B209" s="1495"/>
      <c r="D209" s="1495"/>
      <c r="K209" s="1495"/>
      <c r="N209" s="1495"/>
      <c r="O209" s="1495"/>
      <c r="P209" s="1495"/>
      <c r="Q209" s="1495"/>
      <c r="S209" s="1495"/>
      <c r="T209" s="1495"/>
      <c r="U209" s="1495"/>
      <c r="V209" s="1495"/>
      <c r="W209" s="1495"/>
      <c r="X209" s="1495"/>
      <c r="Y209" s="1495"/>
      <c r="Z209" s="1495"/>
      <c r="AA209" s="1495"/>
      <c r="AB209" s="1495"/>
      <c r="AC209" s="1495"/>
      <c r="AD209" s="1495"/>
      <c r="AE209" s="1495"/>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5124" hidden="1" customWidth="1"/>
    <col min="2" max="2" width="3.5703125" style="4856" hidden="1" customWidth="1"/>
    <col min="3" max="3" width="3.7109375" style="4844" customWidth="1"/>
    <col min="4" max="4" width="7.7109375" style="4844" customWidth="1"/>
    <col min="5" max="5" width="69.85546875" style="4844" customWidth="1"/>
    <col min="6" max="6" width="11.140625" style="4844" customWidth="1"/>
    <col min="7" max="8" width="44" style="4844" hidden="1" customWidth="1"/>
    <col min="9" max="10" width="44" style="4796" customWidth="1"/>
    <col min="11" max="11" width="74" style="4844" customWidth="1"/>
    <col min="12" max="12" width="3.7109375" style="4844" customWidth="1"/>
    <col min="13" max="23" width="10.5703125" style="4844"/>
  </cols>
  <sheetData>
    <row r="1" spans="1:12" s="4797" customFormat="1" ht="11.25" hidden="1" customHeight="1">
      <c r="A1" s="443"/>
      <c r="B1" s="419"/>
      <c r="G1" s="333">
        <v>4</v>
      </c>
      <c r="I1" s="333">
        <v>4</v>
      </c>
      <c r="K1" s="333">
        <v>5</v>
      </c>
    </row>
    <row r="2" spans="1:12" ht="3" customHeight="1"/>
    <row r="3" spans="1:12" ht="75" customHeight="1">
      <c r="D3" s="523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5238"/>
      <c r="F3" s="5239"/>
    </row>
    <row r="4" spans="1:12" s="4796" customFormat="1" ht="20.25" customHeight="1">
      <c r="A4" s="842"/>
      <c r="B4" s="419"/>
      <c r="D4" s="5341" t="str">
        <f>IF(org=0,"Не определено",org)</f>
        <v>ООО «Газпром теплоэнерго МО»</v>
      </c>
      <c r="E4" s="5342"/>
      <c r="F4" s="5343"/>
    </row>
    <row r="5" spans="1:12" ht="11.25" customHeight="1">
      <c r="C5" s="417"/>
      <c r="D5" s="493"/>
      <c r="E5" s="493"/>
      <c r="F5" s="493"/>
      <c r="G5" s="493"/>
      <c r="H5" s="651"/>
      <c r="I5" s="493"/>
      <c r="J5" s="651"/>
      <c r="K5" s="493"/>
    </row>
    <row r="6" spans="1:12" ht="0.75" customHeight="1">
      <c r="C6" s="417"/>
      <c r="D6" s="417"/>
      <c r="E6" s="430"/>
      <c r="F6" s="517"/>
      <c r="G6" s="911"/>
      <c r="H6" s="911"/>
      <c r="I6" s="911" t="s">
        <v>135</v>
      </c>
      <c r="J6" s="911"/>
    </row>
    <row r="7" spans="1:12" ht="11.25" customHeight="1">
      <c r="D7" s="612"/>
      <c r="E7" s="5456" t="s">
        <v>125</v>
      </c>
      <c r="F7" s="5457"/>
      <c r="G7" s="5475" t="str">
        <f>IF(G6="","",INDEX(DIFFERENTIATION_UNMERGE_VD,MATCH(G6,DIFFERENTIATION_ID_DIFF,0)))</f>
        <v/>
      </c>
      <c r="H7" s="5476"/>
      <c r="I7" s="5475">
        <f>IF(I6="","",INDEX(DIFFERENTIATION_UNMERGE_VD,MATCH(I6,DIFFERENTIATION_ID_DIFF,0)))</f>
        <v>0</v>
      </c>
      <c r="J7" s="5476"/>
      <c r="K7" s="5307"/>
      <c r="L7" s="417"/>
    </row>
    <row r="8" spans="1:12" ht="11.25" customHeight="1">
      <c r="A8" s="605"/>
      <c r="D8" s="612"/>
      <c r="E8" s="5456" t="s">
        <v>653</v>
      </c>
      <c r="F8" s="5457"/>
      <c r="G8" s="5475" t="str">
        <f>IF(G6="","",INDEX(DIFFERENTIATION_UNMERGE_AREA,MATCH(G6,DIFFERENTIATION_ID_DIFF,0)))</f>
        <v/>
      </c>
      <c r="H8" s="5476"/>
      <c r="I8" s="5475" t="str">
        <f>IF(I6="","",INDEX(DIFFERENTIATION_UNMERGE_AREA,MATCH(I6,DIFFERENTIATION_ID_DIFF,0)))</f>
        <v/>
      </c>
      <c r="J8" s="5476"/>
      <c r="K8" s="5326"/>
      <c r="L8" s="417"/>
    </row>
    <row r="9" spans="1:12" ht="11.25" customHeight="1">
      <c r="A9" s="605"/>
      <c r="D9" s="612"/>
      <c r="E9" s="5456" t="s">
        <v>654</v>
      </c>
      <c r="F9" s="5457"/>
      <c r="G9" s="5475" t="str">
        <f>IF(G6="","",INDEX(DIFFERENTIATION_UNMERGE_SYSTEM,MATCH(G6,DIFFERENTIATION_ID_DIFF,0)))</f>
        <v/>
      </c>
      <c r="H9" s="5476"/>
      <c r="I9" s="5475" t="str">
        <f>IF(I6="","",INDEX(DIFFERENTIATION_UNMERGE_SYSTEM,MATCH(I6,DIFFERENTIATION_ID_DIFF,0)))</f>
        <v>без дифференциации</v>
      </c>
      <c r="J9" s="5476"/>
      <c r="K9" s="5326"/>
      <c r="L9" s="417"/>
    </row>
    <row r="10" spans="1:12" s="4796" customFormat="1" ht="11.25" customHeight="1">
      <c r="A10" s="910"/>
      <c r="B10" s="419"/>
      <c r="D10" s="5215" t="s">
        <v>378</v>
      </c>
      <c r="E10" s="5220"/>
      <c r="F10" s="5220"/>
      <c r="G10" s="5220"/>
      <c r="H10" s="5220"/>
      <c r="I10" s="5220"/>
      <c r="J10" s="5214"/>
      <c r="K10" s="5326"/>
      <c r="L10" s="417"/>
    </row>
    <row r="11" spans="1:12" s="5120" customFormat="1" ht="22.5" customHeight="1">
      <c r="A11" s="5396"/>
      <c r="B11" s="5396"/>
      <c r="C11" s="560"/>
      <c r="D11" s="604" t="s">
        <v>85</v>
      </c>
      <c r="E11" s="606" t="s">
        <v>810</v>
      </c>
      <c r="F11" s="606" t="s">
        <v>655</v>
      </c>
      <c r="G11" s="374" t="s">
        <v>381</v>
      </c>
      <c r="H11" s="374" t="s">
        <v>468</v>
      </c>
      <c r="I11" s="706" t="s">
        <v>381</v>
      </c>
      <c r="J11" s="707" t="s">
        <v>468</v>
      </c>
      <c r="K11" s="5355"/>
      <c r="L11" s="561"/>
    </row>
    <row r="12" spans="1:12" s="4856" customFormat="1" ht="10.5" customHeight="1">
      <c r="A12" s="843"/>
      <c r="D12" s="914" t="s">
        <v>129</v>
      </c>
      <c r="E12" s="914" t="s">
        <v>100</v>
      </c>
      <c r="F12" s="914" t="s">
        <v>87</v>
      </c>
      <c r="G12" s="915" t="str">
        <f>G1&amp;".1"</f>
        <v>4.1</v>
      </c>
      <c r="H12" s="915" t="str">
        <f>G1&amp;".2"</f>
        <v>4.2</v>
      </c>
      <c r="I12" s="915" t="str">
        <f>I1&amp;".1"</f>
        <v>4.1</v>
      </c>
      <c r="J12" s="915" t="str">
        <f>I1&amp;".2"</f>
        <v>4.2</v>
      </c>
      <c r="K12" s="915"/>
    </row>
    <row r="13" spans="1:12" ht="22.5" hidden="1" customHeight="1">
      <c r="A13" s="5474" t="s">
        <v>811</v>
      </c>
      <c r="D13" s="844" t="s">
        <v>129</v>
      </c>
      <c r="E13" s="198" t="s">
        <v>812</v>
      </c>
      <c r="F13" s="563" t="s">
        <v>813</v>
      </c>
      <c r="G13" s="464"/>
      <c r="H13" s="564"/>
      <c r="I13" s="464"/>
      <c r="J13" s="564"/>
      <c r="K13" s="207" t="s">
        <v>814</v>
      </c>
      <c r="L13" s="621"/>
    </row>
    <row r="14" spans="1:12" ht="22.5" hidden="1" customHeight="1">
      <c r="A14" s="5474"/>
      <c r="D14" s="446" t="s">
        <v>100</v>
      </c>
      <c r="E14" s="198" t="s">
        <v>815</v>
      </c>
      <c r="F14" s="563" t="s">
        <v>816</v>
      </c>
      <c r="G14" s="464"/>
      <c r="H14" s="565"/>
      <c r="I14" s="464"/>
      <c r="J14" s="565"/>
      <c r="K14" s="207" t="s">
        <v>817</v>
      </c>
      <c r="L14" s="621"/>
    </row>
    <row r="15" spans="1:12" s="4796" customFormat="1" ht="78.75" hidden="1" customHeight="1">
      <c r="A15" s="5474"/>
      <c r="B15" s="419"/>
      <c r="D15" s="844" t="s">
        <v>87</v>
      </c>
      <c r="E15" s="608" t="s">
        <v>818</v>
      </c>
      <c r="F15" s="841" t="s">
        <v>384</v>
      </c>
      <c r="G15" s="841" t="s">
        <v>384</v>
      </c>
      <c r="H15" s="39"/>
      <c r="I15" s="841" t="s">
        <v>384</v>
      </c>
      <c r="J15" s="39"/>
      <c r="K15" s="207" t="s">
        <v>819</v>
      </c>
      <c r="L15" s="621"/>
    </row>
    <row r="16" spans="1:12" s="4796" customFormat="1" ht="22.5" hidden="1" customHeight="1">
      <c r="A16" s="5474"/>
      <c r="B16" s="419"/>
      <c r="D16" s="844" t="s">
        <v>402</v>
      </c>
      <c r="E16" s="845" t="s">
        <v>820</v>
      </c>
      <c r="F16" s="841" t="s">
        <v>821</v>
      </c>
      <c r="G16" s="716"/>
      <c r="H16" s="39"/>
      <c r="I16" s="716"/>
      <c r="J16" s="39"/>
      <c r="K16" s="207"/>
      <c r="L16" s="621"/>
    </row>
    <row r="17" spans="1:23" s="4796" customFormat="1" ht="22.5" hidden="1" customHeight="1">
      <c r="A17" s="5474"/>
      <c r="B17" s="419"/>
      <c r="D17" s="844" t="s">
        <v>410</v>
      </c>
      <c r="E17" s="845" t="s">
        <v>822</v>
      </c>
      <c r="F17" s="841" t="s">
        <v>823</v>
      </c>
      <c r="G17" s="716"/>
      <c r="H17" s="39"/>
      <c r="I17" s="716"/>
      <c r="J17" s="39"/>
      <c r="K17" s="207"/>
      <c r="L17" s="621"/>
    </row>
    <row r="18" spans="1:23" s="4796" customFormat="1" ht="33.75" hidden="1" customHeight="1">
      <c r="A18" s="5474"/>
      <c r="B18" s="419"/>
      <c r="D18" s="844" t="s">
        <v>412</v>
      </c>
      <c r="E18" s="845" t="s">
        <v>824</v>
      </c>
      <c r="F18" s="841" t="s">
        <v>660</v>
      </c>
      <c r="G18" s="583"/>
      <c r="H18" s="39"/>
      <c r="I18" s="583"/>
      <c r="J18" s="39"/>
      <c r="K18" s="207"/>
      <c r="L18" s="621"/>
    </row>
    <row r="19" spans="1:23" ht="101.25" hidden="1" customHeight="1">
      <c r="A19" s="5474"/>
      <c r="D19" s="844" t="s">
        <v>88</v>
      </c>
      <c r="E19" s="198" t="s">
        <v>825</v>
      </c>
      <c r="F19" s="563" t="s">
        <v>635</v>
      </c>
      <c r="G19" s="566"/>
      <c r="H19" s="565"/>
      <c r="I19" s="846"/>
      <c r="J19" s="565"/>
      <c r="K19" s="207" t="s">
        <v>826</v>
      </c>
      <c r="L19" s="621"/>
    </row>
    <row r="20" spans="1:23" s="4796" customFormat="1" ht="18.75" hidden="1" customHeight="1">
      <c r="A20" s="5474"/>
      <c r="C20" s="847"/>
      <c r="D20" s="844" t="s">
        <v>756</v>
      </c>
      <c r="E20" s="845" t="s">
        <v>827</v>
      </c>
      <c r="F20" s="841" t="s">
        <v>384</v>
      </c>
      <c r="G20" s="841" t="s">
        <v>384</v>
      </c>
      <c r="H20" s="840" t="s">
        <v>384</v>
      </c>
      <c r="I20" s="841" t="s">
        <v>384</v>
      </c>
      <c r="J20" s="840" t="s">
        <v>384</v>
      </c>
      <c r="K20" s="839"/>
      <c r="L20" s="621"/>
      <c r="W20" s="578"/>
    </row>
    <row r="21" spans="1:23" s="4796" customFormat="1" ht="33.75" hidden="1" customHeight="1">
      <c r="A21" s="5474"/>
      <c r="C21" s="847"/>
      <c r="D21" s="844" t="s">
        <v>759</v>
      </c>
      <c r="E21" s="483" t="s">
        <v>828</v>
      </c>
      <c r="F21" s="841" t="s">
        <v>829</v>
      </c>
      <c r="G21" s="834"/>
      <c r="H21" s="39"/>
      <c r="I21" s="834"/>
      <c r="J21" s="39"/>
      <c r="K21" s="839"/>
      <c r="L21" s="621"/>
      <c r="W21" s="578"/>
    </row>
    <row r="22" spans="1:23" s="4796" customFormat="1" ht="33.75" hidden="1" customHeight="1">
      <c r="A22" s="5474"/>
      <c r="C22" s="847"/>
      <c r="D22" s="844" t="s">
        <v>762</v>
      </c>
      <c r="E22" s="483" t="s">
        <v>830</v>
      </c>
      <c r="F22" s="841" t="s">
        <v>831</v>
      </c>
      <c r="G22" s="834"/>
      <c r="H22" s="39"/>
      <c r="I22" s="834"/>
      <c r="J22" s="39"/>
      <c r="K22" s="839"/>
      <c r="L22" s="621"/>
      <c r="W22" s="578"/>
    </row>
    <row r="23" spans="1:23" s="4796" customFormat="1" ht="22.5" hidden="1" customHeight="1">
      <c r="A23" s="5474"/>
      <c r="C23" s="847"/>
      <c r="D23" s="844" t="s">
        <v>799</v>
      </c>
      <c r="E23" s="845" t="s">
        <v>832</v>
      </c>
      <c r="F23" s="841" t="s">
        <v>384</v>
      </c>
      <c r="G23" s="841" t="s">
        <v>384</v>
      </c>
      <c r="H23" s="840" t="s">
        <v>384</v>
      </c>
      <c r="I23" s="841" t="s">
        <v>384</v>
      </c>
      <c r="J23" s="840" t="s">
        <v>384</v>
      </c>
      <c r="K23" s="839"/>
      <c r="L23" s="621"/>
      <c r="W23" s="578"/>
    </row>
    <row r="24" spans="1:23" s="4796" customFormat="1" ht="22.5" hidden="1" customHeight="1">
      <c r="A24" s="5474"/>
      <c r="C24" s="847"/>
      <c r="D24" s="844" t="s">
        <v>833</v>
      </c>
      <c r="E24" s="483" t="s">
        <v>834</v>
      </c>
      <c r="F24" s="841" t="s">
        <v>835</v>
      </c>
      <c r="G24" s="834"/>
      <c r="H24" s="588"/>
      <c r="I24" s="834"/>
      <c r="J24" s="588"/>
      <c r="K24" s="839"/>
      <c r="L24" s="621"/>
      <c r="W24" s="578"/>
    </row>
    <row r="25" spans="1:23" s="4796" customFormat="1" ht="22.5" hidden="1" customHeight="1">
      <c r="A25" s="5474"/>
      <c r="C25" s="847"/>
      <c r="D25" s="844" t="s">
        <v>836</v>
      </c>
      <c r="E25" s="483" t="s">
        <v>837</v>
      </c>
      <c r="F25" s="841" t="s">
        <v>384</v>
      </c>
      <c r="G25" s="841" t="s">
        <v>384</v>
      </c>
      <c r="H25" s="840" t="s">
        <v>384</v>
      </c>
      <c r="I25" s="841" t="s">
        <v>384</v>
      </c>
      <c r="J25" s="840" t="s">
        <v>384</v>
      </c>
      <c r="K25" s="839"/>
      <c r="L25" s="621"/>
      <c r="W25" s="578"/>
    </row>
    <row r="26" spans="1:23" s="4796" customFormat="1" ht="18.75" hidden="1" customHeight="1">
      <c r="A26" s="5474"/>
      <c r="C26" s="847"/>
      <c r="D26" s="844" t="s">
        <v>838</v>
      </c>
      <c r="E26" s="460" t="s">
        <v>839</v>
      </c>
      <c r="F26" s="841" t="s">
        <v>840</v>
      </c>
      <c r="G26" s="583"/>
      <c r="H26" s="588"/>
      <c r="I26" s="583"/>
      <c r="J26" s="588"/>
      <c r="K26" s="839"/>
      <c r="L26" s="621"/>
      <c r="W26" s="578"/>
    </row>
    <row r="27" spans="1:23" s="4796" customFormat="1" ht="18.75" hidden="1" customHeight="1">
      <c r="A27" s="5474"/>
      <c r="C27" s="847"/>
      <c r="D27" s="844" t="s">
        <v>841</v>
      </c>
      <c r="E27" s="460" t="s">
        <v>842</v>
      </c>
      <c r="F27" s="841" t="s">
        <v>843</v>
      </c>
      <c r="G27" s="583"/>
      <c r="H27" s="588"/>
      <c r="I27" s="583"/>
      <c r="J27" s="588"/>
      <c r="K27" s="839"/>
      <c r="L27" s="621"/>
      <c r="W27" s="578"/>
    </row>
    <row r="28" spans="1:23" s="4796" customFormat="1" ht="18.75" hidden="1" customHeight="1">
      <c r="A28" s="5474"/>
      <c r="C28" s="847"/>
      <c r="D28" s="844" t="s">
        <v>844</v>
      </c>
      <c r="E28" s="483" t="s">
        <v>845</v>
      </c>
      <c r="F28" s="841" t="s">
        <v>384</v>
      </c>
      <c r="G28" s="841" t="s">
        <v>384</v>
      </c>
      <c r="H28" s="840" t="s">
        <v>384</v>
      </c>
      <c r="I28" s="841" t="s">
        <v>384</v>
      </c>
      <c r="J28" s="840" t="s">
        <v>384</v>
      </c>
      <c r="K28" s="839"/>
      <c r="L28" s="621"/>
      <c r="W28" s="578"/>
    </row>
    <row r="29" spans="1:23" s="4796" customFormat="1" ht="18.75" hidden="1" customHeight="1">
      <c r="A29" s="5474"/>
      <c r="C29" s="847"/>
      <c r="D29" s="844" t="s">
        <v>846</v>
      </c>
      <c r="E29" s="460" t="s">
        <v>839</v>
      </c>
      <c r="F29" s="841" t="s">
        <v>847</v>
      </c>
      <c r="G29" s="583"/>
      <c r="H29" s="588"/>
      <c r="I29" s="583"/>
      <c r="J29" s="588"/>
      <c r="K29" s="839"/>
      <c r="L29" s="621"/>
      <c r="W29" s="578"/>
    </row>
    <row r="30" spans="1:23" s="4796" customFormat="1" ht="18.75" hidden="1" customHeight="1">
      <c r="A30" s="5474"/>
      <c r="C30" s="847"/>
      <c r="D30" s="844" t="s">
        <v>848</v>
      </c>
      <c r="E30" s="460" t="s">
        <v>849</v>
      </c>
      <c r="F30" s="841" t="s">
        <v>850</v>
      </c>
      <c r="G30" s="583"/>
      <c r="H30" s="588"/>
      <c r="I30" s="583"/>
      <c r="J30" s="588"/>
      <c r="K30" s="839"/>
      <c r="L30" s="621"/>
      <c r="W30" s="578"/>
    </row>
    <row r="31" spans="1:23" ht="126.75" hidden="1" customHeight="1">
      <c r="A31" s="5474"/>
      <c r="D31" s="844" t="s">
        <v>114</v>
      </c>
      <c r="E31" s="198" t="s">
        <v>851</v>
      </c>
      <c r="F31" s="563" t="s">
        <v>647</v>
      </c>
      <c r="G31" s="464"/>
      <c r="H31" s="565"/>
      <c r="I31" s="464"/>
      <c r="J31" s="565"/>
      <c r="K31" s="207" t="s">
        <v>852</v>
      </c>
      <c r="L31" s="621"/>
    </row>
    <row r="32" spans="1:23" ht="56.25" hidden="1" customHeight="1">
      <c r="A32" s="5474"/>
      <c r="D32" s="844" t="s">
        <v>89</v>
      </c>
      <c r="E32" s="198" t="s">
        <v>853</v>
      </c>
      <c r="F32" s="446" t="s">
        <v>823</v>
      </c>
      <c r="G32" s="464"/>
      <c r="H32" s="565"/>
      <c r="I32" s="464"/>
      <c r="J32" s="565"/>
      <c r="K32" s="207" t="s">
        <v>854</v>
      </c>
      <c r="L32" s="621"/>
    </row>
    <row r="33" spans="1:11" ht="11.25" hidden="1" customHeight="1">
      <c r="A33" s="5474"/>
      <c r="E33" s="567"/>
      <c r="F33" s="104"/>
      <c r="G33" s="104"/>
      <c r="H33" s="104"/>
      <c r="I33" s="104"/>
      <c r="J33" s="104"/>
      <c r="K33" s="104"/>
    </row>
    <row r="34" spans="1:11" ht="12.75" hidden="1" customHeight="1">
      <c r="A34" s="5474"/>
      <c r="D34" s="4">
        <v>1</v>
      </c>
      <c r="E34" s="253" t="s">
        <v>855</v>
      </c>
    </row>
    <row r="35" spans="1:11" ht="11.25" hidden="1" customHeight="1">
      <c r="A35" s="5474"/>
      <c r="D35" s="285"/>
      <c r="E35" s="253" t="s">
        <v>856</v>
      </c>
    </row>
    <row r="36" spans="1:11" s="5120" customFormat="1" ht="11.25" customHeight="1">
      <c r="A36" s="922"/>
      <c r="B36" s="426"/>
      <c r="D36" s="923"/>
      <c r="E36" s="924"/>
    </row>
    <row r="37" spans="1:11" s="4796" customFormat="1" ht="22.5" hidden="1" customHeight="1">
      <c r="A37" s="5474" t="s">
        <v>857</v>
      </c>
      <c r="B37" s="419"/>
      <c r="D37" s="844">
        <v>1</v>
      </c>
      <c r="E37" s="608" t="s">
        <v>858</v>
      </c>
      <c r="F37" s="563" t="s">
        <v>813</v>
      </c>
      <c r="G37" s="464"/>
      <c r="H37" s="427"/>
      <c r="I37" s="464"/>
      <c r="J37" s="427"/>
      <c r="K37" s="207" t="s">
        <v>859</v>
      </c>
    </row>
    <row r="38" spans="1:11" s="4796" customFormat="1" ht="22.5" hidden="1" customHeight="1">
      <c r="A38" s="5474"/>
      <c r="B38" s="419"/>
      <c r="D38" s="572" t="s">
        <v>100</v>
      </c>
      <c r="E38" s="921" t="s">
        <v>860</v>
      </c>
      <c r="F38" s="925" t="s">
        <v>635</v>
      </c>
      <c r="G38" s="925" t="s">
        <v>635</v>
      </c>
      <c r="H38" s="919"/>
      <c r="I38" s="925" t="s">
        <v>635</v>
      </c>
      <c r="J38" s="919"/>
      <c r="K38" s="920"/>
    </row>
    <row r="39" spans="1:11" s="4796" customFormat="1" ht="33.75" hidden="1" customHeight="1">
      <c r="A39" s="5474"/>
      <c r="B39" s="419"/>
      <c r="D39" s="568" t="s">
        <v>714</v>
      </c>
      <c r="E39" s="624" t="s">
        <v>861</v>
      </c>
      <c r="F39" s="563" t="s">
        <v>862</v>
      </c>
      <c r="G39" s="571"/>
      <c r="H39" s="912"/>
      <c r="I39" s="571"/>
      <c r="J39" s="912"/>
      <c r="K39" s="207" t="s">
        <v>863</v>
      </c>
    </row>
    <row r="40" spans="1:11" s="4796" customFormat="1" ht="33.75" hidden="1" customHeight="1">
      <c r="A40" s="5474"/>
      <c r="B40" s="419"/>
      <c r="D40" s="568" t="s">
        <v>717</v>
      </c>
      <c r="E40" s="624" t="s">
        <v>864</v>
      </c>
      <c r="F40" s="916" t="s">
        <v>865</v>
      </c>
      <c r="G40" s="641"/>
      <c r="H40" s="912"/>
      <c r="I40" s="641"/>
      <c r="J40" s="912"/>
      <c r="K40" s="207" t="s">
        <v>866</v>
      </c>
    </row>
    <row r="41" spans="1:11" s="4796" customFormat="1" ht="22.5" hidden="1" customHeight="1">
      <c r="A41" s="5474"/>
      <c r="B41" s="419"/>
      <c r="D41" s="568" t="s">
        <v>87</v>
      </c>
      <c r="E41" s="623" t="s">
        <v>867</v>
      </c>
      <c r="F41" s="563" t="s">
        <v>635</v>
      </c>
      <c r="G41" s="563" t="s">
        <v>635</v>
      </c>
      <c r="H41" s="913"/>
      <c r="I41" s="563" t="s">
        <v>635</v>
      </c>
      <c r="J41" s="913"/>
      <c r="K41" s="220"/>
    </row>
    <row r="42" spans="1:11" s="4796" customFormat="1" ht="45" hidden="1" customHeight="1">
      <c r="A42" s="5474"/>
      <c r="B42" s="419"/>
      <c r="D42" s="568" t="s">
        <v>402</v>
      </c>
      <c r="E42" s="624" t="s">
        <v>868</v>
      </c>
      <c r="F42" s="563" t="s">
        <v>647</v>
      </c>
      <c r="G42" s="464"/>
      <c r="H42" s="913"/>
      <c r="I42" s="464"/>
      <c r="J42" s="913"/>
      <c r="K42" s="220" t="s">
        <v>869</v>
      </c>
    </row>
    <row r="43" spans="1:11" s="4796" customFormat="1" ht="45" hidden="1" customHeight="1">
      <c r="A43" s="5474"/>
      <c r="B43" s="419"/>
      <c r="D43" s="568" t="s">
        <v>410</v>
      </c>
      <c r="E43" s="570" t="s">
        <v>870</v>
      </c>
      <c r="F43" s="917" t="s">
        <v>647</v>
      </c>
      <c r="G43" s="642"/>
      <c r="H43" s="912"/>
      <c r="I43" s="642"/>
      <c r="J43" s="912"/>
      <c r="K43" s="220" t="s">
        <v>871</v>
      </c>
    </row>
    <row r="44" spans="1:11" s="4796" customFormat="1" ht="11.25" hidden="1" customHeight="1">
      <c r="A44" s="5474"/>
      <c r="B44" s="419"/>
      <c r="D44" s="568" t="s">
        <v>88</v>
      </c>
      <c r="E44" s="569" t="s">
        <v>872</v>
      </c>
      <c r="F44" s="563" t="s">
        <v>862</v>
      </c>
      <c r="G44" s="571"/>
      <c r="H44" s="912"/>
      <c r="I44" s="571"/>
      <c r="J44" s="912"/>
      <c r="K44" s="207"/>
    </row>
    <row r="45" spans="1:11" s="4796" customFormat="1" ht="11.25" hidden="1" customHeight="1">
      <c r="A45" s="5474"/>
      <c r="B45" s="419"/>
      <c r="D45" s="568" t="s">
        <v>756</v>
      </c>
      <c r="E45" s="570" t="s">
        <v>873</v>
      </c>
      <c r="F45" s="563" t="s">
        <v>862</v>
      </c>
      <c r="G45" s="571"/>
      <c r="H45" s="912"/>
      <c r="I45" s="571"/>
      <c r="J45" s="912"/>
      <c r="K45" s="207"/>
    </row>
    <row r="46" spans="1:11" s="4796" customFormat="1" ht="11.25" hidden="1" customHeight="1">
      <c r="A46" s="5474"/>
      <c r="B46" s="419"/>
      <c r="D46" s="568" t="s">
        <v>799</v>
      </c>
      <c r="E46" s="570" t="s">
        <v>874</v>
      </c>
      <c r="F46" s="563" t="s">
        <v>862</v>
      </c>
      <c r="G46" s="571"/>
      <c r="H46" s="912"/>
      <c r="I46" s="571"/>
      <c r="J46" s="912"/>
      <c r="K46" s="207"/>
    </row>
    <row r="47" spans="1:11" s="4796" customFormat="1" ht="11.25" hidden="1" customHeight="1">
      <c r="A47" s="5474"/>
      <c r="B47" s="419"/>
      <c r="D47" s="568" t="s">
        <v>802</v>
      </c>
      <c r="E47" s="570" t="s">
        <v>875</v>
      </c>
      <c r="F47" s="563" t="s">
        <v>862</v>
      </c>
      <c r="G47" s="571"/>
      <c r="H47" s="912"/>
      <c r="I47" s="571"/>
      <c r="J47" s="912"/>
      <c r="K47" s="207"/>
    </row>
    <row r="48" spans="1:11" s="4796" customFormat="1" ht="11.25" hidden="1" customHeight="1">
      <c r="A48" s="5474"/>
      <c r="B48" s="419"/>
      <c r="D48" s="568" t="s">
        <v>876</v>
      </c>
      <c r="E48" s="574" t="s">
        <v>877</v>
      </c>
      <c r="F48" s="563" t="s">
        <v>862</v>
      </c>
      <c r="G48" s="571"/>
      <c r="H48" s="912"/>
      <c r="I48" s="571"/>
      <c r="J48" s="912"/>
      <c r="K48" s="207"/>
    </row>
    <row r="49" spans="1:11" s="4796" customFormat="1" ht="11.25" hidden="1" customHeight="1">
      <c r="A49" s="5474"/>
      <c r="B49" s="419"/>
      <c r="D49" s="568" t="s">
        <v>878</v>
      </c>
      <c r="E49" s="574" t="s">
        <v>879</v>
      </c>
      <c r="F49" s="563" t="s">
        <v>862</v>
      </c>
      <c r="G49" s="571"/>
      <c r="H49" s="912"/>
      <c r="I49" s="571"/>
      <c r="J49" s="912"/>
      <c r="K49" s="207"/>
    </row>
    <row r="50" spans="1:11" s="4796" customFormat="1" ht="11.25" hidden="1" customHeight="1">
      <c r="A50" s="5474"/>
      <c r="B50" s="419"/>
      <c r="D50" s="568" t="s">
        <v>880</v>
      </c>
      <c r="E50" s="570" t="s">
        <v>881</v>
      </c>
      <c r="F50" s="563" t="s">
        <v>862</v>
      </c>
      <c r="G50" s="571"/>
      <c r="H50" s="912"/>
      <c r="I50" s="571"/>
      <c r="J50" s="912"/>
      <c r="K50" s="207"/>
    </row>
    <row r="51" spans="1:11" s="4796" customFormat="1" ht="11.25" hidden="1" customHeight="1">
      <c r="A51" s="5474"/>
      <c r="B51" s="419"/>
      <c r="D51" s="568" t="s">
        <v>882</v>
      </c>
      <c r="E51" s="570" t="s">
        <v>883</v>
      </c>
      <c r="F51" s="563" t="s">
        <v>862</v>
      </c>
      <c r="G51" s="571"/>
      <c r="H51" s="912"/>
      <c r="I51" s="571"/>
      <c r="J51" s="912"/>
      <c r="K51" s="207"/>
    </row>
    <row r="52" spans="1:11" s="4796" customFormat="1" ht="45" hidden="1" customHeight="1">
      <c r="A52" s="5474"/>
      <c r="B52" s="419"/>
      <c r="D52" s="568" t="s">
        <v>114</v>
      </c>
      <c r="E52" s="569" t="s">
        <v>884</v>
      </c>
      <c r="F52" s="563" t="s">
        <v>862</v>
      </c>
      <c r="G52" s="571"/>
      <c r="H52" s="912"/>
      <c r="I52" s="571"/>
      <c r="J52" s="912"/>
      <c r="K52" s="207"/>
    </row>
    <row r="53" spans="1:11" s="4796" customFormat="1" ht="11.25" hidden="1" customHeight="1">
      <c r="A53" s="5474"/>
      <c r="B53" s="419"/>
      <c r="D53" s="568" t="s">
        <v>391</v>
      </c>
      <c r="E53" s="570" t="s">
        <v>873</v>
      </c>
      <c r="F53" s="563" t="s">
        <v>862</v>
      </c>
      <c r="G53" s="571"/>
      <c r="H53" s="912"/>
      <c r="I53" s="571"/>
      <c r="J53" s="912"/>
      <c r="K53" s="207"/>
    </row>
    <row r="54" spans="1:11" s="4796" customFormat="1" ht="11.25" hidden="1" customHeight="1">
      <c r="A54" s="5474"/>
      <c r="B54" s="419"/>
      <c r="D54" s="568" t="s">
        <v>885</v>
      </c>
      <c r="E54" s="570" t="s">
        <v>874</v>
      </c>
      <c r="F54" s="563" t="s">
        <v>862</v>
      </c>
      <c r="G54" s="571"/>
      <c r="H54" s="912"/>
      <c r="I54" s="571"/>
      <c r="J54" s="912"/>
      <c r="K54" s="207"/>
    </row>
    <row r="55" spans="1:11" s="4796" customFormat="1" ht="11.25" hidden="1" customHeight="1">
      <c r="A55" s="5474"/>
      <c r="B55" s="419"/>
      <c r="D55" s="568" t="s">
        <v>886</v>
      </c>
      <c r="E55" s="570" t="s">
        <v>875</v>
      </c>
      <c r="F55" s="563" t="s">
        <v>862</v>
      </c>
      <c r="G55" s="571"/>
      <c r="H55" s="912"/>
      <c r="I55" s="571"/>
      <c r="J55" s="912"/>
      <c r="K55" s="207"/>
    </row>
    <row r="56" spans="1:11" s="4796" customFormat="1" ht="11.25" hidden="1" customHeight="1">
      <c r="A56" s="5474"/>
      <c r="B56" s="419"/>
      <c r="D56" s="568" t="s">
        <v>887</v>
      </c>
      <c r="E56" s="574" t="s">
        <v>877</v>
      </c>
      <c r="F56" s="563" t="s">
        <v>862</v>
      </c>
      <c r="G56" s="571"/>
      <c r="H56" s="912"/>
      <c r="I56" s="571"/>
      <c r="J56" s="912"/>
      <c r="K56" s="207"/>
    </row>
    <row r="57" spans="1:11" s="4796" customFormat="1" ht="11.25" hidden="1" customHeight="1">
      <c r="A57" s="5474"/>
      <c r="B57" s="419"/>
      <c r="D57" s="568" t="s">
        <v>888</v>
      </c>
      <c r="E57" s="574" t="s">
        <v>879</v>
      </c>
      <c r="F57" s="563" t="s">
        <v>862</v>
      </c>
      <c r="G57" s="571"/>
      <c r="H57" s="912"/>
      <c r="I57" s="571"/>
      <c r="J57" s="912"/>
      <c r="K57" s="207"/>
    </row>
    <row r="58" spans="1:11" s="4796" customFormat="1" ht="11.25" hidden="1" customHeight="1">
      <c r="A58" s="5474"/>
      <c r="B58" s="419"/>
      <c r="D58" s="568" t="s">
        <v>889</v>
      </c>
      <c r="E58" s="570" t="s">
        <v>881</v>
      </c>
      <c r="F58" s="563" t="s">
        <v>862</v>
      </c>
      <c r="G58" s="571"/>
      <c r="H58" s="912"/>
      <c r="I58" s="571"/>
      <c r="J58" s="912"/>
      <c r="K58" s="207"/>
    </row>
    <row r="59" spans="1:11" s="4796" customFormat="1" ht="11.25" hidden="1" customHeight="1">
      <c r="A59" s="5474"/>
      <c r="B59" s="419"/>
      <c r="D59" s="568" t="s">
        <v>890</v>
      </c>
      <c r="E59" s="570" t="s">
        <v>883</v>
      </c>
      <c r="F59" s="563" t="s">
        <v>862</v>
      </c>
      <c r="G59" s="571"/>
      <c r="H59" s="912"/>
      <c r="I59" s="571"/>
      <c r="J59" s="912"/>
      <c r="K59" s="207"/>
    </row>
    <row r="60" spans="1:11" s="4796" customFormat="1" ht="33.75" hidden="1" customHeight="1">
      <c r="A60" s="5474"/>
      <c r="B60" s="419"/>
      <c r="D60" s="568" t="s">
        <v>89</v>
      </c>
      <c r="E60" s="569" t="s">
        <v>891</v>
      </c>
      <c r="F60" s="622" t="s">
        <v>647</v>
      </c>
      <c r="G60" s="642"/>
      <c r="H60" s="912"/>
      <c r="I60" s="642"/>
      <c r="J60" s="912"/>
      <c r="K60" s="220" t="s">
        <v>892</v>
      </c>
    </row>
    <row r="61" spans="1:11" s="4796" customFormat="1" ht="33.75" hidden="1" customHeight="1">
      <c r="A61" s="5474"/>
      <c r="B61" s="419"/>
      <c r="D61" s="568" t="s">
        <v>90</v>
      </c>
      <c r="E61" s="569" t="s">
        <v>893</v>
      </c>
      <c r="F61" s="627" t="s">
        <v>823</v>
      </c>
      <c r="G61" s="571"/>
      <c r="H61" s="912"/>
      <c r="I61" s="571"/>
      <c r="J61" s="912"/>
      <c r="K61" s="207"/>
    </row>
    <row r="62" spans="1:11" s="4796" customFormat="1" ht="22.5" hidden="1" customHeight="1">
      <c r="A62" s="5474"/>
      <c r="B62" s="419" t="s">
        <v>677</v>
      </c>
      <c r="D62" s="568" t="s">
        <v>130</v>
      </c>
      <c r="E62" s="569" t="s">
        <v>894</v>
      </c>
      <c r="F62" s="627" t="s">
        <v>384</v>
      </c>
      <c r="G62" s="298"/>
      <c r="H62" s="912"/>
      <c r="I62" s="298"/>
      <c r="J62" s="912"/>
      <c r="K62" s="207" t="s">
        <v>895</v>
      </c>
    </row>
    <row r="63" spans="1:11" s="4796" customFormat="1" ht="45" hidden="1" customHeight="1">
      <c r="A63" s="5474"/>
      <c r="B63" s="419" t="s">
        <v>677</v>
      </c>
      <c r="D63" s="568" t="s">
        <v>896</v>
      </c>
      <c r="E63" s="570" t="s">
        <v>897</v>
      </c>
      <c r="F63" s="622" t="s">
        <v>384</v>
      </c>
      <c r="G63" s="298"/>
      <c r="H63" s="912"/>
      <c r="I63" s="298"/>
      <c r="J63" s="912"/>
      <c r="K63" s="207" t="s">
        <v>895</v>
      </c>
    </row>
    <row r="64" spans="1:11" s="5120" customFormat="1" ht="11.25" customHeight="1">
      <c r="A64" s="922"/>
      <c r="B64" s="426"/>
      <c r="D64" s="923"/>
      <c r="E64" s="924"/>
    </row>
    <row r="65" spans="1:11" s="4796" customFormat="1" ht="22.5" customHeight="1">
      <c r="A65" s="5474" t="s">
        <v>898</v>
      </c>
      <c r="B65" s="419"/>
      <c r="D65" s="568">
        <v>1</v>
      </c>
      <c r="E65" s="644" t="s">
        <v>899</v>
      </c>
      <c r="F65" s="640" t="s">
        <v>813</v>
      </c>
      <c r="G65" s="641"/>
      <c r="H65" s="918"/>
      <c r="I65" s="641"/>
      <c r="J65" s="918"/>
      <c r="K65" s="219" t="s">
        <v>900</v>
      </c>
    </row>
    <row r="66" spans="1:11" s="4796" customFormat="1" ht="56.25" customHeight="1">
      <c r="A66" s="5474"/>
      <c r="B66" s="419"/>
      <c r="D66" s="643" t="s">
        <v>100</v>
      </c>
      <c r="E66" s="608" t="s">
        <v>901</v>
      </c>
      <c r="F66" s="563" t="s">
        <v>635</v>
      </c>
      <c r="G66" s="563" t="s">
        <v>635</v>
      </c>
      <c r="H66" s="427"/>
      <c r="I66" s="563" t="s">
        <v>635</v>
      </c>
      <c r="J66" s="427"/>
      <c r="K66" s="207"/>
    </row>
    <row r="67" spans="1:11" s="4796" customFormat="1" ht="33.75" customHeight="1">
      <c r="A67" s="5474"/>
      <c r="B67" s="419"/>
      <c r="D67" s="643" t="s">
        <v>711</v>
      </c>
      <c r="E67" s="845" t="s">
        <v>902</v>
      </c>
      <c r="F67" s="563" t="s">
        <v>865</v>
      </c>
      <c r="G67" s="628"/>
      <c r="H67" s="427"/>
      <c r="I67" s="628"/>
      <c r="J67" s="427"/>
      <c r="K67" s="207"/>
    </row>
    <row r="68" spans="1:11" s="4796" customFormat="1" ht="22.5" customHeight="1">
      <c r="A68" s="5474"/>
      <c r="B68" s="419"/>
      <c r="D68" s="643" t="s">
        <v>385</v>
      </c>
      <c r="E68" s="845" t="s">
        <v>903</v>
      </c>
      <c r="F68" s="563" t="s">
        <v>865</v>
      </c>
      <c r="G68" s="628"/>
      <c r="H68" s="427"/>
      <c r="I68" s="628"/>
      <c r="J68" s="427"/>
      <c r="K68" s="207"/>
    </row>
    <row r="69" spans="1:11" s="4796" customFormat="1" ht="22.5" customHeight="1">
      <c r="A69" s="5474"/>
      <c r="B69" s="419"/>
      <c r="D69" s="643" t="s">
        <v>388</v>
      </c>
      <c r="E69" s="845" t="s">
        <v>904</v>
      </c>
      <c r="F69" s="622" t="s">
        <v>647</v>
      </c>
      <c r="G69" s="642"/>
      <c r="H69" s="427"/>
      <c r="I69" s="642"/>
      <c r="J69" s="427"/>
      <c r="K69" s="207"/>
    </row>
    <row r="70" spans="1:11" s="4796" customFormat="1" ht="22.5" customHeight="1">
      <c r="A70" s="5474"/>
      <c r="B70" s="419"/>
      <c r="D70" s="643" t="s">
        <v>731</v>
      </c>
      <c r="E70" s="845" t="s">
        <v>905</v>
      </c>
      <c r="F70" s="622" t="s">
        <v>647</v>
      </c>
      <c r="G70" s="642"/>
      <c r="H70" s="427"/>
      <c r="I70" s="642"/>
      <c r="J70" s="427"/>
      <c r="K70" s="207"/>
    </row>
    <row r="71" spans="1:11" s="4796" customFormat="1" ht="22.5" customHeight="1">
      <c r="A71" s="5474"/>
      <c r="B71" s="419"/>
      <c r="D71" s="568" t="s">
        <v>87</v>
      </c>
      <c r="E71" s="569" t="s">
        <v>906</v>
      </c>
      <c r="F71" s="563" t="s">
        <v>865</v>
      </c>
      <c r="G71" s="464"/>
      <c r="H71" s="919"/>
      <c r="I71" s="464"/>
      <c r="J71" s="919"/>
      <c r="K71" s="220"/>
    </row>
    <row r="72" spans="1:11" s="4796" customFormat="1" ht="56.25" customHeight="1">
      <c r="A72" s="5474"/>
      <c r="B72" s="419"/>
      <c r="D72" s="568" t="s">
        <v>88</v>
      </c>
      <c r="E72" s="569" t="s">
        <v>907</v>
      </c>
      <c r="F72" s="622" t="s">
        <v>647</v>
      </c>
      <c r="G72" s="642"/>
      <c r="H72" s="912"/>
      <c r="I72" s="642"/>
      <c r="J72" s="912"/>
      <c r="K72" s="220"/>
    </row>
    <row r="73" spans="1:11" s="4796" customFormat="1" ht="33.75" customHeight="1">
      <c r="A73" s="5474"/>
      <c r="B73" s="419"/>
      <c r="D73" s="568" t="s">
        <v>114</v>
      </c>
      <c r="E73" s="569" t="s">
        <v>908</v>
      </c>
      <c r="F73" s="627" t="s">
        <v>823</v>
      </c>
      <c r="G73" s="571"/>
      <c r="H73" s="912"/>
      <c r="I73" s="571"/>
      <c r="J73" s="912"/>
      <c r="K73" s="207"/>
    </row>
    <row r="74" spans="1:11" s="4796" customFormat="1" ht="22.5" customHeight="1">
      <c r="A74" s="5474"/>
      <c r="B74" s="419" t="s">
        <v>677</v>
      </c>
      <c r="D74" s="568" t="s">
        <v>89</v>
      </c>
      <c r="E74" s="569" t="s">
        <v>909</v>
      </c>
      <c r="F74" s="627" t="s">
        <v>384</v>
      </c>
      <c r="G74" s="298"/>
      <c r="H74" s="912"/>
      <c r="I74" s="298"/>
      <c r="J74" s="912"/>
      <c r="K74" s="207" t="s">
        <v>895</v>
      </c>
    </row>
    <row r="75" spans="1:11" s="4796" customFormat="1" ht="45" customHeight="1">
      <c r="A75" s="5474"/>
      <c r="B75" s="419" t="s">
        <v>677</v>
      </c>
      <c r="D75" s="568" t="s">
        <v>910</v>
      </c>
      <c r="E75" s="570" t="s">
        <v>911</v>
      </c>
      <c r="F75" s="622" t="s">
        <v>384</v>
      </c>
      <c r="G75" s="298"/>
      <c r="H75" s="912"/>
      <c r="I75" s="298"/>
      <c r="J75" s="912"/>
      <c r="K75" s="207" t="s">
        <v>895</v>
      </c>
    </row>
    <row r="76" spans="1:11" s="5120" customFormat="1" ht="11.25" customHeight="1">
      <c r="A76" s="922"/>
      <c r="B76" s="426"/>
      <c r="D76" s="923"/>
      <c r="E76" s="924"/>
    </row>
    <row r="77" spans="1:11" s="4796" customFormat="1" ht="11.25" hidden="1" customHeight="1">
      <c r="A77" s="5474" t="s">
        <v>912</v>
      </c>
      <c r="B77" s="419"/>
      <c r="D77" s="568">
        <v>1</v>
      </c>
      <c r="E77" s="569" t="s">
        <v>913</v>
      </c>
      <c r="F77" s="622" t="s">
        <v>813</v>
      </c>
      <c r="G77" s="625"/>
      <c r="H77" s="912"/>
      <c r="I77" s="625"/>
      <c r="J77" s="912"/>
      <c r="K77" s="207" t="s">
        <v>914</v>
      </c>
    </row>
    <row r="78" spans="1:11" s="4796" customFormat="1" ht="11.25" hidden="1" customHeight="1">
      <c r="A78" s="5474"/>
      <c r="B78" s="419"/>
      <c r="D78" s="568" t="s">
        <v>100</v>
      </c>
      <c r="E78" s="569" t="s">
        <v>915</v>
      </c>
      <c r="F78" s="622" t="s">
        <v>813</v>
      </c>
      <c r="G78" s="625"/>
      <c r="H78" s="912"/>
      <c r="I78" s="625"/>
      <c r="J78" s="912"/>
      <c r="K78" s="207" t="s">
        <v>916</v>
      </c>
    </row>
    <row r="79" spans="1:11" s="4796" customFormat="1" ht="22.5" hidden="1" customHeight="1">
      <c r="A79" s="5474"/>
      <c r="B79" s="419"/>
      <c r="D79" s="568" t="s">
        <v>87</v>
      </c>
      <c r="E79" s="623" t="s">
        <v>917</v>
      </c>
      <c r="F79" s="563" t="s">
        <v>862</v>
      </c>
      <c r="G79" s="625"/>
      <c r="H79" s="912"/>
      <c r="I79" s="625"/>
      <c r="J79" s="912"/>
      <c r="K79" s="207" t="s">
        <v>918</v>
      </c>
    </row>
    <row r="80" spans="1:11" s="4796" customFormat="1" ht="11.25" hidden="1" customHeight="1">
      <c r="A80" s="5474"/>
      <c r="B80" s="419"/>
      <c r="D80" s="568" t="s">
        <v>402</v>
      </c>
      <c r="E80" s="624" t="s">
        <v>919</v>
      </c>
      <c r="F80" s="563" t="s">
        <v>862</v>
      </c>
      <c r="G80" s="625"/>
      <c r="H80" s="912"/>
      <c r="I80" s="625"/>
      <c r="J80" s="912"/>
      <c r="K80" s="207"/>
    </row>
    <row r="81" spans="1:11" s="4796" customFormat="1" ht="11.25" hidden="1" customHeight="1">
      <c r="A81" s="5474"/>
      <c r="B81" s="419"/>
      <c r="D81" s="568" t="s">
        <v>410</v>
      </c>
      <c r="E81" s="624" t="s">
        <v>920</v>
      </c>
      <c r="F81" s="563" t="s">
        <v>862</v>
      </c>
      <c r="G81" s="625"/>
      <c r="H81" s="912"/>
      <c r="I81" s="625"/>
      <c r="J81" s="912"/>
      <c r="K81" s="207"/>
    </row>
    <row r="82" spans="1:11" s="4796" customFormat="1" ht="11.25" hidden="1" customHeight="1">
      <c r="A82" s="5474"/>
      <c r="B82" s="419"/>
      <c r="D82" s="568" t="s">
        <v>412</v>
      </c>
      <c r="E82" s="624" t="s">
        <v>921</v>
      </c>
      <c r="F82" s="563" t="s">
        <v>862</v>
      </c>
      <c r="G82" s="625"/>
      <c r="H82" s="912"/>
      <c r="I82" s="625"/>
      <c r="J82" s="912"/>
      <c r="K82" s="207"/>
    </row>
    <row r="83" spans="1:11" s="4796" customFormat="1" ht="11.25" hidden="1" customHeight="1">
      <c r="A83" s="5474"/>
      <c r="B83" s="419"/>
      <c r="D83" s="568" t="s">
        <v>414</v>
      </c>
      <c r="E83" s="624" t="s">
        <v>922</v>
      </c>
      <c r="F83" s="563" t="s">
        <v>862</v>
      </c>
      <c r="G83" s="625"/>
      <c r="H83" s="912"/>
      <c r="I83" s="625"/>
      <c r="J83" s="912"/>
      <c r="K83" s="207"/>
    </row>
    <row r="84" spans="1:11" s="4796" customFormat="1" ht="11.25" hidden="1" customHeight="1">
      <c r="A84" s="5474"/>
      <c r="B84" s="419"/>
      <c r="D84" s="568" t="s">
        <v>923</v>
      </c>
      <c r="E84" s="624" t="s">
        <v>924</v>
      </c>
      <c r="F84" s="563" t="s">
        <v>862</v>
      </c>
      <c r="G84" s="625"/>
      <c r="H84" s="912"/>
      <c r="I84" s="625"/>
      <c r="J84" s="912"/>
      <c r="K84" s="207"/>
    </row>
    <row r="85" spans="1:11" s="4796" customFormat="1" ht="11.25" hidden="1" customHeight="1">
      <c r="A85" s="5474"/>
      <c r="B85" s="419"/>
      <c r="D85" s="568" t="s">
        <v>925</v>
      </c>
      <c r="E85" s="624" t="s">
        <v>926</v>
      </c>
      <c r="F85" s="563" t="s">
        <v>862</v>
      </c>
      <c r="G85" s="625"/>
      <c r="H85" s="912"/>
      <c r="I85" s="625"/>
      <c r="J85" s="912"/>
      <c r="K85" s="207"/>
    </row>
    <row r="86" spans="1:11" s="4796" customFormat="1" ht="11.25" hidden="1" customHeight="1">
      <c r="A86" s="5474"/>
      <c r="B86" s="419"/>
      <c r="D86" s="568" t="s">
        <v>927</v>
      </c>
      <c r="E86" s="624" t="s">
        <v>928</v>
      </c>
      <c r="F86" s="563" t="s">
        <v>862</v>
      </c>
      <c r="G86" s="625"/>
      <c r="H86" s="912"/>
      <c r="I86" s="625"/>
      <c r="J86" s="912"/>
      <c r="K86" s="207"/>
    </row>
    <row r="87" spans="1:11" s="4796" customFormat="1" ht="45" hidden="1" customHeight="1">
      <c r="A87" s="5474"/>
      <c r="B87" s="419"/>
      <c r="D87" s="568" t="s">
        <v>88</v>
      </c>
      <c r="E87" s="569" t="s">
        <v>929</v>
      </c>
      <c r="F87" s="563" t="s">
        <v>862</v>
      </c>
      <c r="G87" s="625"/>
      <c r="H87" s="912"/>
      <c r="I87" s="625"/>
      <c r="J87" s="912"/>
      <c r="K87" s="207" t="s">
        <v>930</v>
      </c>
    </row>
    <row r="88" spans="1:11" s="4796" customFormat="1" ht="11.25" hidden="1" customHeight="1">
      <c r="A88" s="5474"/>
      <c r="B88" s="419"/>
      <c r="D88" s="568" t="s">
        <v>756</v>
      </c>
      <c r="E88" s="624" t="s">
        <v>919</v>
      </c>
      <c r="F88" s="563" t="s">
        <v>862</v>
      </c>
      <c r="G88" s="625"/>
      <c r="H88" s="912"/>
      <c r="I88" s="625"/>
      <c r="J88" s="912"/>
      <c r="K88" s="207"/>
    </row>
    <row r="89" spans="1:11" s="4796" customFormat="1" ht="11.25" hidden="1" customHeight="1">
      <c r="A89" s="5474"/>
      <c r="B89" s="419"/>
      <c r="D89" s="568" t="s">
        <v>799</v>
      </c>
      <c r="E89" s="624" t="s">
        <v>920</v>
      </c>
      <c r="F89" s="563" t="s">
        <v>862</v>
      </c>
      <c r="G89" s="625"/>
      <c r="H89" s="912"/>
      <c r="I89" s="625"/>
      <c r="J89" s="912"/>
      <c r="K89" s="207"/>
    </row>
    <row r="90" spans="1:11" s="4796" customFormat="1" ht="11.25" hidden="1" customHeight="1">
      <c r="A90" s="5474"/>
      <c r="B90" s="419"/>
      <c r="D90" s="568" t="s">
        <v>802</v>
      </c>
      <c r="E90" s="624" t="s">
        <v>921</v>
      </c>
      <c r="F90" s="563" t="s">
        <v>862</v>
      </c>
      <c r="G90" s="625"/>
      <c r="H90" s="912"/>
      <c r="I90" s="625"/>
      <c r="J90" s="912"/>
      <c r="K90" s="207"/>
    </row>
    <row r="91" spans="1:11" s="4796" customFormat="1" ht="11.25" hidden="1" customHeight="1">
      <c r="A91" s="5474"/>
      <c r="B91" s="419"/>
      <c r="D91" s="568" t="s">
        <v>880</v>
      </c>
      <c r="E91" s="624" t="s">
        <v>922</v>
      </c>
      <c r="F91" s="563" t="s">
        <v>862</v>
      </c>
      <c r="G91" s="625"/>
      <c r="H91" s="912"/>
      <c r="I91" s="625"/>
      <c r="J91" s="912"/>
      <c r="K91" s="207"/>
    </row>
    <row r="92" spans="1:11" s="4796" customFormat="1" ht="11.25" hidden="1" customHeight="1">
      <c r="A92" s="5474"/>
      <c r="B92" s="419"/>
      <c r="D92" s="568" t="s">
        <v>882</v>
      </c>
      <c r="E92" s="624" t="s">
        <v>924</v>
      </c>
      <c r="F92" s="563" t="s">
        <v>862</v>
      </c>
      <c r="G92" s="625"/>
      <c r="H92" s="912"/>
      <c r="I92" s="625"/>
      <c r="J92" s="912"/>
      <c r="K92" s="207"/>
    </row>
    <row r="93" spans="1:11" s="4796" customFormat="1" ht="11.25" hidden="1" customHeight="1">
      <c r="A93" s="5474"/>
      <c r="B93" s="419"/>
      <c r="D93" s="568" t="s">
        <v>931</v>
      </c>
      <c r="E93" s="624" t="s">
        <v>926</v>
      </c>
      <c r="F93" s="563" t="s">
        <v>862</v>
      </c>
      <c r="G93" s="625"/>
      <c r="H93" s="912"/>
      <c r="I93" s="625"/>
      <c r="J93" s="912"/>
      <c r="K93" s="207"/>
    </row>
    <row r="94" spans="1:11" s="4796" customFormat="1" ht="11.25" hidden="1" customHeight="1">
      <c r="A94" s="5474"/>
      <c r="B94" s="419"/>
      <c r="D94" s="568" t="s">
        <v>932</v>
      </c>
      <c r="E94" s="624" t="s">
        <v>928</v>
      </c>
      <c r="F94" s="563" t="s">
        <v>862</v>
      </c>
      <c r="G94" s="625"/>
      <c r="H94" s="912"/>
      <c r="I94" s="625"/>
      <c r="J94" s="912"/>
      <c r="K94" s="207"/>
    </row>
    <row r="95" spans="1:11" s="4796" customFormat="1" ht="24.75" hidden="1" customHeight="1">
      <c r="A95" s="5474"/>
      <c r="B95" s="419"/>
      <c r="D95" s="568" t="s">
        <v>114</v>
      </c>
      <c r="E95" s="569" t="s">
        <v>933</v>
      </c>
      <c r="F95" s="626" t="s">
        <v>647</v>
      </c>
      <c r="G95" s="628"/>
      <c r="H95" s="912"/>
      <c r="I95" s="628"/>
      <c r="J95" s="912"/>
      <c r="K95" s="207" t="s">
        <v>934</v>
      </c>
    </row>
    <row r="96" spans="1:11" s="4796" customFormat="1" ht="33.75" hidden="1" customHeight="1">
      <c r="A96" s="5474"/>
      <c r="B96" s="419"/>
      <c r="D96" s="568" t="s">
        <v>89</v>
      </c>
      <c r="E96" s="569" t="s">
        <v>935</v>
      </c>
      <c r="F96" s="627" t="s">
        <v>823</v>
      </c>
      <c r="G96" s="629"/>
      <c r="H96" s="912"/>
      <c r="I96" s="629"/>
      <c r="J96" s="912"/>
      <c r="K96" s="207"/>
    </row>
    <row r="97" spans="1:11" s="4796" customFormat="1" ht="22.5" hidden="1" customHeight="1">
      <c r="A97" s="5474"/>
      <c r="B97" s="419" t="s">
        <v>677</v>
      </c>
      <c r="D97" s="568" t="s">
        <v>90</v>
      </c>
      <c r="E97" s="569" t="s">
        <v>936</v>
      </c>
      <c r="F97" s="627" t="s">
        <v>384</v>
      </c>
      <c r="G97" s="301"/>
      <c r="H97" s="912"/>
      <c r="I97" s="301"/>
      <c r="J97" s="912"/>
      <c r="K97" s="207" t="s">
        <v>895</v>
      </c>
    </row>
    <row r="98" spans="1:11" s="4796" customFormat="1" ht="45" hidden="1" customHeight="1">
      <c r="A98" s="5474"/>
      <c r="B98" s="419" t="s">
        <v>677</v>
      </c>
      <c r="D98" s="568" t="s">
        <v>937</v>
      </c>
      <c r="E98" s="570" t="s">
        <v>938</v>
      </c>
      <c r="F98" s="622" t="s">
        <v>384</v>
      </c>
      <c r="G98" s="301"/>
      <c r="H98" s="912"/>
      <c r="I98" s="301"/>
      <c r="J98" s="912"/>
      <c r="K98" s="207" t="s">
        <v>895</v>
      </c>
    </row>
    <row r="99" spans="1:11" s="4796" customFormat="1" ht="95.25" hidden="1" customHeight="1">
      <c r="A99" s="5474"/>
      <c r="B99" s="419" t="s">
        <v>677</v>
      </c>
      <c r="D99" s="568" t="s">
        <v>130</v>
      </c>
      <c r="E99" s="569" t="s">
        <v>939</v>
      </c>
      <c r="F99" s="622" t="s">
        <v>384</v>
      </c>
      <c r="G99" s="301"/>
      <c r="H99" s="912"/>
      <c r="I99" s="301"/>
      <c r="J99" s="912"/>
      <c r="K99" s="207" t="s">
        <v>895</v>
      </c>
    </row>
    <row r="100" spans="1:11" s="4796" customFormat="1" ht="22.5" hidden="1" customHeight="1">
      <c r="A100" s="5474"/>
      <c r="B100" s="419" t="s">
        <v>677</v>
      </c>
      <c r="D100" s="568" t="s">
        <v>166</v>
      </c>
      <c r="E100" s="569" t="s">
        <v>940</v>
      </c>
      <c r="F100" s="622" t="s">
        <v>384</v>
      </c>
      <c r="G100" s="301"/>
      <c r="H100" s="912"/>
      <c r="I100" s="301"/>
      <c r="J100" s="912"/>
      <c r="K100" s="207" t="s">
        <v>895</v>
      </c>
    </row>
    <row r="101" spans="1:11" s="5120" customFormat="1" ht="11.25" customHeight="1">
      <c r="A101" s="922"/>
      <c r="B101" s="426"/>
      <c r="D101" s="923"/>
      <c r="E101" s="924"/>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4841" hidden="1" customWidth="1"/>
    <col min="2" max="2" width="9.140625" style="4844" hidden="1" customWidth="1"/>
    <col min="3" max="3" width="4.7109375" style="5125" customWidth="1"/>
    <col min="4" max="4" width="6.28515625" style="4844" customWidth="1"/>
    <col min="5" max="5" width="36.7109375" style="4844" customWidth="1"/>
    <col min="6" max="6" width="9.5703125" style="4844" customWidth="1"/>
    <col min="7" max="7" width="25.7109375" style="4796" hidden="1" customWidth="1"/>
    <col min="8" max="8" width="33.7109375" style="4796" hidden="1" customWidth="1"/>
    <col min="9" max="9" width="25.7109375" style="4844" customWidth="1"/>
    <col min="10" max="10" width="33.7109375" style="4844" customWidth="1"/>
    <col min="11" max="11" width="93.42578125" style="4797" customWidth="1"/>
    <col min="12" max="20" width="10.5703125" style="4844"/>
    <col min="21" max="21" width="10.5703125" style="5126"/>
  </cols>
  <sheetData>
    <row r="1" spans="1:21" s="4797" customFormat="1" ht="15" hidden="1" customHeight="1">
      <c r="C1" s="575"/>
      <c r="G1" s="333">
        <v>4</v>
      </c>
      <c r="I1" s="333">
        <v>4</v>
      </c>
      <c r="U1" s="335"/>
    </row>
    <row r="2" spans="1:21" s="4797" customFormat="1" ht="15" hidden="1" customHeight="1">
      <c r="C2" s="575"/>
      <c r="U2" s="335"/>
    </row>
    <row r="3" spans="1:21" ht="22.5" hidden="1" customHeight="1">
      <c r="A3" s="413"/>
      <c r="B3" s="5479"/>
      <c r="C3" s="5480" t="s">
        <v>101</v>
      </c>
      <c r="D3" s="591" t="str">
        <f>B3&amp;".1"</f>
        <v>.1</v>
      </c>
      <c r="E3" s="592" t="s">
        <v>941</v>
      </c>
      <c r="F3" s="593" t="s">
        <v>384</v>
      </c>
      <c r="G3" s="588"/>
      <c r="H3" s="317"/>
      <c r="I3" s="588"/>
      <c r="J3" s="317"/>
      <c r="K3" s="207" t="s">
        <v>942</v>
      </c>
    </row>
    <row r="4" spans="1:21" ht="15" hidden="1" customHeight="1">
      <c r="A4" s="413"/>
      <c r="B4" s="5479"/>
      <c r="C4" s="5480"/>
      <c r="D4" s="591" t="str">
        <f>B3&amp;".2"</f>
        <v>.2</v>
      </c>
      <c r="E4" s="592" t="s">
        <v>943</v>
      </c>
      <c r="F4" s="593" t="s">
        <v>384</v>
      </c>
      <c r="G4" s="1601" t="s">
        <v>24</v>
      </c>
      <c r="H4" s="317"/>
      <c r="I4" s="1601" t="s">
        <v>24</v>
      </c>
      <c r="J4" s="317"/>
      <c r="K4" s="207" t="s">
        <v>944</v>
      </c>
    </row>
    <row r="5" spans="1:21" s="4797" customFormat="1" ht="15" hidden="1" customHeight="1">
      <c r="C5" s="575"/>
      <c r="U5" s="335"/>
    </row>
    <row r="6" spans="1:21" ht="22.5" hidden="1" customHeight="1">
      <c r="A6" s="413"/>
      <c r="B6" s="5479"/>
      <c r="C6" s="5480" t="s">
        <v>101</v>
      </c>
      <c r="D6" s="591" t="str">
        <f>B6&amp;".1"</f>
        <v>.1</v>
      </c>
      <c r="E6" s="592" t="s">
        <v>945</v>
      </c>
      <c r="F6" s="593" t="s">
        <v>384</v>
      </c>
      <c r="G6" s="588"/>
      <c r="H6" s="317"/>
      <c r="I6" s="588"/>
      <c r="J6" s="317"/>
      <c r="K6" s="207" t="s">
        <v>946</v>
      </c>
    </row>
    <row r="7" spans="1:21" ht="15" hidden="1" customHeight="1">
      <c r="A7" s="413"/>
      <c r="B7" s="5479"/>
      <c r="C7" s="5480"/>
      <c r="D7" s="591" t="str">
        <f>B6&amp;".2"</f>
        <v>.2</v>
      </c>
      <c r="E7" s="592" t="s">
        <v>943</v>
      </c>
      <c r="F7" s="593" t="s">
        <v>384</v>
      </c>
      <c r="G7" s="1601" t="s">
        <v>24</v>
      </c>
      <c r="H7" s="317"/>
      <c r="I7" s="1601" t="s">
        <v>24</v>
      </c>
      <c r="J7" s="317"/>
      <c r="K7" s="207" t="s">
        <v>944</v>
      </c>
    </row>
    <row r="8" spans="1:21" s="4797" customFormat="1" ht="15" hidden="1" customHeight="1">
      <c r="C8" s="575"/>
      <c r="U8" s="335"/>
    </row>
    <row r="9" spans="1:21" ht="22.5" hidden="1" customHeight="1">
      <c r="A9" s="413"/>
      <c r="B9" s="5479"/>
      <c r="C9" s="5480" t="s">
        <v>101</v>
      </c>
      <c r="D9" s="591" t="str">
        <f>B9&amp;".1"</f>
        <v>.1</v>
      </c>
      <c r="E9" s="592" t="s">
        <v>947</v>
      </c>
      <c r="F9" s="593" t="s">
        <v>384</v>
      </c>
      <c r="G9" s="599" t="s">
        <v>24</v>
      </c>
      <c r="H9" s="317" t="s">
        <v>24</v>
      </c>
      <c r="I9" s="599" t="s">
        <v>24</v>
      </c>
      <c r="J9" s="317" t="s">
        <v>24</v>
      </c>
      <c r="K9" s="207"/>
    </row>
    <row r="10" spans="1:21" ht="15" hidden="1" customHeight="1">
      <c r="A10" s="413"/>
      <c r="B10" s="5479"/>
      <c r="C10" s="5480"/>
      <c r="D10" s="591" t="str">
        <f>B9&amp;".2"</f>
        <v>.2</v>
      </c>
      <c r="E10" s="592" t="s">
        <v>948</v>
      </c>
      <c r="F10" s="593" t="s">
        <v>384</v>
      </c>
      <c r="G10" s="1595" t="s">
        <v>24</v>
      </c>
      <c r="H10" s="317" t="s">
        <v>24</v>
      </c>
      <c r="I10" s="1595" t="s">
        <v>24</v>
      </c>
      <c r="J10" s="317" t="s">
        <v>24</v>
      </c>
      <c r="K10" s="207" t="s">
        <v>949</v>
      </c>
    </row>
    <row r="11" spans="1:21" ht="15" hidden="1" customHeight="1">
      <c r="A11" s="413"/>
      <c r="B11" s="5479"/>
      <c r="C11" s="5480"/>
      <c r="D11" s="591" t="str">
        <f>B9&amp;".3"</f>
        <v>.3</v>
      </c>
      <c r="E11" s="592" t="s">
        <v>950</v>
      </c>
      <c r="F11" s="593" t="s">
        <v>384</v>
      </c>
      <c r="G11" s="1595" t="s">
        <v>24</v>
      </c>
      <c r="H11" s="317" t="s">
        <v>24</v>
      </c>
      <c r="I11" s="1595" t="s">
        <v>24</v>
      </c>
      <c r="J11" s="317" t="s">
        <v>24</v>
      </c>
      <c r="K11" s="207" t="s">
        <v>951</v>
      </c>
    </row>
    <row r="12" spans="1:21" s="4797" customFormat="1" ht="15" hidden="1" customHeight="1">
      <c r="C12" s="575"/>
      <c r="U12" s="335"/>
    </row>
    <row r="13" spans="1:21" ht="33.75" hidden="1" customHeight="1">
      <c r="A13" s="413"/>
      <c r="B13" s="5479"/>
      <c r="C13" s="5480" t="s">
        <v>101</v>
      </c>
      <c r="D13" s="591" t="str">
        <f>B13&amp;".1"</f>
        <v>.1</v>
      </c>
      <c r="E13" s="592" t="s">
        <v>952</v>
      </c>
      <c r="F13" s="593" t="s">
        <v>384</v>
      </c>
      <c r="G13" s="599" t="s">
        <v>24</v>
      </c>
      <c r="H13" s="317" t="s">
        <v>24</v>
      </c>
      <c r="I13" s="599" t="s">
        <v>24</v>
      </c>
      <c r="J13" s="317" t="s">
        <v>24</v>
      </c>
      <c r="K13" s="207" t="s">
        <v>953</v>
      </c>
    </row>
    <row r="14" spans="1:21" ht="15" hidden="1" customHeight="1">
      <c r="B14" s="5479"/>
      <c r="C14" s="5480"/>
      <c r="D14" s="591" t="str">
        <f>B13&amp;".2"</f>
        <v>.2</v>
      </c>
      <c r="E14" s="592" t="s">
        <v>954</v>
      </c>
      <c r="F14" s="593" t="s">
        <v>384</v>
      </c>
      <c r="G14" s="1595" t="s">
        <v>24</v>
      </c>
      <c r="H14" s="317" t="s">
        <v>24</v>
      </c>
      <c r="I14" s="1595" t="s">
        <v>24</v>
      </c>
      <c r="J14" s="317" t="s">
        <v>24</v>
      </c>
      <c r="K14" s="207" t="s">
        <v>955</v>
      </c>
    </row>
    <row r="15" spans="1:21" s="4797" customFormat="1" ht="15" hidden="1" customHeight="1">
      <c r="C15" s="575"/>
      <c r="U15" s="335"/>
    </row>
    <row r="16" spans="1:21" s="4797" customFormat="1" ht="15" hidden="1" customHeight="1">
      <c r="C16" s="575"/>
      <c r="U16" s="335"/>
    </row>
    <row r="17" spans="1:21" s="4797" customFormat="1" ht="15" hidden="1" customHeight="1">
      <c r="C17" s="575"/>
      <c r="U17" s="335"/>
    </row>
    <row r="18" spans="1:21" s="4797" customFormat="1" ht="15" hidden="1" customHeight="1">
      <c r="C18" s="575"/>
      <c r="U18" s="335"/>
    </row>
    <row r="19" spans="1:21" s="4797" customFormat="1" ht="15" hidden="1" customHeight="1">
      <c r="C19" s="575"/>
      <c r="U19" s="335"/>
    </row>
    <row r="20" spans="1:21" s="4797" customFormat="1" ht="15" hidden="1" customHeight="1">
      <c r="C20" s="575"/>
      <c r="U20" s="335"/>
    </row>
    <row r="21" spans="1:21" ht="15" customHeight="1">
      <c r="C21" s="99"/>
      <c r="D21" s="417"/>
      <c r="E21" s="417"/>
      <c r="F21" s="417"/>
      <c r="G21" s="417"/>
      <c r="H21" s="417"/>
      <c r="I21" s="417"/>
      <c r="J21" s="417"/>
    </row>
    <row r="22" spans="1:21" ht="22.5" customHeight="1">
      <c r="C22" s="99"/>
      <c r="D22" s="536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5360"/>
      <c r="F22" s="5360"/>
      <c r="G22" s="5360"/>
      <c r="H22" s="5360"/>
      <c r="I22" s="5360"/>
      <c r="J22" s="579"/>
      <c r="K22" s="444"/>
    </row>
    <row r="23" spans="1:21" ht="15" customHeight="1">
      <c r="C23" s="99"/>
      <c r="D23" s="5308" t="str">
        <f>IF(org=0,"Не определено",org)</f>
        <v>ООО «Газпром теплоэнерго МО»</v>
      </c>
      <c r="E23" s="5308"/>
      <c r="F23" s="5308"/>
      <c r="G23" s="5308"/>
      <c r="H23" s="5308"/>
      <c r="I23" s="5308"/>
      <c r="J23" s="579"/>
      <c r="K23" s="444"/>
    </row>
    <row r="24" spans="1:21" ht="15" customHeight="1">
      <c r="C24" s="99"/>
      <c r="D24" s="417"/>
      <c r="E24" s="417"/>
      <c r="F24" s="417"/>
      <c r="G24" s="444">
        <v>22</v>
      </c>
      <c r="H24" s="651"/>
      <c r="I24" s="444">
        <v>22</v>
      </c>
      <c r="J24" s="651"/>
    </row>
    <row r="25" spans="1:21" s="4796" customFormat="1" ht="0.75" customHeight="1">
      <c r="A25" s="658"/>
      <c r="C25" s="99"/>
      <c r="D25" s="417"/>
      <c r="E25" s="417"/>
      <c r="F25" s="417"/>
      <c r="G25" s="444"/>
      <c r="H25" s="651"/>
      <c r="I25" s="444" t="s">
        <v>135</v>
      </c>
      <c r="J25" s="651"/>
      <c r="K25" s="333"/>
      <c r="U25" s="578"/>
    </row>
    <row r="26" spans="1:21" ht="15" customHeight="1">
      <c r="C26" s="99"/>
      <c r="D26" s="612"/>
      <c r="E26" s="5456" t="s">
        <v>125</v>
      </c>
      <c r="F26" s="5457"/>
      <c r="G26" s="5477" t="str">
        <f>IF(G25="","",INDEX(DIFFERENTIATION_UNMERGE_VD,MATCH(G25,DIFFERENTIATION_ID_DIFF,0)))</f>
        <v/>
      </c>
      <c r="H26" s="5478"/>
      <c r="I26" s="5477">
        <f>IF(I25="","",INDEX(DIFFERENTIATION_UNMERGE_VD,MATCH(I25,DIFFERENTIATION_ID_DIFF,0)))</f>
        <v>0</v>
      </c>
      <c r="J26" s="5478"/>
      <c r="K26" s="5307" t="s">
        <v>379</v>
      </c>
    </row>
    <row r="27" spans="1:21" s="4796" customFormat="1" ht="15" customHeight="1">
      <c r="A27" s="658"/>
      <c r="C27" s="99"/>
      <c r="D27" s="612"/>
      <c r="E27" s="5456" t="s">
        <v>653</v>
      </c>
      <c r="F27" s="5457"/>
      <c r="G27" s="5477" t="str">
        <f>IF(G25="","",INDEX(DIFFERENTIATION_UNMERGE_AREA,MATCH(G25,DIFFERENTIATION_ID_DIFF,0)))</f>
        <v/>
      </c>
      <c r="H27" s="5478"/>
      <c r="I27" s="5477" t="str">
        <f>IF(I25="","",INDEX(DIFFERENTIATION_UNMERGE_AREA,MATCH(I25,DIFFERENTIATION_ID_DIFF,0)))</f>
        <v/>
      </c>
      <c r="J27" s="5478"/>
      <c r="K27" s="5325"/>
      <c r="U27" s="578"/>
    </row>
    <row r="28" spans="1:21" s="4796" customFormat="1" ht="15" customHeight="1">
      <c r="A28" s="658"/>
      <c r="C28" s="99"/>
      <c r="D28" s="612"/>
      <c r="E28" s="5456" t="s">
        <v>654</v>
      </c>
      <c r="F28" s="5457"/>
      <c r="G28" s="5477" t="str">
        <f>IF(G25="","",INDEX(DIFFERENTIATION_UNMERGE_SYSTEM,MATCH(G25,DIFFERENTIATION_ID_DIFF,0)))</f>
        <v/>
      </c>
      <c r="H28" s="5478"/>
      <c r="I28" s="5477" t="str">
        <f>IF(I25="","",INDEX(DIFFERENTIATION_UNMERGE_SYSTEM,MATCH(I25,DIFFERENTIATION_ID_DIFF,0)))</f>
        <v>без дифференциации</v>
      </c>
      <c r="J28" s="5478"/>
      <c r="K28" s="5325"/>
      <c r="U28" s="578"/>
    </row>
    <row r="29" spans="1:21" s="4796" customFormat="1" ht="15" customHeight="1">
      <c r="A29" s="658"/>
      <c r="C29" s="99"/>
      <c r="D29" s="5458" t="s">
        <v>378</v>
      </c>
      <c r="E29" s="5459"/>
      <c r="F29" s="5459"/>
      <c r="G29" s="782"/>
      <c r="H29" s="782"/>
      <c r="I29" s="782"/>
      <c r="J29" s="783"/>
      <c r="K29" s="5325"/>
      <c r="U29" s="578"/>
    </row>
    <row r="30" spans="1:21" ht="33.75" customHeight="1">
      <c r="C30" s="99"/>
      <c r="D30" s="660" t="s">
        <v>85</v>
      </c>
      <c r="E30" s="659" t="s">
        <v>380</v>
      </c>
      <c r="F30" s="659" t="s">
        <v>655</v>
      </c>
      <c r="G30" s="707" t="s">
        <v>381</v>
      </c>
      <c r="H30" s="706" t="s">
        <v>468</v>
      </c>
      <c r="I30" s="586" t="s">
        <v>381</v>
      </c>
      <c r="J30" s="374" t="s">
        <v>468</v>
      </c>
      <c r="K30" s="5328"/>
    </row>
    <row r="31" spans="1:21" ht="15" hidden="1" customHeight="1">
      <c r="C31" s="99"/>
      <c r="D31" s="498"/>
      <c r="E31" s="498"/>
      <c r="F31" s="498"/>
      <c r="G31" s="562"/>
      <c r="H31" s="562"/>
      <c r="I31" s="562"/>
      <c r="J31" s="562"/>
      <c r="K31" s="207"/>
    </row>
    <row r="32" spans="1:21" ht="22.5" customHeight="1">
      <c r="A32" s="413"/>
      <c r="B32" s="413" t="s">
        <v>956</v>
      </c>
      <c r="C32" s="434"/>
      <c r="D32" s="594">
        <v>1</v>
      </c>
      <c r="E32" s="595" t="s">
        <v>957</v>
      </c>
      <c r="F32" s="593" t="s">
        <v>384</v>
      </c>
      <c r="G32" s="712" t="s">
        <v>384</v>
      </c>
      <c r="H32" s="712" t="s">
        <v>384</v>
      </c>
      <c r="I32" s="593" t="s">
        <v>384</v>
      </c>
      <c r="J32" s="593" t="s">
        <v>384</v>
      </c>
      <c r="K32" s="207"/>
    </row>
    <row r="33" spans="1:21" ht="11.25" customHeight="1">
      <c r="A33" s="413"/>
      <c r="C33" s="413"/>
      <c r="D33" s="264"/>
      <c r="E33" s="487" t="s">
        <v>675</v>
      </c>
      <c r="F33" s="479"/>
      <c r="G33" s="479"/>
      <c r="H33" s="479"/>
      <c r="I33" s="479"/>
      <c r="J33" s="479"/>
      <c r="K33" s="480"/>
      <c r="U33" s="413"/>
    </row>
    <row r="34" spans="1:21" ht="22.5" customHeight="1">
      <c r="A34" s="413"/>
      <c r="B34" s="488" t="s">
        <v>958</v>
      </c>
      <c r="C34" s="434"/>
      <c r="D34" s="594">
        <v>2</v>
      </c>
      <c r="E34" s="595" t="s">
        <v>959</v>
      </c>
      <c r="F34" s="719" t="s">
        <v>384</v>
      </c>
      <c r="G34" s="719" t="s">
        <v>384</v>
      </c>
      <c r="H34" s="719" t="s">
        <v>384</v>
      </c>
      <c r="I34" s="593"/>
      <c r="J34" s="593"/>
      <c r="K34" s="207"/>
    </row>
    <row r="35" spans="1:21" ht="11.25" customHeight="1">
      <c r="A35" s="413"/>
      <c r="C35" s="413"/>
      <c r="D35" s="264"/>
      <c r="E35" s="487" t="s">
        <v>960</v>
      </c>
      <c r="F35" s="479"/>
      <c r="G35" s="596"/>
      <c r="H35" s="479"/>
      <c r="I35" s="596"/>
      <c r="J35" s="479"/>
      <c r="K35" s="480"/>
      <c r="U35" s="413"/>
    </row>
    <row r="36" spans="1:21" ht="67.5" customHeight="1">
      <c r="A36" s="413"/>
      <c r="B36" s="413" t="s">
        <v>961</v>
      </c>
      <c r="C36" s="434"/>
      <c r="D36" s="594">
        <v>3</v>
      </c>
      <c r="E36" s="595" t="s">
        <v>962</v>
      </c>
      <c r="F36" s="597" t="s">
        <v>384</v>
      </c>
      <c r="G36" s="713" t="s">
        <v>963</v>
      </c>
      <c r="H36" s="712" t="s">
        <v>384</v>
      </c>
      <c r="I36" s="432" t="s">
        <v>963</v>
      </c>
      <c r="J36" s="593" t="s">
        <v>384</v>
      </c>
      <c r="K36" s="207" t="s">
        <v>964</v>
      </c>
    </row>
    <row r="37" spans="1:21" ht="11.25" customHeight="1">
      <c r="A37" s="413"/>
      <c r="C37" s="413"/>
      <c r="D37" s="264"/>
      <c r="E37" s="487" t="s">
        <v>965</v>
      </c>
      <c r="F37" s="479"/>
      <c r="G37" s="596"/>
      <c r="H37" s="596"/>
      <c r="I37" s="596"/>
      <c r="J37" s="596"/>
      <c r="K37" s="480"/>
      <c r="U37" s="413"/>
    </row>
    <row r="38" spans="1:21" ht="67.5" customHeight="1">
      <c r="A38" s="413"/>
      <c r="B38" s="413" t="s">
        <v>966</v>
      </c>
      <c r="C38" s="434"/>
      <c r="D38" s="594">
        <v>4</v>
      </c>
      <c r="E38" s="595" t="s">
        <v>967</v>
      </c>
      <c r="F38" s="597" t="s">
        <v>384</v>
      </c>
      <c r="G38" s="713" t="s">
        <v>963</v>
      </c>
      <c r="H38" s="714" t="s">
        <v>384</v>
      </c>
      <c r="I38" s="432" t="s">
        <v>963</v>
      </c>
      <c r="J38" s="429" t="s">
        <v>384</v>
      </c>
      <c r="K38" s="582" t="s">
        <v>968</v>
      </c>
    </row>
    <row r="39" spans="1:21" ht="11.25" customHeight="1">
      <c r="A39" s="413"/>
      <c r="C39" s="413"/>
      <c r="D39" s="264"/>
      <c r="E39" s="487" t="s">
        <v>969</v>
      </c>
      <c r="F39" s="479"/>
      <c r="G39" s="479"/>
      <c r="H39" s="598"/>
      <c r="I39" s="479"/>
      <c r="J39" s="598"/>
      <c r="K39" s="480"/>
      <c r="U39" s="413"/>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5128" hidden="1" customWidth="1"/>
    <col min="4" max="4" width="6.7109375" style="4797" hidden="1" customWidth="1"/>
    <col min="5" max="5" width="3.7109375" style="5120" customWidth="1"/>
    <col min="6" max="6" width="6.28515625" style="4796" customWidth="1"/>
    <col min="7" max="7" width="37.7109375" style="4796" customWidth="1"/>
    <col min="8" max="8" width="16.5703125" style="4862" customWidth="1"/>
    <col min="9" max="10" width="19.7109375" style="4796" customWidth="1"/>
    <col min="11" max="11" width="25" style="4796" customWidth="1"/>
    <col min="12" max="13" width="25.7109375" style="4796" customWidth="1"/>
    <col min="14" max="16" width="17.7109375" style="4796" customWidth="1"/>
    <col min="17" max="24" width="19.7109375" style="4796" customWidth="1"/>
    <col min="25" max="25" width="8" style="4796" customWidth="1"/>
    <col min="26" max="26" width="3.28515625" style="4796" customWidth="1"/>
    <col min="27" max="27" width="6.28515625" style="4796" customWidth="1"/>
    <col min="28" max="28" width="34.140625" style="4796" customWidth="1"/>
    <col min="29" max="30" width="9.140625" style="4796"/>
  </cols>
  <sheetData>
    <row r="1" spans="1:30" s="4797" customFormat="1" ht="10.5" hidden="1" customHeight="1">
      <c r="A1" s="790"/>
      <c r="B1" s="790"/>
      <c r="C1" s="790"/>
      <c r="E1" s="444"/>
      <c r="H1" s="1042"/>
    </row>
    <row r="2" spans="1:30" ht="10.5" hidden="1" customHeight="1"/>
    <row r="3" spans="1:30" s="5127" customFormat="1" ht="10.5" hidden="1" customHeight="1">
      <c r="A3" s="790"/>
      <c r="B3" s="790"/>
      <c r="C3" s="790"/>
      <c r="D3" s="333"/>
      <c r="E3" s="279"/>
      <c r="H3" s="1038"/>
    </row>
    <row r="4" spans="1:30" ht="3" customHeight="1"/>
    <row r="5" spans="1:30" ht="25.5" customHeight="1">
      <c r="F5" s="5360" t="str">
        <f>IP_NAME_FORM</f>
        <v>Форма 7. Информация об инвестиционных программах организации горячего водоснабжения и отчетах об их исполнении</v>
      </c>
      <c r="G5" s="5360"/>
      <c r="H5" s="5360"/>
      <c r="I5" s="5360"/>
      <c r="J5" s="5360"/>
      <c r="K5" s="5360"/>
      <c r="M5" s="489"/>
      <c r="AB5" s="801"/>
    </row>
    <row r="6" spans="1:30" s="4868" customFormat="1" ht="15.75" customHeight="1">
      <c r="A6" s="1048"/>
      <c r="B6" s="1048"/>
      <c r="C6" s="1048"/>
      <c r="D6" s="1042"/>
      <c r="E6" s="1499"/>
      <c r="F6" s="5308" t="str">
        <f>IF(org=0,"Не определено",org)</f>
        <v>ООО «Газпром теплоэнерго МО»</v>
      </c>
      <c r="G6" s="5308"/>
      <c r="H6" s="5308"/>
      <c r="I6" s="5308"/>
      <c r="J6" s="5308"/>
      <c r="K6" s="5308"/>
      <c r="M6" s="489"/>
      <c r="AB6" s="1030"/>
    </row>
    <row r="8" spans="1:30" ht="10.5" customHeight="1">
      <c r="A8" s="940"/>
      <c r="B8" s="940"/>
      <c r="C8" s="940"/>
      <c r="F8" s="5215" t="s">
        <v>378</v>
      </c>
      <c r="G8" s="5220"/>
      <c r="H8" s="5220"/>
      <c r="I8" s="5220"/>
      <c r="J8" s="5220"/>
      <c r="K8" s="5220"/>
      <c r="L8" s="5220"/>
      <c r="M8" s="5220"/>
      <c r="N8" s="5220"/>
      <c r="O8" s="5220"/>
      <c r="P8" s="5220"/>
      <c r="Q8" s="5220"/>
      <c r="R8" s="5220"/>
      <c r="S8" s="5220"/>
      <c r="T8" s="5220"/>
      <c r="U8" s="5220"/>
      <c r="V8" s="5220"/>
      <c r="W8" s="5220"/>
      <c r="X8" s="5220"/>
      <c r="Y8" s="5220"/>
      <c r="Z8" s="5220"/>
      <c r="AA8" s="5220"/>
      <c r="AB8" s="5214"/>
    </row>
    <row r="9" spans="1:30" ht="41.25" customHeight="1">
      <c r="A9" s="800"/>
      <c r="B9" s="800"/>
      <c r="C9" s="800"/>
      <c r="F9" s="5244" t="s">
        <v>85</v>
      </c>
      <c r="G9" s="5244" t="s">
        <v>970</v>
      </c>
      <c r="H9" s="5307" t="s">
        <v>971</v>
      </c>
      <c r="I9" s="5244" t="s">
        <v>972</v>
      </c>
      <c r="J9" s="5244" t="s">
        <v>973</v>
      </c>
      <c r="K9" s="5244" t="s">
        <v>974</v>
      </c>
      <c r="L9" s="5244" t="s">
        <v>975</v>
      </c>
      <c r="M9" s="5244" t="s">
        <v>976</v>
      </c>
      <c r="N9" s="5336" t="s">
        <v>977</v>
      </c>
      <c r="O9" s="5336"/>
      <c r="P9" s="5336"/>
      <c r="Q9" s="5385" t="s">
        <v>978</v>
      </c>
      <c r="R9" s="5386"/>
      <c r="S9" s="5386"/>
      <c r="T9" s="5387"/>
      <c r="U9" s="5385" t="s">
        <v>979</v>
      </c>
      <c r="V9" s="5386"/>
      <c r="W9" s="5386"/>
      <c r="X9" s="5387"/>
      <c r="Y9" s="5215" t="s">
        <v>980</v>
      </c>
      <c r="Z9" s="5220"/>
      <c r="AA9" s="5220"/>
      <c r="AB9" s="5214"/>
    </row>
    <row r="10" spans="1:30" ht="41.25" customHeight="1">
      <c r="A10" s="800"/>
      <c r="B10" s="800"/>
      <c r="C10" s="800"/>
      <c r="F10" s="5307"/>
      <c r="G10" s="5307"/>
      <c r="H10" s="5355"/>
      <c r="I10" s="5307"/>
      <c r="J10" s="5307"/>
      <c r="K10" s="5307"/>
      <c r="L10" s="5307"/>
      <c r="M10" s="5307"/>
      <c r="N10" s="798" t="s">
        <v>981</v>
      </c>
      <c r="O10" s="798" t="s">
        <v>982</v>
      </c>
      <c r="P10" s="799" t="s">
        <v>983</v>
      </c>
      <c r="Q10" s="810" t="s">
        <v>86</v>
      </c>
      <c r="R10" s="810" t="s">
        <v>984</v>
      </c>
      <c r="S10" s="810" t="s">
        <v>985</v>
      </c>
      <c r="T10" s="811" t="s">
        <v>986</v>
      </c>
      <c r="U10" s="810" t="s">
        <v>86</v>
      </c>
      <c r="V10" s="810" t="s">
        <v>987</v>
      </c>
      <c r="W10" s="810" t="s">
        <v>985</v>
      </c>
      <c r="X10" s="811" t="s">
        <v>986</v>
      </c>
      <c r="Y10" s="219" t="s">
        <v>988</v>
      </c>
      <c r="Z10" s="5215" t="s">
        <v>85</v>
      </c>
      <c r="AA10" s="5214"/>
      <c r="AB10" s="938" t="s">
        <v>989</v>
      </c>
    </row>
    <row r="11" spans="1:30" s="4856" customFormat="1" ht="5.25" hidden="1" customHeight="1">
      <c r="A11" s="941"/>
      <c r="B11" s="941"/>
      <c r="C11" s="941"/>
      <c r="E11" s="939"/>
      <c r="F11" s="5302" t="s">
        <v>454</v>
      </c>
      <c r="G11" s="5482"/>
      <c r="H11" s="5481"/>
      <c r="I11" s="5481"/>
      <c r="J11" s="5481"/>
      <c r="K11" s="5483"/>
      <c r="L11" s="5483"/>
      <c r="M11" s="5483"/>
      <c r="N11" s="5481"/>
      <c r="O11" s="5481"/>
      <c r="P11" s="5244"/>
      <c r="Q11" s="5311"/>
      <c r="R11" s="5311"/>
      <c r="S11" s="5311"/>
      <c r="T11" s="5481"/>
      <c r="U11" s="5311"/>
      <c r="V11" s="5311"/>
      <c r="W11" s="5311"/>
      <c r="X11" s="5481"/>
      <c r="Y11" s="5226"/>
      <c r="Z11" s="5226"/>
      <c r="AA11" s="5226"/>
      <c r="AB11" s="5226"/>
      <c r="AD11" s="419" t="s">
        <v>990</v>
      </c>
    </row>
    <row r="12" spans="1:30" s="4856" customFormat="1" ht="5.25" hidden="1" customHeight="1">
      <c r="A12" s="791"/>
      <c r="B12" s="791"/>
      <c r="C12" s="791"/>
      <c r="E12" s="426"/>
      <c r="F12" s="5302"/>
      <c r="G12" s="5482"/>
      <c r="H12" s="5481"/>
      <c r="I12" s="5481"/>
      <c r="J12" s="5481"/>
      <c r="K12" s="5483"/>
      <c r="L12" s="5483"/>
      <c r="M12" s="5483"/>
      <c r="N12" s="5481"/>
      <c r="O12" s="5481"/>
      <c r="P12" s="5244"/>
      <c r="Q12" s="5311"/>
      <c r="R12" s="5311"/>
      <c r="S12" s="5311"/>
      <c r="T12" s="5481"/>
      <c r="U12" s="5311"/>
      <c r="V12" s="5311"/>
      <c r="W12" s="5311"/>
      <c r="X12" s="5481"/>
      <c r="Y12" s="5484"/>
      <c r="Z12" s="5484"/>
      <c r="AA12" s="5484"/>
      <c r="AB12" s="5484"/>
    </row>
    <row r="13" spans="1:30" ht="10.5" customHeight="1">
      <c r="F13" s="797"/>
      <c r="G13" s="553" t="s">
        <v>991</v>
      </c>
      <c r="H13" s="1050"/>
      <c r="I13" s="479"/>
      <c r="J13" s="479"/>
      <c r="K13" s="479"/>
      <c r="L13" s="479"/>
      <c r="M13" s="479"/>
      <c r="N13" s="479"/>
      <c r="O13" s="479"/>
      <c r="P13" s="479"/>
      <c r="Q13" s="479"/>
      <c r="R13" s="479"/>
      <c r="S13" s="479"/>
      <c r="T13" s="479"/>
      <c r="U13" s="479"/>
      <c r="V13" s="479"/>
      <c r="W13" s="479"/>
      <c r="X13" s="479"/>
      <c r="Y13" s="479"/>
      <c r="Z13" s="598"/>
      <c r="AA13" s="598"/>
      <c r="AB13" s="812"/>
    </row>
    <row r="15" spans="1:30" s="4856" customFormat="1" ht="10.5" customHeight="1">
      <c r="A15" s="1049"/>
      <c r="B15" s="1049"/>
      <c r="C15" s="1049"/>
      <c r="E15" s="426"/>
      <c r="H15" s="419">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4807" hidden="1" customWidth="1"/>
    <col min="2" max="2" width="2" style="4807" hidden="1" customWidth="1"/>
    <col min="3" max="3" width="3.7109375" style="4807" customWidth="1"/>
    <col min="4" max="4" width="4.28515625" style="4807" customWidth="1"/>
    <col min="5" max="5" width="45" style="4807" customWidth="1"/>
    <col min="6" max="6" width="6.42578125" style="4807" customWidth="1"/>
    <col min="7" max="7" width="4.42578125" style="4807" customWidth="1"/>
    <col min="8" max="8" width="5.5703125" style="4807" customWidth="1"/>
    <col min="9" max="9" width="52.85546875" style="4807" customWidth="1"/>
    <col min="10" max="10" width="7" style="4807" customWidth="1"/>
    <col min="11" max="11" width="3.7109375" style="4807" customWidth="1"/>
    <col min="12" max="12" width="6.28515625" style="4807" customWidth="1"/>
    <col min="13" max="13" width="56.28515625" style="4807" customWidth="1"/>
    <col min="14" max="14" width="9.140625" style="4808"/>
    <col min="15" max="20" width="9.140625" style="4809" hidden="1"/>
    <col min="21" max="24" width="9.140625" style="4810" hidden="1"/>
    <col min="25" max="37" width="9.140625" style="4808" hidden="1"/>
    <col min="38" max="38" width="9.140625" style="4808"/>
  </cols>
  <sheetData>
    <row r="1" spans="1:38" ht="11.25" hidden="1" customHeight="1"/>
    <row r="2" spans="1:38" ht="11.25" hidden="1" customHeight="1"/>
    <row r="4" spans="1:38" ht="34.5" customHeight="1">
      <c r="A4" s="491"/>
      <c r="B4" s="491"/>
      <c r="D4" s="5237" t="str">
        <f>Титульный!E5</f>
        <v>Показатели, подлежащие раскрытию в сфере горячего водоснабжения (цены и тарифы)</v>
      </c>
      <c r="E4" s="5238"/>
      <c r="F4" s="5238"/>
      <c r="G4" s="5238"/>
      <c r="H4" s="5238"/>
      <c r="I4" s="5239"/>
      <c r="J4" s="490"/>
      <c r="K4" s="490"/>
      <c r="L4" s="490"/>
      <c r="M4" s="490"/>
    </row>
    <row r="5" spans="1:38" s="4803" customFormat="1" ht="15" customHeight="1">
      <c r="A5" s="491"/>
      <c r="B5" s="491"/>
      <c r="C5" s="491"/>
      <c r="D5" s="5240" t="str">
        <f>IF(org=0,"Не определено",org)</f>
        <v>ООО «Газпром теплоэнерго МО»</v>
      </c>
      <c r="E5" s="5241"/>
      <c r="F5" s="5241"/>
      <c r="G5" s="5241"/>
      <c r="H5" s="5241"/>
      <c r="I5" s="5242"/>
      <c r="J5" s="492"/>
      <c r="K5" s="492"/>
      <c r="L5" s="492"/>
      <c r="M5" s="492"/>
      <c r="N5" s="492"/>
      <c r="O5" s="765"/>
      <c r="P5" s="765"/>
      <c r="Q5" s="765"/>
      <c r="R5" s="765"/>
      <c r="S5" s="765"/>
      <c r="T5" s="765"/>
      <c r="U5" s="1145"/>
      <c r="V5" s="1145"/>
      <c r="W5" s="1145"/>
      <c r="X5" s="1145"/>
      <c r="Y5" s="492"/>
      <c r="Z5" s="492"/>
      <c r="AA5" s="492"/>
      <c r="AB5" s="492"/>
      <c r="AC5" s="492"/>
      <c r="AD5" s="492"/>
      <c r="AE5" s="492"/>
      <c r="AF5" s="492"/>
      <c r="AG5" s="492"/>
      <c r="AH5" s="492"/>
      <c r="AI5" s="492"/>
      <c r="AJ5" s="492"/>
      <c r="AK5" s="492"/>
      <c r="AL5" s="492"/>
    </row>
    <row r="6" spans="1:38" s="4804" customFormat="1" ht="6" customHeight="1">
      <c r="A6" s="5218"/>
      <c r="B6" s="5218"/>
      <c r="C6" s="5218"/>
      <c r="D6" s="5218"/>
      <c r="E6" s="5218"/>
      <c r="F6" s="5218"/>
      <c r="G6" s="493"/>
      <c r="H6" s="493"/>
      <c r="I6" s="493"/>
      <c r="J6" s="493"/>
      <c r="K6" s="493"/>
      <c r="N6" s="495"/>
      <c r="O6" s="1292"/>
      <c r="P6" s="1292"/>
      <c r="Q6" s="1292"/>
      <c r="R6" s="1292"/>
      <c r="S6" s="1292"/>
      <c r="T6" s="1292"/>
      <c r="U6" s="1147"/>
      <c r="V6" s="1147"/>
      <c r="W6" s="1147"/>
      <c r="X6" s="1147"/>
      <c r="Y6" s="495"/>
      <c r="Z6" s="495"/>
      <c r="AA6" s="495"/>
      <c r="AB6" s="495"/>
      <c r="AC6" s="495"/>
      <c r="AD6" s="495"/>
      <c r="AE6" s="495"/>
      <c r="AF6" s="495"/>
      <c r="AG6" s="495"/>
      <c r="AH6" s="495"/>
      <c r="AI6" s="495"/>
      <c r="AJ6" s="495"/>
      <c r="AK6" s="495"/>
      <c r="AL6" s="495"/>
    </row>
    <row r="7" spans="1:38" ht="45.75" hidden="1" customHeight="1">
      <c r="E7" s="524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5248"/>
      <c r="G7" s="5248"/>
      <c r="H7" s="5248"/>
      <c r="I7" s="5248"/>
      <c r="J7" s="5248"/>
      <c r="K7" s="5248"/>
      <c r="L7" s="5248"/>
      <c r="M7" s="5248"/>
    </row>
    <row r="8" spans="1:38" s="4803" customFormat="1" ht="6" customHeight="1">
      <c r="A8" s="496"/>
      <c r="B8" s="496"/>
      <c r="C8" s="496"/>
      <c r="D8" s="496"/>
      <c r="E8" s="496"/>
      <c r="F8" s="496"/>
      <c r="G8" s="496"/>
      <c r="H8" s="496"/>
      <c r="I8" s="496"/>
      <c r="J8" s="496"/>
      <c r="K8" s="496"/>
      <c r="L8" s="496"/>
      <c r="M8" s="494"/>
      <c r="N8" s="492"/>
      <c r="O8" s="765"/>
      <c r="P8" s="765"/>
      <c r="Q8" s="765"/>
      <c r="R8" s="765"/>
      <c r="S8" s="765"/>
      <c r="T8" s="765"/>
      <c r="U8" s="1145"/>
      <c r="V8" s="1145"/>
      <c r="W8" s="1145"/>
      <c r="X8" s="1145"/>
      <c r="Y8" s="492"/>
      <c r="Z8" s="492"/>
      <c r="AA8" s="492"/>
      <c r="AB8" s="492"/>
      <c r="AC8" s="492"/>
      <c r="AD8" s="492"/>
      <c r="AE8" s="492"/>
      <c r="AF8" s="492"/>
      <c r="AG8" s="492"/>
      <c r="AH8" s="492"/>
      <c r="AI8" s="492"/>
      <c r="AJ8" s="492"/>
      <c r="AK8" s="492"/>
      <c r="AL8" s="492"/>
    </row>
    <row r="9" spans="1:38" ht="18" customHeight="1">
      <c r="A9" s="5243"/>
      <c r="B9" s="241"/>
      <c r="C9" s="241"/>
      <c r="D9" s="5244" t="s">
        <v>125</v>
      </c>
      <c r="E9" s="5244"/>
      <c r="F9" s="5245" t="s">
        <v>126</v>
      </c>
      <c r="G9" s="5246"/>
      <c r="H9" s="5246"/>
      <c r="I9" s="5246"/>
      <c r="J9" s="5249" t="s">
        <v>127</v>
      </c>
      <c r="K9" s="5249"/>
      <c r="L9" s="5249"/>
      <c r="M9" s="5249"/>
    </row>
    <row r="10" spans="1:38" ht="22.5" customHeight="1">
      <c r="A10" s="5243"/>
      <c r="B10" s="497"/>
      <c r="C10" s="433"/>
      <c r="D10" s="431" t="s">
        <v>85</v>
      </c>
      <c r="E10" s="431" t="s">
        <v>86</v>
      </c>
      <c r="F10" s="431" t="s">
        <v>128</v>
      </c>
      <c r="G10" s="5250" t="s">
        <v>85</v>
      </c>
      <c r="H10" s="5251"/>
      <c r="I10" s="431" t="s">
        <v>86</v>
      </c>
      <c r="J10" s="431" t="s">
        <v>128</v>
      </c>
      <c r="K10" s="5250" t="s">
        <v>85</v>
      </c>
      <c r="L10" s="5251"/>
      <c r="M10" s="431" t="s">
        <v>86</v>
      </c>
      <c r="N10" s="1491"/>
    </row>
    <row r="11" spans="1:38" s="4805" customFormat="1" ht="11.25" hidden="1" customHeight="1">
      <c r="A11" s="498"/>
      <c r="B11" s="498"/>
      <c r="C11" s="498"/>
      <c r="D11" s="499" t="s">
        <v>129</v>
      </c>
      <c r="E11" s="499" t="s">
        <v>100</v>
      </c>
      <c r="F11" s="499" t="s">
        <v>87</v>
      </c>
      <c r="G11" s="5233" t="s">
        <v>88</v>
      </c>
      <c r="H11" s="5234"/>
      <c r="I11" s="499" t="s">
        <v>114</v>
      </c>
      <c r="J11" s="499" t="s">
        <v>89</v>
      </c>
      <c r="K11" s="5235" t="s">
        <v>90</v>
      </c>
      <c r="L11" s="5236"/>
      <c r="M11" s="499" t="s">
        <v>130</v>
      </c>
      <c r="N11" s="1490"/>
      <c r="O11" s="1291"/>
      <c r="P11" s="1293"/>
      <c r="Q11" s="1293"/>
      <c r="R11" s="1293"/>
      <c r="S11" s="1293"/>
      <c r="T11" s="1293"/>
      <c r="U11" s="1148"/>
      <c r="V11" s="1148"/>
      <c r="W11" s="1148"/>
      <c r="X11" s="1148"/>
      <c r="Y11" s="500"/>
      <c r="Z11" s="500"/>
      <c r="AA11" s="500"/>
      <c r="AB11" s="500"/>
      <c r="AC11" s="500"/>
      <c r="AD11" s="500"/>
      <c r="AE11" s="500"/>
      <c r="AF11" s="500"/>
      <c r="AG11" s="500"/>
      <c r="AH11" s="500"/>
      <c r="AI11" s="500"/>
      <c r="AJ11" s="500"/>
      <c r="AK11" s="500"/>
      <c r="AL11" s="500"/>
    </row>
    <row r="12" spans="1:38" ht="0.75" customHeight="1">
      <c r="A12" s="501"/>
      <c r="B12" s="502"/>
      <c r="C12" s="502"/>
      <c r="D12" s="503"/>
      <c r="E12" s="283"/>
      <c r="F12" s="504"/>
      <c r="G12" s="948"/>
      <c r="H12" s="948"/>
      <c r="I12" s="504"/>
      <c r="J12" s="504"/>
      <c r="K12" s="97"/>
      <c r="L12" s="283"/>
      <c r="M12" s="505"/>
      <c r="N12" s="1491"/>
      <c r="O12" s="1291" t="s">
        <v>131</v>
      </c>
      <c r="P12" s="1291" t="s">
        <v>132</v>
      </c>
      <c r="Q12" s="1291" t="s">
        <v>133</v>
      </c>
      <c r="R12" s="1291" t="s">
        <v>134</v>
      </c>
    </row>
    <row r="13" spans="1:38" s="4806" customFormat="1" ht="15" customHeight="1">
      <c r="A13" s="211"/>
      <c r="B13" s="211"/>
      <c r="C13" s="434"/>
      <c r="D13" s="5226" t="s">
        <v>129</v>
      </c>
      <c r="E13" s="5227"/>
      <c r="F13" s="5230" t="s">
        <v>64</v>
      </c>
      <c r="G13" s="5231"/>
      <c r="H13" s="5232">
        <v>1</v>
      </c>
      <c r="I13" s="5223" t="str">
        <f>IF(U13="","",INDEX(TERRITORY_MR_LIST,MATCH(U13,TERRITORY_LIST_ID,0)))</f>
        <v/>
      </c>
      <c r="J13" s="5225" t="s">
        <v>54</v>
      </c>
      <c r="K13" s="506"/>
      <c r="L13" s="435" t="s">
        <v>129</v>
      </c>
      <c r="M13" s="507" t="s">
        <v>24</v>
      </c>
      <c r="N13" s="711"/>
      <c r="O13" s="1294" t="s">
        <v>135</v>
      </c>
      <c r="P13" s="1291">
        <f>$E$13</f>
        <v>0</v>
      </c>
      <c r="Q13" s="1291" t="str">
        <f>IF($F$13="нет","без дифференциации",$I$13)</f>
        <v/>
      </c>
      <c r="R13" s="1291" t="str">
        <f>IF($J$13="нет","без дифференциации",M13)</f>
        <v>без дифференциации</v>
      </c>
      <c r="S13" s="1294"/>
      <c r="T13" s="1294"/>
      <c r="U13" s="1149"/>
      <c r="V13" s="1149"/>
      <c r="W13" s="1149"/>
      <c r="X13" s="1149"/>
      <c r="Y13" s="508" t="s">
        <v>136</v>
      </c>
      <c r="Z13" s="508">
        <v>1705000</v>
      </c>
      <c r="AA13" s="508"/>
      <c r="AB13" s="508"/>
      <c r="AC13" s="508"/>
      <c r="AD13" s="508"/>
      <c r="AE13" s="508"/>
      <c r="AF13" s="508"/>
      <c r="AG13" s="508"/>
      <c r="AH13" s="508"/>
      <c r="AI13" s="508"/>
      <c r="AJ13" s="508"/>
      <c r="AK13" s="508"/>
      <c r="AL13" s="508"/>
    </row>
    <row r="14" spans="1:38" s="4806" customFormat="1" ht="15" customHeight="1">
      <c r="A14" s="211"/>
      <c r="B14" s="211"/>
      <c r="C14" s="99"/>
      <c r="D14" s="5226"/>
      <c r="E14" s="5228"/>
      <c r="F14" s="5225"/>
      <c r="G14" s="5231"/>
      <c r="H14" s="5232"/>
      <c r="I14" s="5224"/>
      <c r="J14" s="5225"/>
      <c r="K14" s="336"/>
      <c r="L14" s="100"/>
      <c r="M14" s="510" t="s">
        <v>137</v>
      </c>
      <c r="N14" s="711"/>
      <c r="O14" s="1294"/>
      <c r="P14" s="1291"/>
      <c r="Q14" s="1291"/>
      <c r="R14" s="1291"/>
      <c r="S14" s="1294"/>
      <c r="T14" s="1294"/>
      <c r="U14" s="1149"/>
      <c r="V14" s="1149"/>
      <c r="W14" s="1149"/>
      <c r="X14" s="1149"/>
      <c r="Y14" s="508"/>
      <c r="Z14" s="508"/>
      <c r="AA14" s="508"/>
      <c r="AB14" s="508"/>
      <c r="AC14" s="508"/>
      <c r="AD14" s="508"/>
      <c r="AE14" s="508"/>
      <c r="AF14" s="508"/>
      <c r="AG14" s="508"/>
      <c r="AH14" s="508"/>
      <c r="AI14" s="508"/>
      <c r="AJ14" s="508"/>
      <c r="AK14" s="508"/>
      <c r="AL14" s="508"/>
    </row>
    <row r="15" spans="1:38" s="4806" customFormat="1" ht="15" customHeight="1">
      <c r="A15" s="211"/>
      <c r="B15" s="211"/>
      <c r="C15" s="99"/>
      <c r="D15" s="5226"/>
      <c r="E15" s="5229"/>
      <c r="F15" s="5225"/>
      <c r="G15" s="949"/>
      <c r="H15" s="950"/>
      <c r="I15" s="487" t="s">
        <v>138</v>
      </c>
      <c r="J15" s="100"/>
      <c r="K15" s="100"/>
      <c r="L15" s="100"/>
      <c r="M15" s="511"/>
      <c r="N15" s="711"/>
      <c r="O15" s="1294"/>
      <c r="P15" s="1291"/>
      <c r="Q15" s="1291"/>
      <c r="R15" s="1291"/>
      <c r="S15" s="1294"/>
      <c r="T15" s="1294"/>
      <c r="U15" s="1149"/>
      <c r="V15" s="1149"/>
      <c r="W15" s="1149"/>
      <c r="X15" s="1149"/>
      <c r="Y15" s="508"/>
      <c r="Z15" s="508"/>
      <c r="AA15" s="508"/>
      <c r="AB15" s="508"/>
      <c r="AC15" s="508"/>
      <c r="AD15" s="508"/>
      <c r="AE15" s="508"/>
      <c r="AF15" s="508"/>
      <c r="AG15" s="508"/>
      <c r="AH15" s="508"/>
      <c r="AI15" s="508"/>
      <c r="AJ15" s="508"/>
      <c r="AK15" s="508"/>
      <c r="AL15" s="508"/>
    </row>
    <row r="16" spans="1:38" ht="15" customHeight="1">
      <c r="A16" s="512"/>
      <c r="B16" s="63"/>
      <c r="C16" s="705"/>
      <c r="D16" s="336"/>
      <c r="E16" s="478" t="s">
        <v>139</v>
      </c>
      <c r="F16" s="100"/>
      <c r="G16" s="100"/>
      <c r="H16" s="100"/>
      <c r="I16" s="100"/>
      <c r="J16" s="100"/>
      <c r="K16" s="100" t="s">
        <v>24</v>
      </c>
      <c r="L16" s="100"/>
      <c r="M16" s="511"/>
      <c r="N16" s="1491"/>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5128" hidden="1" customWidth="1"/>
    <col min="4" max="4" width="4.140625" style="4797" hidden="1" customWidth="1"/>
    <col min="5" max="5" width="3.7109375" style="5120" customWidth="1"/>
    <col min="6" max="6" width="14.42578125" style="4796" customWidth="1"/>
    <col min="7" max="7" width="3.7109375" style="4796" customWidth="1"/>
    <col min="8" max="8" width="7.7109375" style="4862" customWidth="1"/>
    <col min="9" max="10" width="16.7109375" style="4796" customWidth="1"/>
    <col min="11" max="11" width="25.7109375" style="4796" customWidth="1"/>
    <col min="12" max="12" width="8" style="5129" customWidth="1"/>
    <col min="13" max="13" width="15.5703125" style="5129" customWidth="1"/>
    <col min="14" max="14" width="3.28515625" style="4796" customWidth="1"/>
    <col min="15" max="15" width="4.7109375" style="4796" customWidth="1"/>
    <col min="16" max="16" width="9" style="4796" customWidth="1"/>
    <col min="17" max="17" width="21.7109375" style="4796" customWidth="1"/>
    <col min="18" max="18" width="14.7109375" style="4796" customWidth="1"/>
    <col min="19" max="20" width="17.7109375" style="4796" customWidth="1"/>
    <col min="21" max="21" width="9.7109375" style="4796" customWidth="1"/>
    <col min="22" max="22" width="12.7109375" style="4796" customWidth="1"/>
    <col min="23" max="23" width="9.7109375" style="4796" customWidth="1"/>
    <col min="24" max="24" width="21.7109375" style="4796" customWidth="1"/>
    <col min="25" max="25" width="12.7109375" style="4796" customWidth="1"/>
    <col min="26" max="26" width="3.28515625" style="4796" customWidth="1"/>
    <col min="27" max="27" width="7.140625" style="4796" customWidth="1"/>
    <col min="28" max="28" width="38.42578125" style="4796" customWidth="1"/>
    <col min="29" max="29" width="15.7109375" style="4796" customWidth="1"/>
    <col min="30" max="30" width="37.5703125" style="5129" hidden="1" customWidth="1"/>
    <col min="31" max="31" width="15.7109375" style="4796" hidden="1" customWidth="1"/>
    <col min="32" max="33" width="16.7109375" style="4796" customWidth="1"/>
    <col min="34" max="34" width="16.7109375" style="5130" customWidth="1"/>
    <col min="35" max="35" width="16.7109375" style="5131" hidden="1" customWidth="1"/>
    <col min="36" max="37" width="16.7109375" style="4796" hidden="1" customWidth="1"/>
    <col min="38" max="58" width="9.140625" style="4796"/>
  </cols>
  <sheetData>
    <row r="1" spans="1:58" s="4797" customFormat="1" ht="10.5" hidden="1" customHeight="1">
      <c r="A1" s="790"/>
      <c r="B1" s="790"/>
      <c r="C1" s="790"/>
      <c r="E1" s="444"/>
      <c r="H1" s="1042"/>
      <c r="L1" s="1012"/>
      <c r="M1" s="1012"/>
      <c r="AD1" s="1012"/>
      <c r="AH1" s="1029"/>
      <c r="AI1" s="1023"/>
    </row>
    <row r="2" spans="1:58" ht="10.5" hidden="1" customHeight="1"/>
    <row r="3" spans="1:58" s="5127" customFormat="1" ht="10.5" hidden="1" customHeight="1">
      <c r="A3" s="790"/>
      <c r="B3" s="790"/>
      <c r="C3" s="790"/>
      <c r="D3" s="333"/>
      <c r="E3" s="279"/>
      <c r="H3" s="1038"/>
      <c r="L3" s="1010"/>
      <c r="M3" s="1010"/>
      <c r="AD3" s="1010"/>
      <c r="AH3" s="1027"/>
      <c r="AI3" s="1021"/>
    </row>
    <row r="4" spans="1:58" ht="3" customHeight="1"/>
    <row r="5" spans="1:58" ht="25.5" customHeight="1">
      <c r="F5" s="5360" t="str">
        <f>IP_NAME_FORM</f>
        <v>Форма 7. Информация об инвестиционных программах организации горячего водоснабжения и отчетах об их исполнении</v>
      </c>
      <c r="G5" s="5360"/>
      <c r="H5" s="5360"/>
      <c r="I5" s="5360"/>
      <c r="J5" s="5360"/>
      <c r="K5" s="5360"/>
      <c r="L5" s="1019"/>
      <c r="M5" s="1019"/>
      <c r="AG5" s="801"/>
      <c r="AH5" s="1030"/>
    </row>
    <row r="6" spans="1:58" ht="10.5" customHeight="1">
      <c r="F6" s="5308" t="str">
        <f>IF(org=0,"Не определено",org)</f>
        <v>ООО «Газпром теплоэнерго МО»</v>
      </c>
      <c r="G6" s="5308"/>
      <c r="H6" s="5308"/>
      <c r="I6" s="5308"/>
      <c r="J6" s="5308"/>
      <c r="K6" s="5308"/>
      <c r="L6" s="1020"/>
      <c r="M6" s="1020"/>
    </row>
    <row r="7" spans="1:58" ht="11.25" customHeight="1">
      <c r="E7" s="803"/>
      <c r="F7" s="814"/>
      <c r="G7" s="814"/>
      <c r="H7" s="1068"/>
      <c r="I7" s="814"/>
      <c r="J7" s="814"/>
      <c r="K7" s="816"/>
      <c r="L7" s="1017"/>
      <c r="M7" s="1017"/>
      <c r="N7" s="814"/>
      <c r="O7" s="814"/>
      <c r="P7" s="814"/>
      <c r="Q7" s="816"/>
      <c r="R7" s="814"/>
      <c r="S7" s="814"/>
      <c r="T7" s="814"/>
      <c r="U7" s="814"/>
      <c r="V7" s="814"/>
      <c r="W7" s="814"/>
      <c r="X7" s="814"/>
      <c r="Y7" s="814"/>
      <c r="Z7" s="814"/>
      <c r="AA7" s="814"/>
      <c r="AB7" s="814"/>
      <c r="AC7" s="815"/>
      <c r="AD7" s="1016"/>
      <c r="AE7" s="815"/>
      <c r="AF7" s="814"/>
      <c r="AG7" s="814"/>
      <c r="AH7" s="1032"/>
      <c r="AI7" s="1026"/>
      <c r="AJ7" s="814"/>
      <c r="AK7" s="814"/>
      <c r="AL7" s="805"/>
      <c r="AM7" s="805"/>
      <c r="AN7" s="805"/>
      <c r="AO7" s="802"/>
      <c r="AP7" s="802"/>
      <c r="AQ7" s="802"/>
      <c r="AR7" s="802"/>
      <c r="AS7" s="802"/>
      <c r="AT7" s="802"/>
      <c r="AU7" s="802"/>
      <c r="AV7" s="802"/>
      <c r="AW7" s="802"/>
      <c r="AX7" s="802"/>
      <c r="AY7" s="802"/>
      <c r="AZ7" s="802"/>
      <c r="BA7" s="802"/>
      <c r="BB7" s="802"/>
      <c r="BC7" s="802"/>
      <c r="BD7" s="802"/>
      <c r="BE7" s="802"/>
      <c r="BF7" s="802"/>
    </row>
    <row r="8" spans="1:58" ht="10.5" customHeight="1">
      <c r="E8" s="803"/>
      <c r="F8" s="5488" t="s">
        <v>378</v>
      </c>
      <c r="G8" s="5489"/>
      <c r="H8" s="5489"/>
      <c r="I8" s="5489"/>
      <c r="J8" s="5489"/>
      <c r="K8" s="5489"/>
      <c r="L8" s="5489"/>
      <c r="M8" s="5489"/>
      <c r="N8" s="5489"/>
      <c r="O8" s="5489"/>
      <c r="P8" s="5489"/>
      <c r="Q8" s="5489"/>
      <c r="R8" s="5489"/>
      <c r="S8" s="5489"/>
      <c r="T8" s="5489"/>
      <c r="U8" s="5489"/>
      <c r="V8" s="5489"/>
      <c r="W8" s="5489"/>
      <c r="X8" s="5489"/>
      <c r="Y8" s="5489"/>
      <c r="Z8" s="5489"/>
      <c r="AA8" s="5489"/>
      <c r="AB8" s="5489"/>
      <c r="AC8" s="5489"/>
      <c r="AD8" s="5489"/>
      <c r="AE8" s="5489"/>
      <c r="AF8" s="5489"/>
      <c r="AG8" s="5489"/>
      <c r="AH8" s="5489"/>
      <c r="AI8" s="5489"/>
      <c r="AJ8" s="5489"/>
      <c r="AK8" s="5490"/>
      <c r="AL8" s="804"/>
      <c r="AM8" s="802"/>
      <c r="AN8" s="802"/>
      <c r="AO8" s="802"/>
      <c r="AP8" s="802"/>
      <c r="AQ8" s="802"/>
      <c r="AR8" s="802"/>
      <c r="AS8" s="802"/>
      <c r="AT8" s="802"/>
      <c r="AU8" s="802"/>
      <c r="AV8" s="802"/>
      <c r="AW8" s="802"/>
      <c r="AX8" s="802"/>
      <c r="AY8" s="802"/>
      <c r="AZ8" s="802"/>
      <c r="BA8" s="802"/>
      <c r="BB8" s="802"/>
      <c r="BC8" s="802"/>
      <c r="BD8" s="802"/>
      <c r="BE8" s="802"/>
      <c r="BF8" s="802"/>
    </row>
    <row r="9" spans="1:58" ht="23.25" customHeight="1">
      <c r="A9" s="800"/>
      <c r="B9" s="800"/>
      <c r="C9" s="800"/>
      <c r="E9" s="803"/>
      <c r="F9" s="5336" t="s">
        <v>992</v>
      </c>
      <c r="G9" s="5422" t="s">
        <v>993</v>
      </c>
      <c r="H9" s="5486"/>
      <c r="I9" s="5244" t="s">
        <v>994</v>
      </c>
      <c r="J9" s="5244"/>
      <c r="K9" s="5244" t="s">
        <v>995</v>
      </c>
      <c r="L9" s="5244"/>
      <c r="M9" s="5244"/>
      <c r="N9" s="5244"/>
      <c r="O9" s="5244"/>
      <c r="P9" s="5244"/>
      <c r="Q9" s="5244"/>
      <c r="R9" s="5244"/>
      <c r="S9" s="5244"/>
      <c r="T9" s="5244"/>
      <c r="U9" s="5244"/>
      <c r="V9" s="5244"/>
      <c r="W9" s="5244"/>
      <c r="X9" s="5244"/>
      <c r="Y9" s="5244"/>
      <c r="Z9" s="5322" t="s">
        <v>996</v>
      </c>
      <c r="AA9" s="5323"/>
      <c r="AB9" s="5244" t="s">
        <v>997</v>
      </c>
      <c r="AC9" s="5244"/>
      <c r="AD9" s="5244"/>
      <c r="AE9" s="5244"/>
      <c r="AF9" s="5307" t="s">
        <v>998</v>
      </c>
      <c r="AG9" s="5244" t="s">
        <v>999</v>
      </c>
      <c r="AH9" s="5244"/>
      <c r="AI9" s="5307" t="s">
        <v>1000</v>
      </c>
      <c r="AJ9" s="5244" t="s">
        <v>1001</v>
      </c>
      <c r="AK9" s="5244"/>
      <c r="AL9" s="1025"/>
      <c r="AM9" s="802"/>
      <c r="AN9" s="802"/>
      <c r="AO9" s="802"/>
      <c r="AP9" s="802"/>
      <c r="AQ9" s="802"/>
      <c r="AR9" s="802"/>
      <c r="AS9" s="802"/>
      <c r="AT9" s="802"/>
      <c r="AU9" s="802"/>
      <c r="AV9" s="802"/>
      <c r="AW9" s="802"/>
      <c r="AX9" s="802"/>
      <c r="AY9" s="802"/>
      <c r="AZ9" s="802"/>
      <c r="BA9" s="802"/>
      <c r="BB9" s="802"/>
      <c r="BC9" s="802"/>
      <c r="BD9" s="802"/>
      <c r="BE9" s="802"/>
      <c r="BF9" s="802"/>
    </row>
    <row r="10" spans="1:58" ht="23.25" customHeight="1">
      <c r="A10" s="800"/>
      <c r="B10" s="800"/>
      <c r="C10" s="800"/>
      <c r="E10" s="807"/>
      <c r="F10" s="5336"/>
      <c r="G10" s="5423"/>
      <c r="H10" s="5340"/>
      <c r="I10" s="5244"/>
      <c r="J10" s="5244"/>
      <c r="K10" s="5244" t="s">
        <v>1002</v>
      </c>
      <c r="L10" s="5215" t="s">
        <v>1003</v>
      </c>
      <c r="M10" s="5214"/>
      <c r="N10" s="5244" t="s">
        <v>1004</v>
      </c>
      <c r="O10" s="5244"/>
      <c r="P10" s="5244"/>
      <c r="Q10" s="5244"/>
      <c r="R10" s="5244"/>
      <c r="S10" s="5244"/>
      <c r="T10" s="5244"/>
      <c r="U10" s="5244"/>
      <c r="V10" s="5244"/>
      <c r="W10" s="5244"/>
      <c r="X10" s="5244"/>
      <c r="Y10" s="5244"/>
      <c r="Z10" s="5324"/>
      <c r="AA10" s="5325"/>
      <c r="AB10" s="5244"/>
      <c r="AC10" s="5244"/>
      <c r="AD10" s="5244"/>
      <c r="AE10" s="5244"/>
      <c r="AF10" s="5326"/>
      <c r="AG10" s="5244"/>
      <c r="AH10" s="5244"/>
      <c r="AI10" s="5326"/>
      <c r="AJ10" s="5244"/>
      <c r="AK10" s="5244"/>
      <c r="AL10" s="1025"/>
      <c r="AM10" s="808"/>
      <c r="AN10" s="808"/>
      <c r="AO10" s="808"/>
      <c r="AP10" s="808"/>
      <c r="AQ10" s="808"/>
      <c r="AR10" s="808"/>
      <c r="AS10" s="808"/>
      <c r="AT10" s="808"/>
      <c r="AU10" s="808"/>
      <c r="AV10" s="808"/>
      <c r="AW10" s="808"/>
      <c r="AX10" s="808"/>
      <c r="AY10" s="808"/>
      <c r="AZ10" s="808"/>
      <c r="BA10" s="808"/>
      <c r="BB10" s="808"/>
      <c r="BC10" s="808"/>
      <c r="BD10" s="808"/>
      <c r="BE10" s="808"/>
      <c r="BF10" s="808"/>
    </row>
    <row r="11" spans="1:58" s="5129" customFormat="1" ht="23.25" customHeight="1">
      <c r="A11" s="1013"/>
      <c r="B11" s="1013"/>
      <c r="C11" s="1013"/>
      <c r="D11" s="1012"/>
      <c r="E11" s="1014"/>
      <c r="F11" s="5336"/>
      <c r="G11" s="5423"/>
      <c r="H11" s="5340"/>
      <c r="I11" s="5244"/>
      <c r="J11" s="5244"/>
      <c r="K11" s="5244"/>
      <c r="L11" s="5307" t="s">
        <v>1005</v>
      </c>
      <c r="M11" s="5307" t="s">
        <v>1006</v>
      </c>
      <c r="N11" s="5244" t="s">
        <v>1007</v>
      </c>
      <c r="O11" s="5244"/>
      <c r="P11" s="5272" t="s">
        <v>988</v>
      </c>
      <c r="Q11" s="5272" t="s">
        <v>1008</v>
      </c>
      <c r="R11" s="5272" t="s">
        <v>1009</v>
      </c>
      <c r="S11" s="5272" t="s">
        <v>1010</v>
      </c>
      <c r="T11" s="5272"/>
      <c r="U11" s="5272"/>
      <c r="V11" s="5272"/>
      <c r="W11" s="5272"/>
      <c r="X11" s="5272"/>
      <c r="Y11" s="5272"/>
      <c r="Z11" s="5324"/>
      <c r="AA11" s="5325"/>
      <c r="AB11" s="5244" t="s">
        <v>1011</v>
      </c>
      <c r="AC11" s="5244"/>
      <c r="AD11" s="5215" t="s">
        <v>1012</v>
      </c>
      <c r="AE11" s="5214"/>
      <c r="AF11" s="5326"/>
      <c r="AG11" s="5244"/>
      <c r="AH11" s="5244"/>
      <c r="AI11" s="5326"/>
      <c r="AJ11" s="5244"/>
      <c r="AK11" s="5244"/>
      <c r="AL11" s="1025"/>
      <c r="AM11" s="1011"/>
      <c r="AN11" s="1011"/>
      <c r="AO11" s="1011"/>
      <c r="AP11" s="1011"/>
      <c r="AQ11" s="1011"/>
      <c r="AR11" s="1011"/>
      <c r="AS11" s="1011"/>
      <c r="AT11" s="1011"/>
      <c r="AU11" s="1011"/>
      <c r="AV11" s="1011"/>
      <c r="AW11" s="1011"/>
      <c r="AX11" s="1011"/>
      <c r="AY11" s="1011"/>
      <c r="AZ11" s="1011"/>
      <c r="BA11" s="1011"/>
      <c r="BB11" s="1011"/>
      <c r="BC11" s="1011"/>
      <c r="BD11" s="1011"/>
      <c r="BE11" s="1011"/>
      <c r="BF11" s="1011"/>
    </row>
    <row r="12" spans="1:58" ht="33.75" customHeight="1">
      <c r="A12" s="800"/>
      <c r="B12" s="800"/>
      <c r="C12" s="800"/>
      <c r="E12" s="803"/>
      <c r="F12" s="5336"/>
      <c r="G12" s="5424"/>
      <c r="H12" s="5487"/>
      <c r="I12" s="1035" t="s">
        <v>86</v>
      </c>
      <c r="J12" s="1035" t="s">
        <v>1013</v>
      </c>
      <c r="K12" s="5244"/>
      <c r="L12" s="5355"/>
      <c r="M12" s="5355"/>
      <c r="N12" s="5244"/>
      <c r="O12" s="5244"/>
      <c r="P12" s="5272"/>
      <c r="Q12" s="5272"/>
      <c r="R12" s="5272"/>
      <c r="S12" s="1018" t="s">
        <v>83</v>
      </c>
      <c r="T12" s="1018" t="s">
        <v>84</v>
      </c>
      <c r="U12" s="1018" t="s">
        <v>82</v>
      </c>
      <c r="V12" s="1018" t="s">
        <v>1014</v>
      </c>
      <c r="W12" s="1018" t="s">
        <v>82</v>
      </c>
      <c r="X12" s="1018" t="s">
        <v>1015</v>
      </c>
      <c r="Y12" s="1018" t="s">
        <v>1016</v>
      </c>
      <c r="Z12" s="5327"/>
      <c r="AA12" s="5328"/>
      <c r="AB12" s="1024" t="s">
        <v>1017</v>
      </c>
      <c r="AC12" s="1024" t="s">
        <v>1018</v>
      </c>
      <c r="AD12" s="1024" t="s">
        <v>1017</v>
      </c>
      <c r="AE12" s="1024" t="s">
        <v>1018</v>
      </c>
      <c r="AF12" s="5355"/>
      <c r="AG12" s="1036" t="s">
        <v>1019</v>
      </c>
      <c r="AH12" s="1036" t="s">
        <v>1020</v>
      </c>
      <c r="AI12" s="5355"/>
      <c r="AJ12" s="1036" t="s">
        <v>1019</v>
      </c>
      <c r="AK12" s="1036" t="s">
        <v>1020</v>
      </c>
      <c r="AL12" s="1025"/>
      <c r="AM12" s="802"/>
      <c r="AN12" s="802"/>
      <c r="AO12" s="802"/>
      <c r="AP12" s="802"/>
      <c r="AQ12" s="802"/>
      <c r="AR12" s="802"/>
      <c r="AS12" s="802"/>
      <c r="AT12" s="802"/>
      <c r="AU12" s="802"/>
      <c r="AV12" s="802"/>
      <c r="AW12" s="802"/>
      <c r="AX12" s="802"/>
      <c r="AY12" s="802"/>
      <c r="AZ12" s="802"/>
      <c r="BA12" s="802"/>
      <c r="BB12" s="802"/>
      <c r="BC12" s="802"/>
      <c r="BD12" s="802"/>
      <c r="BE12" s="802"/>
      <c r="BF12" s="802"/>
    </row>
    <row r="13" spans="1:58" ht="0.75" customHeight="1">
      <c r="E13" s="803"/>
      <c r="F13" s="1009">
        <v>0</v>
      </c>
      <c r="G13" s="1009"/>
      <c r="H13" s="1009"/>
      <c r="I13" s="1009"/>
      <c r="J13" s="1009"/>
      <c r="K13" s="1015"/>
      <c r="L13" s="1015"/>
      <c r="M13" s="1015"/>
      <c r="N13" s="1015"/>
      <c r="O13" s="1015"/>
      <c r="P13" s="1015"/>
      <c r="Q13" s="1015"/>
      <c r="R13" s="1015"/>
      <c r="S13" s="1015"/>
      <c r="T13" s="1015"/>
      <c r="U13" s="1015"/>
      <c r="V13" s="1015"/>
      <c r="W13" s="1015"/>
      <c r="X13" s="1015"/>
      <c r="Y13" s="1015"/>
      <c r="Z13" s="1015"/>
      <c r="AA13" s="1015"/>
      <c r="AB13" s="1015"/>
      <c r="AC13" s="1015"/>
      <c r="AD13" s="1015"/>
      <c r="AE13" s="1015"/>
      <c r="AF13" s="1015"/>
      <c r="AG13" s="1015"/>
      <c r="AH13" s="1031"/>
      <c r="AI13" s="1025"/>
      <c r="AJ13" s="1015"/>
      <c r="AK13" s="1015"/>
      <c r="AL13" s="804"/>
      <c r="AM13" s="802"/>
      <c r="AN13" s="802"/>
      <c r="AO13" s="802"/>
      <c r="AP13" s="802"/>
      <c r="AQ13" s="802"/>
      <c r="AR13" s="802"/>
      <c r="AS13" s="802"/>
      <c r="AT13" s="802"/>
      <c r="AU13" s="802"/>
      <c r="AV13" s="802"/>
      <c r="AW13" s="802"/>
      <c r="AX13" s="802"/>
      <c r="AY13" s="802"/>
      <c r="AZ13" s="802"/>
      <c r="BA13" s="802"/>
      <c r="BB13" s="802"/>
      <c r="BC13" s="802"/>
      <c r="BD13" s="802"/>
      <c r="BE13" s="802"/>
      <c r="BF13" s="802"/>
    </row>
    <row r="14" spans="1:58" ht="10.5" customHeight="1">
      <c r="E14" s="802"/>
      <c r="F14" s="813"/>
      <c r="G14" s="813"/>
      <c r="H14" s="1055"/>
      <c r="I14" s="813"/>
      <c r="J14" s="813"/>
      <c r="K14" s="813"/>
      <c r="L14" s="1015"/>
      <c r="M14" s="1015"/>
      <c r="N14" s="813"/>
      <c r="O14" s="813"/>
      <c r="P14" s="813"/>
      <c r="Q14" s="813"/>
      <c r="R14" s="813"/>
      <c r="S14" s="813"/>
      <c r="T14" s="813"/>
      <c r="U14" s="813"/>
      <c r="V14" s="813"/>
      <c r="W14" s="813"/>
      <c r="X14" s="813"/>
      <c r="Y14" s="813"/>
      <c r="Z14" s="813"/>
      <c r="AA14" s="813"/>
      <c r="AB14" s="813"/>
      <c r="AC14" s="813"/>
      <c r="AD14" s="1015"/>
      <c r="AE14" s="813"/>
      <c r="AF14" s="813"/>
      <c r="AG14" s="813"/>
      <c r="AH14" s="1031"/>
      <c r="AI14" s="1025"/>
      <c r="AJ14" s="813"/>
      <c r="AK14" s="813"/>
      <c r="AL14" s="802"/>
      <c r="AM14" s="802"/>
      <c r="AN14" s="802"/>
      <c r="AO14" s="802"/>
      <c r="AP14" s="802"/>
      <c r="AQ14" s="802"/>
      <c r="AR14" s="802"/>
      <c r="AS14" s="802"/>
      <c r="AT14" s="802"/>
      <c r="AU14" s="802"/>
      <c r="AV14" s="802"/>
      <c r="AW14" s="802"/>
      <c r="AX14" s="802"/>
      <c r="AY14" s="802"/>
      <c r="AZ14" s="802"/>
      <c r="BA14" s="802"/>
      <c r="BB14" s="802"/>
      <c r="BC14" s="802"/>
      <c r="BD14" s="802"/>
      <c r="BE14" s="802"/>
      <c r="BF14" s="802"/>
    </row>
    <row r="15" spans="1:58" ht="12.75" customHeight="1">
      <c r="E15" s="802"/>
      <c r="F15" s="809" t="s">
        <v>1021</v>
      </c>
      <c r="G15" s="809"/>
      <c r="H15" s="1054"/>
      <c r="I15" s="809"/>
      <c r="J15" s="809"/>
      <c r="K15" s="806"/>
      <c r="L15" s="1011"/>
      <c r="M15" s="1011"/>
      <c r="N15" s="808"/>
      <c r="O15" s="808"/>
      <c r="P15" s="808"/>
      <c r="Q15" s="808"/>
      <c r="R15" s="808"/>
      <c r="S15" s="808"/>
      <c r="T15" s="808"/>
      <c r="U15" s="808"/>
      <c r="V15" s="808"/>
      <c r="W15" s="808"/>
      <c r="X15" s="808"/>
      <c r="Y15" s="808"/>
      <c r="Z15" s="806"/>
      <c r="AA15" s="806"/>
      <c r="AB15" s="806"/>
      <c r="AC15" s="806"/>
      <c r="AD15" s="1011"/>
      <c r="AE15" s="806"/>
      <c r="AF15" s="806"/>
      <c r="AG15" s="806"/>
      <c r="AH15" s="1028"/>
      <c r="AI15" s="1022"/>
      <c r="AJ15" s="806"/>
      <c r="AK15" s="806"/>
      <c r="AL15" s="802"/>
      <c r="AM15" s="802"/>
      <c r="AN15" s="802"/>
      <c r="AO15" s="802"/>
      <c r="AP15" s="802"/>
      <c r="AQ15" s="802"/>
      <c r="AR15" s="802"/>
      <c r="AS15" s="802"/>
      <c r="AT15" s="802"/>
      <c r="AU15" s="802"/>
      <c r="AV15" s="802"/>
      <c r="AW15" s="802"/>
      <c r="AX15" s="802"/>
      <c r="AY15" s="802"/>
      <c r="AZ15" s="802"/>
      <c r="BA15" s="802"/>
      <c r="BB15" s="802"/>
      <c r="BC15" s="802"/>
      <c r="BD15" s="802"/>
      <c r="BE15" s="802"/>
      <c r="BF15" s="802"/>
    </row>
    <row r="17" spans="5:58" ht="10.5" customHeight="1">
      <c r="E17" s="802"/>
      <c r="F17" s="5485"/>
      <c r="G17" s="5485"/>
      <c r="H17" s="5485"/>
      <c r="I17" s="5485"/>
      <c r="J17" s="5485"/>
      <c r="K17" s="806"/>
      <c r="L17" s="1011"/>
      <c r="M17" s="1011"/>
      <c r="N17" s="808"/>
      <c r="O17" s="808"/>
      <c r="P17" s="808"/>
      <c r="Q17" s="808"/>
      <c r="R17" s="808"/>
      <c r="S17" s="808"/>
      <c r="T17" s="808"/>
      <c r="U17" s="808"/>
      <c r="V17" s="808"/>
      <c r="W17" s="808"/>
      <c r="X17" s="808"/>
      <c r="Y17" s="808"/>
      <c r="Z17" s="806"/>
      <c r="AA17" s="806"/>
      <c r="AB17" s="806"/>
      <c r="AC17" s="806"/>
      <c r="AD17" s="1011"/>
      <c r="AE17" s="806"/>
      <c r="AF17" s="806"/>
      <c r="AG17" s="806"/>
      <c r="AH17" s="1028"/>
      <c r="AI17" s="1022"/>
      <c r="AJ17" s="806"/>
      <c r="AK17" s="806"/>
      <c r="AL17" s="802"/>
      <c r="AM17" s="802"/>
      <c r="AN17" s="802"/>
      <c r="AO17" s="802"/>
      <c r="AP17" s="802"/>
      <c r="AQ17" s="802"/>
      <c r="AR17" s="802"/>
      <c r="AS17" s="802"/>
      <c r="AT17" s="802"/>
      <c r="AU17" s="802"/>
      <c r="AV17" s="802"/>
      <c r="AW17" s="802"/>
      <c r="AX17" s="802"/>
      <c r="AY17" s="802"/>
      <c r="AZ17" s="802"/>
      <c r="BA17" s="802"/>
      <c r="BB17" s="802"/>
      <c r="BC17" s="802"/>
      <c r="BD17" s="802"/>
      <c r="BE17" s="802"/>
      <c r="BF17" s="802"/>
    </row>
    <row r="18" spans="5:58" ht="10.5" customHeight="1">
      <c r="E18" s="802"/>
      <c r="F18" s="5485"/>
      <c r="G18" s="5485"/>
      <c r="H18" s="5485"/>
      <c r="I18" s="5485"/>
      <c r="J18" s="5485"/>
      <c r="K18" s="806"/>
      <c r="L18" s="1011"/>
      <c r="M18" s="1011"/>
      <c r="N18" s="808"/>
      <c r="O18" s="808"/>
      <c r="P18" s="808"/>
      <c r="Q18" s="808"/>
      <c r="R18" s="808"/>
      <c r="S18" s="808"/>
      <c r="T18" s="808"/>
      <c r="U18" s="808"/>
      <c r="V18" s="808"/>
      <c r="W18" s="808"/>
      <c r="X18" s="808"/>
      <c r="Y18" s="808"/>
      <c r="Z18" s="806"/>
      <c r="AA18" s="806"/>
      <c r="AB18" s="806"/>
      <c r="AC18" s="806"/>
      <c r="AD18" s="1011"/>
      <c r="AE18" s="806"/>
      <c r="AF18" s="806"/>
      <c r="AG18" s="806"/>
      <c r="AH18" s="1028"/>
      <c r="AI18" s="1022"/>
      <c r="AJ18" s="806"/>
      <c r="AK18" s="806"/>
      <c r="AL18" s="802"/>
      <c r="AM18" s="802"/>
      <c r="AN18" s="802"/>
      <c r="AO18" s="802"/>
      <c r="AP18" s="802"/>
      <c r="AQ18" s="802"/>
      <c r="AR18" s="802"/>
      <c r="AS18" s="802"/>
      <c r="AT18" s="802"/>
      <c r="AU18" s="802"/>
      <c r="AV18" s="802"/>
      <c r="AW18" s="802"/>
      <c r="AX18" s="802"/>
      <c r="AY18" s="802"/>
      <c r="AZ18" s="802"/>
      <c r="BA18" s="802"/>
      <c r="BB18" s="802"/>
      <c r="BC18" s="802"/>
      <c r="BD18" s="802"/>
      <c r="BE18" s="802"/>
      <c r="BF18" s="802"/>
    </row>
    <row r="19" spans="5:58" ht="10.5" customHeight="1">
      <c r="E19" s="802"/>
      <c r="F19" s="5485"/>
      <c r="G19" s="5485"/>
      <c r="H19" s="5485"/>
      <c r="I19" s="5485"/>
      <c r="J19" s="5485"/>
      <c r="K19" s="806"/>
      <c r="L19" s="1011"/>
      <c r="M19" s="1011"/>
      <c r="N19" s="808"/>
      <c r="O19" s="808"/>
      <c r="P19" s="808"/>
      <c r="Q19" s="808"/>
      <c r="R19" s="808"/>
      <c r="S19" s="808"/>
      <c r="T19" s="808"/>
      <c r="U19" s="808"/>
      <c r="V19" s="808"/>
      <c r="W19" s="808"/>
      <c r="X19" s="808"/>
      <c r="Y19" s="808"/>
      <c r="Z19" s="806"/>
      <c r="AA19" s="806"/>
      <c r="AB19" s="806"/>
      <c r="AC19" s="806"/>
      <c r="AD19" s="1011"/>
      <c r="AE19" s="806"/>
      <c r="AF19" s="806"/>
      <c r="AG19" s="806"/>
      <c r="AH19" s="1028"/>
      <c r="AI19" s="1022"/>
      <c r="AJ19" s="806"/>
      <c r="AK19" s="806"/>
      <c r="AL19" s="802"/>
      <c r="AM19" s="802"/>
      <c r="AN19" s="802"/>
      <c r="AO19" s="802"/>
      <c r="AP19" s="802"/>
      <c r="AQ19" s="802"/>
      <c r="AR19" s="802"/>
      <c r="AS19" s="802"/>
      <c r="AT19" s="802"/>
      <c r="AU19" s="802"/>
      <c r="AV19" s="802"/>
      <c r="AW19" s="802"/>
      <c r="AX19" s="802"/>
      <c r="AY19" s="802"/>
      <c r="AZ19" s="802"/>
      <c r="BA19" s="802"/>
      <c r="BB19" s="802"/>
      <c r="BC19" s="802"/>
      <c r="BD19" s="802"/>
      <c r="BE19" s="802"/>
      <c r="BF19" s="802"/>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5133" hidden="1" customWidth="1"/>
    <col min="4" max="4" width="4.140625" style="4854" hidden="1" customWidth="1"/>
    <col min="5" max="5" width="3.7109375" style="5120" customWidth="1"/>
    <col min="6" max="6" width="6.28515625" style="4862" customWidth="1"/>
    <col min="7" max="7" width="60.140625" style="4862" customWidth="1"/>
    <col min="8" max="9" width="21.7109375" style="4862" hidden="1" customWidth="1"/>
    <col min="10" max="10" width="0.140625" style="4862" customWidth="1"/>
    <col min="11" max="11" width="1.7109375" style="4862" customWidth="1"/>
    <col min="12" max="22" width="9.140625" style="4862"/>
  </cols>
  <sheetData>
    <row r="1" spans="1:22" s="4854" customFormat="1" ht="10.5" hidden="1" customHeight="1">
      <c r="A1" s="1048"/>
      <c r="B1" s="1048"/>
      <c r="C1" s="1048"/>
      <c r="E1" s="444"/>
    </row>
    <row r="2" spans="1:22" ht="10.5" hidden="1" customHeight="1"/>
    <row r="3" spans="1:22" s="5132" customFormat="1" ht="10.5" hidden="1" customHeight="1">
      <c r="A3" s="1048"/>
      <c r="B3" s="1048"/>
      <c r="C3" s="1048"/>
      <c r="D3" s="1042"/>
      <c r="E3" s="279"/>
    </row>
    <row r="4" spans="1:22" ht="3" customHeight="1"/>
    <row r="5" spans="1:22" ht="25.5" customHeight="1">
      <c r="F5" s="5360"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5360"/>
      <c r="H5" s="5360"/>
      <c r="I5" s="5360"/>
      <c r="J5" s="5360"/>
    </row>
    <row r="6" spans="1:22" ht="10.5" customHeight="1">
      <c r="F6" s="5308" t="str">
        <f>IF(org=0,"Не определено",org)</f>
        <v>ООО «Газпром теплоэнерго МО»</v>
      </c>
      <c r="G6" s="5308"/>
      <c r="H6" s="5308"/>
      <c r="I6" s="5308"/>
      <c r="J6" s="5308"/>
    </row>
    <row r="7" spans="1:22" ht="11.25" customHeight="1">
      <c r="E7" s="1052"/>
      <c r="F7" s="1110"/>
      <c r="G7" s="1110"/>
      <c r="H7" s="1110"/>
      <c r="I7" s="1110"/>
      <c r="J7" s="1110"/>
      <c r="K7" s="1039"/>
      <c r="L7" s="1039"/>
      <c r="M7" s="1039"/>
      <c r="N7" s="1039"/>
      <c r="O7" s="1039"/>
      <c r="P7" s="1039"/>
      <c r="Q7" s="1039"/>
      <c r="R7" s="1039"/>
      <c r="S7" s="1039"/>
      <c r="T7" s="1039"/>
      <c r="U7" s="1039"/>
      <c r="V7" s="1039"/>
    </row>
    <row r="8" spans="1:22" s="4856" customFormat="1" ht="5.25" customHeight="1">
      <c r="A8" s="1049"/>
      <c r="B8" s="1049"/>
      <c r="C8" s="1049"/>
      <c r="E8" s="1111"/>
      <c r="F8" s="1112"/>
      <c r="G8" s="1112"/>
      <c r="H8" s="1112"/>
      <c r="I8" s="1112"/>
      <c r="J8" s="1112"/>
      <c r="K8" s="1111"/>
      <c r="L8" s="1111"/>
      <c r="M8" s="1111"/>
      <c r="N8" s="1111"/>
      <c r="O8" s="1111"/>
      <c r="P8" s="1111"/>
      <c r="Q8" s="1111"/>
      <c r="R8" s="1111"/>
      <c r="S8" s="1111"/>
      <c r="T8" s="1111"/>
      <c r="U8" s="1111"/>
      <c r="V8" s="1111"/>
    </row>
    <row r="9" spans="1:22" ht="10.5" customHeight="1">
      <c r="E9" s="1052"/>
      <c r="F9" s="5491" t="s">
        <v>378</v>
      </c>
      <c r="G9" s="5492"/>
      <c r="H9" s="5492"/>
      <c r="I9" s="5492"/>
      <c r="J9" s="5492"/>
      <c r="K9" s="1123"/>
      <c r="L9" s="1039"/>
      <c r="M9" s="1039"/>
      <c r="N9" s="1039"/>
      <c r="O9" s="1039"/>
      <c r="P9" s="1039"/>
      <c r="Q9" s="1039"/>
      <c r="R9" s="1039"/>
      <c r="S9" s="1039"/>
      <c r="T9" s="1039"/>
      <c r="U9" s="1039"/>
      <c r="V9" s="1039"/>
    </row>
    <row r="10" spans="1:22" ht="24" customHeight="1">
      <c r="E10" s="1039"/>
      <c r="F10" s="5495" t="s">
        <v>85</v>
      </c>
      <c r="G10" s="5499" t="s">
        <v>1022</v>
      </c>
      <c r="H10" s="5481" t="s">
        <v>1023</v>
      </c>
      <c r="I10" s="5481"/>
      <c r="J10" s="5481"/>
      <c r="K10" s="1116"/>
      <c r="L10" s="1039"/>
      <c r="M10" s="1039"/>
      <c r="N10" s="1039"/>
      <c r="O10" s="1039"/>
      <c r="P10" s="1039"/>
      <c r="Q10" s="1039"/>
      <c r="R10" s="1039"/>
      <c r="S10" s="1039"/>
      <c r="T10" s="1039"/>
      <c r="U10" s="1039"/>
      <c r="V10" s="1039"/>
    </row>
    <row r="11" spans="1:22" ht="24" customHeight="1">
      <c r="E11" s="1039"/>
      <c r="F11" s="5496"/>
      <c r="G11" s="5499"/>
      <c r="H11" s="5498" t="e">
        <f>INDEX(IP_MAIN_LIST_NAME_IP,MATCH(H8,IP_MAIN_LIST_IP_ID,0))&amp;" ("&amp;INDEX(IP_MAIN_START_DATE,MATCH(H8,IP_MAIN_LIST_IP_ID,0))&amp;"-"&amp;INDEX(IP_MAIN_END_DATE,MATCH(H8,IP_MAIN_LIST_IP_ID,0))&amp;")"</f>
        <v>#N/A</v>
      </c>
      <c r="I11" s="5498"/>
      <c r="J11" s="5498"/>
      <c r="K11" s="1116"/>
      <c r="L11" s="1039"/>
      <c r="M11" s="1039"/>
      <c r="N11" s="1039"/>
      <c r="O11" s="1039"/>
      <c r="P11" s="1039"/>
      <c r="Q11" s="1039"/>
      <c r="R11" s="1039"/>
      <c r="S11" s="1039"/>
      <c r="T11" s="1039"/>
      <c r="U11" s="1039"/>
      <c r="V11" s="1039"/>
    </row>
    <row r="12" spans="1:22" ht="10.5" customHeight="1">
      <c r="F12" s="5497"/>
      <c r="G12" s="5499"/>
      <c r="H12" s="1109" t="s">
        <v>1024</v>
      </c>
      <c r="I12" s="1115"/>
      <c r="J12" s="1109"/>
      <c r="K12" s="1117"/>
    </row>
    <row r="13" spans="1:22" ht="10.5" hidden="1" customHeight="1">
      <c r="F13" s="1109">
        <v>1</v>
      </c>
      <c r="G13" s="1109">
        <v>2</v>
      </c>
      <c r="H13" s="1109">
        <v>3</v>
      </c>
      <c r="I13" s="1109">
        <v>4</v>
      </c>
      <c r="J13" s="1109">
        <v>5</v>
      </c>
      <c r="K13" s="1117"/>
    </row>
    <row r="14" spans="1:22" ht="11.25" customHeight="1">
      <c r="F14" s="1108" t="s">
        <v>1025</v>
      </c>
      <c r="G14" s="5493" t="s">
        <v>1026</v>
      </c>
      <c r="H14" s="5493"/>
      <c r="I14" s="5493"/>
      <c r="J14" s="5493"/>
      <c r="K14" s="1117"/>
    </row>
    <row r="15" spans="1:22" ht="11.25" customHeight="1">
      <c r="F15" s="1113">
        <v>1</v>
      </c>
      <c r="G15" s="592" t="s">
        <v>1027</v>
      </c>
      <c r="H15" s="1119">
        <f t="shared" ref="H15:H36" si="0">SUM(I15:J15)</f>
        <v>0</v>
      </c>
      <c r="I15" s="1119">
        <f>SUM(I16:I27)</f>
        <v>0</v>
      </c>
      <c r="J15" s="1108"/>
      <c r="K15" s="1117"/>
    </row>
    <row r="16" spans="1:22" ht="22.5" customHeight="1">
      <c r="F16" s="1113" t="s">
        <v>1028</v>
      </c>
      <c r="G16" s="1120" t="s">
        <v>1029</v>
      </c>
      <c r="H16" s="1119">
        <f t="shared" si="0"/>
        <v>0</v>
      </c>
      <c r="I16" s="1118"/>
      <c r="J16" s="1108"/>
      <c r="K16" s="1117"/>
    </row>
    <row r="17" spans="6:11" ht="22.5" customHeight="1">
      <c r="F17" s="1113" t="s">
        <v>1030</v>
      </c>
      <c r="G17" s="1120" t="s">
        <v>1031</v>
      </c>
      <c r="H17" s="1119">
        <f t="shared" si="0"/>
        <v>0</v>
      </c>
      <c r="I17" s="1118"/>
      <c r="J17" s="1108"/>
      <c r="K17" s="1117"/>
    </row>
    <row r="18" spans="6:11" ht="33.75" customHeight="1">
      <c r="F18" s="1113" t="s">
        <v>1032</v>
      </c>
      <c r="G18" s="1120" t="s">
        <v>1033</v>
      </c>
      <c r="H18" s="1119">
        <f t="shared" si="0"/>
        <v>0</v>
      </c>
      <c r="I18" s="1118"/>
      <c r="J18" s="1108"/>
      <c r="K18" s="1117"/>
    </row>
    <row r="19" spans="6:11" ht="33.75" customHeight="1">
      <c r="F19" s="1113" t="s">
        <v>1034</v>
      </c>
      <c r="G19" s="1120" t="s">
        <v>1035</v>
      </c>
      <c r="H19" s="1119">
        <f t="shared" si="0"/>
        <v>0</v>
      </c>
      <c r="I19" s="1118"/>
      <c r="J19" s="1108"/>
      <c r="K19" s="1117"/>
    </row>
    <row r="20" spans="6:11" ht="45" customHeight="1">
      <c r="F20" s="1113" t="s">
        <v>1036</v>
      </c>
      <c r="G20" s="1120" t="s">
        <v>1037</v>
      </c>
      <c r="H20" s="1119">
        <f t="shared" si="0"/>
        <v>0</v>
      </c>
      <c r="I20" s="1118"/>
      <c r="J20" s="1108"/>
      <c r="K20" s="1117"/>
    </row>
    <row r="21" spans="6:11" ht="33.75" customHeight="1">
      <c r="F21" s="1113" t="s">
        <v>1038</v>
      </c>
      <c r="G21" s="1120" t="s">
        <v>1039</v>
      </c>
      <c r="H21" s="1119">
        <f t="shared" si="0"/>
        <v>0</v>
      </c>
      <c r="I21" s="1118"/>
      <c r="J21" s="1108"/>
      <c r="K21" s="1117"/>
    </row>
    <row r="22" spans="6:11" ht="33.75" customHeight="1">
      <c r="F22" s="1113" t="s">
        <v>1040</v>
      </c>
      <c r="G22" s="1120" t="s">
        <v>1041</v>
      </c>
      <c r="H22" s="1119">
        <f t="shared" si="0"/>
        <v>0</v>
      </c>
      <c r="I22" s="1118"/>
      <c r="J22" s="1108"/>
      <c r="K22" s="1117"/>
    </row>
    <row r="23" spans="6:11" ht="22.5" customHeight="1">
      <c r="F23" s="1113" t="s">
        <v>1042</v>
      </c>
      <c r="G23" s="1120" t="s">
        <v>1043</v>
      </c>
      <c r="H23" s="1119">
        <f t="shared" si="0"/>
        <v>0</v>
      </c>
      <c r="I23" s="1118"/>
      <c r="J23" s="1108"/>
      <c r="K23" s="1117"/>
    </row>
    <row r="24" spans="6:11" ht="22.5" customHeight="1">
      <c r="F24" s="1113" t="s">
        <v>1044</v>
      </c>
      <c r="G24" s="1120" t="s">
        <v>1045</v>
      </c>
      <c r="H24" s="1119">
        <f t="shared" si="0"/>
        <v>0</v>
      </c>
      <c r="I24" s="1118"/>
      <c r="J24" s="1108"/>
      <c r="K24" s="1117"/>
    </row>
    <row r="25" spans="6:11" ht="33.75" customHeight="1">
      <c r="F25" s="1113" t="s">
        <v>1046</v>
      </c>
      <c r="G25" s="1120" t="s">
        <v>1047</v>
      </c>
      <c r="H25" s="1119">
        <f t="shared" si="0"/>
        <v>0</v>
      </c>
      <c r="I25" s="1118"/>
      <c r="J25" s="1108"/>
      <c r="K25" s="1117"/>
    </row>
    <row r="26" spans="6:11" ht="33.75" customHeight="1">
      <c r="F26" s="1113" t="s">
        <v>1048</v>
      </c>
      <c r="G26" s="1120" t="s">
        <v>1049</v>
      </c>
      <c r="H26" s="1119">
        <f t="shared" si="0"/>
        <v>0</v>
      </c>
      <c r="I26" s="1118"/>
      <c r="J26" s="1108"/>
      <c r="K26" s="1117"/>
    </row>
    <row r="27" spans="6:11" ht="11.25" customHeight="1">
      <c r="F27" s="1113" t="s">
        <v>1050</v>
      </c>
      <c r="G27" s="1120" t="s">
        <v>1051</v>
      </c>
      <c r="H27" s="1119">
        <f t="shared" si="0"/>
        <v>0</v>
      </c>
      <c r="I27" s="1118"/>
      <c r="J27" s="1108"/>
      <c r="K27" s="1117"/>
    </row>
    <row r="28" spans="6:11" ht="11.25" customHeight="1">
      <c r="F28" s="1113">
        <v>2</v>
      </c>
      <c r="G28" s="592" t="s">
        <v>1052</v>
      </c>
      <c r="H28" s="1119">
        <f t="shared" si="0"/>
        <v>0</v>
      </c>
      <c r="I28" s="1119">
        <f>SUM(I29:I31)</f>
        <v>0</v>
      </c>
      <c r="J28" s="1108"/>
      <c r="K28" s="1117"/>
    </row>
    <row r="29" spans="6:11" ht="11.25" customHeight="1">
      <c r="F29" s="1113" t="s">
        <v>711</v>
      </c>
      <c r="G29" s="1120" t="s">
        <v>1053</v>
      </c>
      <c r="H29" s="1119">
        <f t="shared" si="0"/>
        <v>0</v>
      </c>
      <c r="I29" s="1118"/>
      <c r="J29" s="1108"/>
      <c r="K29" s="1117"/>
    </row>
    <row r="30" spans="6:11" ht="11.25" customHeight="1">
      <c r="F30" s="1113" t="s">
        <v>385</v>
      </c>
      <c r="G30" s="1120" t="s">
        <v>1054</v>
      </c>
      <c r="H30" s="1119">
        <f t="shared" si="0"/>
        <v>0</v>
      </c>
      <c r="I30" s="1118"/>
      <c r="J30" s="1108"/>
      <c r="K30" s="1117"/>
    </row>
    <row r="31" spans="6:11" ht="11.25" customHeight="1">
      <c r="F31" s="1113" t="s">
        <v>388</v>
      </c>
      <c r="G31" s="1120" t="s">
        <v>1055</v>
      </c>
      <c r="H31" s="1119">
        <f t="shared" si="0"/>
        <v>0</v>
      </c>
      <c r="I31" s="1118"/>
      <c r="J31" s="1108"/>
      <c r="K31" s="1117"/>
    </row>
    <row r="32" spans="6:11" ht="11.25" customHeight="1">
      <c r="F32" s="1113">
        <v>3</v>
      </c>
      <c r="G32" s="592" t="s">
        <v>1056</v>
      </c>
      <c r="H32" s="1119">
        <f t="shared" si="0"/>
        <v>0</v>
      </c>
      <c r="I32" s="1119">
        <f>SUM(I33:I34)</f>
        <v>0</v>
      </c>
      <c r="J32" s="1108"/>
      <c r="K32" s="1117"/>
    </row>
    <row r="33" spans="6:11" ht="33.75" customHeight="1">
      <c r="F33" s="1113" t="s">
        <v>402</v>
      </c>
      <c r="G33" s="1120" t="s">
        <v>1057</v>
      </c>
      <c r="H33" s="1119">
        <f t="shared" si="0"/>
        <v>0</v>
      </c>
      <c r="I33" s="1118"/>
      <c r="J33" s="1108"/>
      <c r="K33" s="1117"/>
    </row>
    <row r="34" spans="6:11" ht="11.25" customHeight="1">
      <c r="F34" s="1113" t="s">
        <v>410</v>
      </c>
      <c r="G34" s="1120" t="s">
        <v>1058</v>
      </c>
      <c r="H34" s="1119">
        <f t="shared" si="0"/>
        <v>0</v>
      </c>
      <c r="I34" s="1118"/>
      <c r="J34" s="1108"/>
      <c r="K34" s="1117"/>
    </row>
    <row r="35" spans="6:11" ht="11.25" customHeight="1">
      <c r="F35" s="1113">
        <v>4</v>
      </c>
      <c r="G35" s="592" t="s">
        <v>1059</v>
      </c>
      <c r="H35" s="1119">
        <f t="shared" si="0"/>
        <v>0</v>
      </c>
      <c r="I35" s="1118"/>
      <c r="J35" s="1108"/>
      <c r="K35" s="1117"/>
    </row>
    <row r="36" spans="6:11" ht="11.25" customHeight="1">
      <c r="F36" s="1113"/>
      <c r="G36" s="595" t="s">
        <v>1060</v>
      </c>
      <c r="H36" s="1119">
        <f t="shared" si="0"/>
        <v>0</v>
      </c>
      <c r="I36" s="1119">
        <f>SUM(I15,I28,I32,I35)</f>
        <v>0</v>
      </c>
      <c r="J36" s="1108"/>
      <c r="K36" s="1117"/>
    </row>
    <row r="37" spans="6:11" ht="27.75" customHeight="1">
      <c r="F37" s="1114" t="s">
        <v>1061</v>
      </c>
      <c r="G37" s="5494" t="s">
        <v>1062</v>
      </c>
      <c r="H37" s="5494"/>
      <c r="I37" s="5494"/>
      <c r="J37" s="5494"/>
      <c r="K37" s="1117"/>
    </row>
    <row r="38" spans="6:11" ht="22.5" customHeight="1">
      <c r="F38" s="1113" t="s">
        <v>129</v>
      </c>
      <c r="G38" s="592" t="s">
        <v>1063</v>
      </c>
      <c r="H38" s="1119">
        <f t="shared" ref="H38:H58" si="1">SUM(I38:J38)</f>
        <v>0</v>
      </c>
      <c r="I38" s="1119">
        <f>SUM(I39,I44,I47)</f>
        <v>0</v>
      </c>
      <c r="J38" s="1108"/>
      <c r="K38" s="1117"/>
    </row>
    <row r="39" spans="6:11" ht="11.25" customHeight="1">
      <c r="F39" s="1113" t="s">
        <v>1028</v>
      </c>
      <c r="G39" s="1120" t="s">
        <v>1027</v>
      </c>
      <c r="H39" s="1119">
        <f t="shared" si="1"/>
        <v>0</v>
      </c>
      <c r="I39" s="1119">
        <f>SUM(I40:I43)</f>
        <v>0</v>
      </c>
      <c r="J39" s="1108"/>
      <c r="K39" s="1117"/>
    </row>
    <row r="40" spans="6:11" ht="22.5" customHeight="1">
      <c r="F40" s="1113" t="s">
        <v>1064</v>
      </c>
      <c r="G40" s="1121" t="s">
        <v>1065</v>
      </c>
      <c r="H40" s="1119">
        <f t="shared" si="1"/>
        <v>0</v>
      </c>
      <c r="I40" s="1118"/>
      <c r="J40" s="1108"/>
      <c r="K40" s="1117"/>
    </row>
    <row r="41" spans="6:11" ht="11.25" customHeight="1">
      <c r="F41" s="1113" t="s">
        <v>1066</v>
      </c>
      <c r="G41" s="1121" t="s">
        <v>1067</v>
      </c>
      <c r="H41" s="1119">
        <f t="shared" si="1"/>
        <v>0</v>
      </c>
      <c r="I41" s="1118"/>
      <c r="J41" s="1108"/>
      <c r="K41" s="1117"/>
    </row>
    <row r="42" spans="6:11" ht="11.25" customHeight="1">
      <c r="F42" s="1113" t="s">
        <v>1068</v>
      </c>
      <c r="G42" s="1121" t="s">
        <v>1069</v>
      </c>
      <c r="H42" s="1119">
        <f t="shared" si="1"/>
        <v>0</v>
      </c>
      <c r="I42" s="1118"/>
      <c r="J42" s="1108"/>
      <c r="K42" s="1117"/>
    </row>
    <row r="43" spans="6:11" ht="33.75" customHeight="1">
      <c r="F43" s="1113" t="s">
        <v>1070</v>
      </c>
      <c r="G43" s="1121" t="s">
        <v>1071</v>
      </c>
      <c r="H43" s="1119">
        <f t="shared" si="1"/>
        <v>0</v>
      </c>
      <c r="I43" s="1118"/>
      <c r="J43" s="1108"/>
      <c r="K43" s="1117"/>
    </row>
    <row r="44" spans="6:11" ht="11.25" customHeight="1">
      <c r="F44" s="1113" t="s">
        <v>1030</v>
      </c>
      <c r="G44" s="1120" t="s">
        <v>1056</v>
      </c>
      <c r="H44" s="1119">
        <f t="shared" si="1"/>
        <v>0</v>
      </c>
      <c r="I44" s="1119">
        <f>SUM(I45:I46)</f>
        <v>0</v>
      </c>
      <c r="J44" s="1108"/>
      <c r="K44" s="1117"/>
    </row>
    <row r="45" spans="6:11" ht="45" customHeight="1">
      <c r="F45" s="1113" t="s">
        <v>1072</v>
      </c>
      <c r="G45" s="1121" t="s">
        <v>1057</v>
      </c>
      <c r="H45" s="1119">
        <f t="shared" si="1"/>
        <v>0</v>
      </c>
      <c r="I45" s="1118"/>
      <c r="J45" s="1108"/>
      <c r="K45" s="1117"/>
    </row>
    <row r="46" spans="6:11" ht="11.25" customHeight="1">
      <c r="F46" s="1113" t="s">
        <v>1073</v>
      </c>
      <c r="G46" s="1121" t="s">
        <v>1058</v>
      </c>
      <c r="H46" s="1119">
        <f t="shared" si="1"/>
        <v>0</v>
      </c>
      <c r="I46" s="1118"/>
      <c r="J46" s="1108"/>
      <c r="K46" s="1117"/>
    </row>
    <row r="47" spans="6:11" ht="11.25" customHeight="1">
      <c r="F47" s="1113" t="s">
        <v>1032</v>
      </c>
      <c r="G47" s="1120" t="s">
        <v>1074</v>
      </c>
      <c r="H47" s="1119">
        <f t="shared" si="1"/>
        <v>0</v>
      </c>
      <c r="I47" s="1118"/>
      <c r="J47" s="1108"/>
      <c r="K47" s="1117"/>
    </row>
    <row r="48" spans="6:11" ht="22.5" customHeight="1">
      <c r="F48" s="1113" t="s">
        <v>100</v>
      </c>
      <c r="G48" s="592" t="s">
        <v>1075</v>
      </c>
      <c r="H48" s="1119">
        <f t="shared" si="1"/>
        <v>0</v>
      </c>
      <c r="I48" s="1119">
        <f>SUM(I49,I54,I57)</f>
        <v>0</v>
      </c>
      <c r="J48" s="1108"/>
      <c r="K48" s="1117"/>
    </row>
    <row r="49" spans="6:11" ht="11.25" customHeight="1">
      <c r="F49" s="1113" t="s">
        <v>711</v>
      </c>
      <c r="G49" s="1120" t="s">
        <v>1027</v>
      </c>
      <c r="H49" s="1119">
        <f t="shared" si="1"/>
        <v>0</v>
      </c>
      <c r="I49" s="1119">
        <f>SUM(I50:I53)</f>
        <v>0</v>
      </c>
      <c r="J49" s="1108"/>
      <c r="K49" s="1117"/>
    </row>
    <row r="50" spans="6:11" ht="22.5" customHeight="1">
      <c r="F50" s="1113" t="s">
        <v>714</v>
      </c>
      <c r="G50" s="1121" t="s">
        <v>1065</v>
      </c>
      <c r="H50" s="1119">
        <f t="shared" si="1"/>
        <v>0</v>
      </c>
      <c r="I50" s="1118"/>
      <c r="J50" s="1108"/>
      <c r="K50" s="1117"/>
    </row>
    <row r="51" spans="6:11" ht="11.25" customHeight="1">
      <c r="F51" s="1113" t="s">
        <v>717</v>
      </c>
      <c r="G51" s="1121" t="s">
        <v>1067</v>
      </c>
      <c r="H51" s="1119">
        <f t="shared" si="1"/>
        <v>0</v>
      </c>
      <c r="I51" s="1118"/>
      <c r="J51" s="1108"/>
      <c r="K51" s="1117"/>
    </row>
    <row r="52" spans="6:11" ht="11.25" customHeight="1">
      <c r="F52" s="1113" t="s">
        <v>1076</v>
      </c>
      <c r="G52" s="1121" t="s">
        <v>1069</v>
      </c>
      <c r="H52" s="1119">
        <f t="shared" si="1"/>
        <v>0</v>
      </c>
      <c r="I52" s="1118"/>
      <c r="J52" s="1108"/>
      <c r="K52" s="1117"/>
    </row>
    <row r="53" spans="6:11" ht="33.75" customHeight="1">
      <c r="F53" s="1113" t="s">
        <v>1077</v>
      </c>
      <c r="G53" s="1121" t="s">
        <v>1071</v>
      </c>
      <c r="H53" s="1119">
        <f t="shared" si="1"/>
        <v>0</v>
      </c>
      <c r="I53" s="1118"/>
      <c r="J53" s="1108"/>
      <c r="K53" s="1117"/>
    </row>
    <row r="54" spans="6:11" ht="11.25" customHeight="1">
      <c r="F54" s="1113" t="s">
        <v>385</v>
      </c>
      <c r="G54" s="1120" t="s">
        <v>1056</v>
      </c>
      <c r="H54" s="1119">
        <f t="shared" si="1"/>
        <v>0</v>
      </c>
      <c r="I54" s="1119">
        <f>SUM(I55:I56)</f>
        <v>0</v>
      </c>
      <c r="J54" s="1108"/>
      <c r="K54" s="1117"/>
    </row>
    <row r="55" spans="6:11" ht="45" customHeight="1">
      <c r="F55" s="1113" t="s">
        <v>721</v>
      </c>
      <c r="G55" s="1121" t="s">
        <v>1057</v>
      </c>
      <c r="H55" s="1119">
        <f t="shared" si="1"/>
        <v>0</v>
      </c>
      <c r="I55" s="1118"/>
      <c r="J55" s="1108"/>
      <c r="K55" s="1117"/>
    </row>
    <row r="56" spans="6:11" ht="11.25" customHeight="1">
      <c r="F56" s="1113" t="s">
        <v>723</v>
      </c>
      <c r="G56" s="1121" t="s">
        <v>1058</v>
      </c>
      <c r="H56" s="1119">
        <f t="shared" si="1"/>
        <v>0</v>
      </c>
      <c r="I56" s="1118"/>
      <c r="J56" s="1108"/>
      <c r="K56" s="1117"/>
    </row>
    <row r="57" spans="6:11" ht="11.25" customHeight="1">
      <c r="F57" s="1113" t="s">
        <v>388</v>
      </c>
      <c r="G57" s="1120" t="s">
        <v>1074</v>
      </c>
      <c r="H57" s="1119">
        <f t="shared" si="1"/>
        <v>0</v>
      </c>
      <c r="I57" s="1118"/>
      <c r="J57" s="1108"/>
      <c r="K57" s="1117"/>
    </row>
    <row r="58" spans="6:11" ht="11.25" customHeight="1">
      <c r="F58" s="1113"/>
      <c r="G58" s="1122" t="s">
        <v>1060</v>
      </c>
      <c r="H58" s="1119">
        <f t="shared" si="1"/>
        <v>0</v>
      </c>
      <c r="I58" s="1119">
        <f>SUM(I38,I48)</f>
        <v>0</v>
      </c>
      <c r="J58" s="1108"/>
      <c r="K58" s="1117"/>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5141" hidden="1" customWidth="1"/>
    <col min="2" max="2" width="4.7109375" style="5142" hidden="1" customWidth="1"/>
    <col min="3" max="4" width="4.7109375" style="5141" hidden="1" customWidth="1"/>
    <col min="5" max="5" width="3.5703125" style="5141" customWidth="1"/>
    <col min="6" max="6" width="6.7109375" style="5141" customWidth="1"/>
    <col min="7" max="7" width="18.7109375" style="5141" customWidth="1"/>
    <col min="8" max="8" width="27.28515625" style="5141" customWidth="1"/>
    <col min="9" max="9" width="18.7109375" style="5141" customWidth="1"/>
    <col min="10" max="14" width="0.85546875" style="5141" hidden="1" customWidth="1"/>
    <col min="15" max="28" width="21.7109375" style="5141" hidden="1" customWidth="1"/>
    <col min="29" max="71" width="0.85546875" style="5141" hidden="1" customWidth="1"/>
    <col min="72" max="79" width="21.7109375" style="5141" customWidth="1"/>
    <col min="80" max="81" width="29.140625" style="5141" customWidth="1"/>
    <col min="82" max="89" width="21.7109375" style="5141" customWidth="1"/>
    <col min="90" max="102" width="0.7109375" style="5141" customWidth="1"/>
    <col min="103" max="114" width="21.7109375" style="5141" hidden="1" customWidth="1"/>
    <col min="115" max="178" width="0.7109375" style="5141" hidden="1" customWidth="1"/>
    <col min="179" max="179" width="0.140625" style="5141" customWidth="1"/>
    <col min="180" max="184" width="9.140625" style="5141"/>
  </cols>
  <sheetData>
    <row r="1" spans="2:180" s="5134" customFormat="1" ht="12" hidden="1" customHeight="1">
      <c r="B1" s="817"/>
      <c r="C1" s="818"/>
      <c r="D1" s="818"/>
    </row>
    <row r="2" spans="2:180" s="5134" customFormat="1" ht="12" hidden="1" customHeight="1">
      <c r="B2" s="817"/>
      <c r="C2" s="818"/>
      <c r="D2" s="818"/>
      <c r="E2" s="818"/>
      <c r="F2" s="818"/>
      <c r="G2" s="818"/>
      <c r="H2" s="818"/>
      <c r="I2" s="818"/>
      <c r="J2" s="818"/>
      <c r="K2" s="818"/>
      <c r="L2" s="818"/>
      <c r="M2" s="818"/>
      <c r="N2" s="818"/>
      <c r="O2" s="818"/>
      <c r="P2" s="818"/>
      <c r="Q2" s="818"/>
      <c r="R2" s="818"/>
      <c r="S2" s="818"/>
      <c r="T2" s="818"/>
      <c r="U2" s="818"/>
      <c r="V2" s="818"/>
      <c r="W2" s="818"/>
      <c r="X2" s="818"/>
      <c r="Y2" s="818"/>
      <c r="Z2" s="818"/>
      <c r="AA2" s="818"/>
      <c r="AB2" s="819"/>
      <c r="AC2" s="818"/>
      <c r="AD2" s="818"/>
      <c r="AE2" s="818"/>
      <c r="AF2" s="818"/>
      <c r="AG2" s="818"/>
      <c r="AH2" s="818"/>
      <c r="AI2" s="818"/>
      <c r="AJ2" s="818"/>
      <c r="AK2" s="818"/>
      <c r="AL2" s="818"/>
      <c r="AM2" s="818"/>
      <c r="AN2" s="818"/>
      <c r="AO2" s="818"/>
      <c r="AP2" s="818"/>
      <c r="AQ2" s="818"/>
      <c r="AR2" s="818"/>
      <c r="AS2" s="818"/>
      <c r="AT2" s="818"/>
      <c r="AU2" s="818"/>
      <c r="AV2" s="818"/>
      <c r="AW2" s="818"/>
      <c r="AX2" s="818"/>
      <c r="AY2" s="818"/>
      <c r="AZ2" s="818"/>
      <c r="BA2" s="818"/>
      <c r="BB2" s="818"/>
      <c r="BC2" s="818"/>
      <c r="BD2" s="818"/>
      <c r="BE2" s="818"/>
      <c r="BF2" s="818"/>
      <c r="BG2" s="818"/>
      <c r="BH2" s="818"/>
      <c r="BI2" s="818"/>
      <c r="BJ2" s="818"/>
      <c r="BK2" s="818"/>
      <c r="BL2" s="818"/>
      <c r="BM2" s="818"/>
      <c r="BN2" s="818"/>
      <c r="BO2" s="818"/>
      <c r="BP2" s="818"/>
      <c r="BQ2" s="818"/>
      <c r="BR2" s="818"/>
      <c r="BS2" s="818"/>
      <c r="BT2" s="818"/>
      <c r="BU2" s="818"/>
      <c r="BV2" s="818"/>
      <c r="BW2" s="818"/>
      <c r="BX2" s="818"/>
      <c r="BY2" s="818"/>
      <c r="BZ2" s="818"/>
      <c r="CA2" s="818"/>
      <c r="CB2" s="818"/>
      <c r="CC2" s="818"/>
      <c r="CD2" s="818"/>
      <c r="CE2" s="818"/>
      <c r="CF2" s="818"/>
      <c r="CG2" s="818"/>
      <c r="CH2" s="818"/>
      <c r="CI2" s="818"/>
      <c r="CJ2" s="818"/>
      <c r="CK2" s="818"/>
      <c r="CL2" s="818"/>
      <c r="CM2" s="818"/>
      <c r="CN2" s="818"/>
      <c r="CO2" s="818"/>
      <c r="CP2" s="818"/>
      <c r="CQ2" s="818"/>
      <c r="CR2" s="818"/>
      <c r="CS2" s="818"/>
      <c r="CT2" s="818"/>
      <c r="CU2" s="818"/>
      <c r="CV2" s="818"/>
      <c r="CW2" s="818"/>
      <c r="CX2" s="818"/>
      <c r="CY2" s="818"/>
      <c r="CZ2" s="818"/>
      <c r="DA2" s="818"/>
      <c r="DB2" s="818"/>
      <c r="DC2" s="818"/>
      <c r="DD2" s="818"/>
      <c r="DE2" s="818"/>
      <c r="DF2" s="818"/>
      <c r="DG2" s="818"/>
      <c r="DH2" s="818"/>
      <c r="DI2" s="818"/>
      <c r="DJ2" s="818"/>
      <c r="DK2" s="818"/>
      <c r="DL2" s="818"/>
      <c r="DM2" s="818"/>
      <c r="DN2" s="818"/>
      <c r="DO2" s="818"/>
      <c r="DP2" s="818"/>
      <c r="DQ2" s="818"/>
      <c r="DR2" s="818"/>
      <c r="DS2" s="818"/>
      <c r="DT2" s="818"/>
      <c r="DU2" s="818"/>
      <c r="DV2" s="818"/>
      <c r="DW2" s="818"/>
      <c r="DX2" s="818"/>
      <c r="DY2" s="818"/>
      <c r="DZ2" s="818"/>
      <c r="EA2" s="818"/>
      <c r="EB2" s="818"/>
      <c r="EC2" s="818"/>
      <c r="ED2" s="818"/>
      <c r="EE2" s="818"/>
      <c r="EF2" s="818"/>
      <c r="EG2" s="818"/>
      <c r="EH2" s="818"/>
      <c r="EI2" s="818"/>
      <c r="EJ2" s="818"/>
      <c r="EK2" s="818"/>
      <c r="EL2" s="818"/>
      <c r="EM2" s="818"/>
      <c r="EN2" s="818"/>
      <c r="EO2" s="818"/>
      <c r="EP2" s="818"/>
      <c r="EQ2" s="818"/>
      <c r="ER2" s="818"/>
      <c r="ES2" s="818"/>
      <c r="ET2" s="818"/>
      <c r="EU2" s="818"/>
      <c r="EV2" s="818"/>
      <c r="EW2" s="818"/>
      <c r="EX2" s="818"/>
      <c r="EY2" s="818"/>
      <c r="EZ2" s="818"/>
      <c r="FA2" s="818"/>
      <c r="FB2" s="818"/>
      <c r="FC2" s="818"/>
      <c r="FD2" s="818"/>
      <c r="FE2" s="818"/>
      <c r="FF2" s="818"/>
      <c r="FG2" s="818"/>
      <c r="FH2" s="818"/>
      <c r="FI2" s="818"/>
      <c r="FJ2" s="818"/>
      <c r="FK2" s="818"/>
      <c r="FL2" s="818"/>
      <c r="FM2" s="818"/>
      <c r="FN2" s="818"/>
      <c r="FO2" s="818"/>
      <c r="FP2" s="818"/>
      <c r="FQ2" s="818"/>
      <c r="FR2" s="818"/>
      <c r="FS2" s="818"/>
      <c r="FT2" s="818"/>
      <c r="FU2" s="818"/>
      <c r="FV2" s="818"/>
      <c r="FW2" s="818"/>
    </row>
    <row r="3" spans="2:180" s="5134" customFormat="1" ht="12" hidden="1" customHeight="1">
      <c r="B3" s="817"/>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9"/>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8"/>
      <c r="BG3" s="818"/>
      <c r="BH3" s="818"/>
      <c r="BI3" s="818"/>
      <c r="BJ3" s="818"/>
      <c r="BK3" s="818"/>
      <c r="BL3" s="818"/>
      <c r="BM3" s="818"/>
      <c r="BN3" s="818"/>
      <c r="BO3" s="818"/>
      <c r="BP3" s="818"/>
      <c r="BQ3" s="818"/>
      <c r="BR3" s="818"/>
      <c r="BS3" s="818"/>
      <c r="BT3" s="818"/>
      <c r="BU3" s="818"/>
      <c r="BV3" s="818"/>
      <c r="BW3" s="818"/>
      <c r="BX3" s="818"/>
      <c r="BY3" s="818"/>
      <c r="BZ3" s="818"/>
      <c r="CA3" s="818"/>
      <c r="CB3" s="818"/>
      <c r="CC3" s="818"/>
      <c r="CD3" s="818"/>
      <c r="CE3" s="818"/>
      <c r="CF3" s="818"/>
      <c r="CG3" s="818"/>
      <c r="CH3" s="818"/>
      <c r="CI3" s="818"/>
      <c r="CJ3" s="818"/>
      <c r="CK3" s="818"/>
      <c r="CL3" s="818"/>
      <c r="CM3" s="818"/>
      <c r="CN3" s="818"/>
      <c r="CO3" s="818"/>
      <c r="CP3" s="818"/>
      <c r="CQ3" s="818"/>
      <c r="CR3" s="818"/>
      <c r="CS3" s="818"/>
      <c r="CT3" s="818"/>
      <c r="CU3" s="818"/>
      <c r="CV3" s="818"/>
      <c r="CW3" s="818"/>
      <c r="CX3" s="818"/>
      <c r="CY3" s="818"/>
      <c r="CZ3" s="818"/>
      <c r="DA3" s="818"/>
      <c r="DB3" s="818"/>
      <c r="DC3" s="818"/>
      <c r="DD3" s="818"/>
      <c r="DE3" s="818"/>
      <c r="DF3" s="818"/>
      <c r="DG3" s="818"/>
      <c r="DH3" s="818"/>
      <c r="DI3" s="818"/>
      <c r="DJ3" s="818"/>
      <c r="DK3" s="818"/>
      <c r="DL3" s="818"/>
      <c r="DM3" s="818"/>
      <c r="DN3" s="818"/>
      <c r="DO3" s="818"/>
      <c r="DP3" s="818"/>
      <c r="DQ3" s="818"/>
      <c r="DR3" s="818"/>
      <c r="DS3" s="818"/>
      <c r="DT3" s="818"/>
      <c r="DU3" s="818"/>
      <c r="DV3" s="818"/>
      <c r="DW3" s="818"/>
      <c r="DX3" s="818"/>
      <c r="DY3" s="818"/>
      <c r="DZ3" s="818"/>
      <c r="EA3" s="818"/>
      <c r="EB3" s="818"/>
      <c r="EC3" s="818"/>
      <c r="ED3" s="818"/>
      <c r="EE3" s="818"/>
      <c r="EF3" s="818"/>
      <c r="EG3" s="818"/>
      <c r="EH3" s="818"/>
      <c r="EI3" s="818"/>
      <c r="EJ3" s="818"/>
      <c r="EK3" s="818"/>
      <c r="EL3" s="818"/>
      <c r="EM3" s="818"/>
      <c r="EN3" s="818"/>
      <c r="EO3" s="818"/>
      <c r="EP3" s="818"/>
      <c r="EQ3" s="818"/>
      <c r="ER3" s="818"/>
      <c r="ES3" s="818"/>
      <c r="ET3" s="818"/>
      <c r="EU3" s="818"/>
      <c r="EV3" s="818"/>
      <c r="EW3" s="818"/>
      <c r="EX3" s="818"/>
      <c r="EY3" s="818"/>
      <c r="EZ3" s="818"/>
      <c r="FA3" s="818"/>
      <c r="FB3" s="818"/>
      <c r="FC3" s="818"/>
      <c r="FD3" s="818"/>
      <c r="FE3" s="818"/>
      <c r="FF3" s="818"/>
      <c r="FG3" s="818"/>
      <c r="FH3" s="818"/>
      <c r="FI3" s="818"/>
      <c r="FJ3" s="818"/>
      <c r="FK3" s="818"/>
      <c r="FL3" s="818"/>
      <c r="FM3" s="818"/>
      <c r="FN3" s="818"/>
      <c r="FO3" s="818"/>
      <c r="FP3" s="818"/>
      <c r="FQ3" s="818"/>
      <c r="FR3" s="818"/>
      <c r="FS3" s="818"/>
      <c r="FT3" s="818"/>
      <c r="FU3" s="818"/>
      <c r="FV3" s="818"/>
      <c r="FW3" s="818"/>
    </row>
    <row r="4" spans="2:180" ht="10.5" customHeight="1">
      <c r="B4" s="820"/>
      <c r="C4" s="821"/>
      <c r="D4" s="821"/>
      <c r="E4" s="821"/>
      <c r="F4" s="821"/>
      <c r="G4" s="821"/>
      <c r="H4" s="822"/>
      <c r="I4" s="822"/>
      <c r="J4" s="822"/>
      <c r="K4" s="822"/>
      <c r="L4" s="822"/>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823"/>
      <c r="AS4" s="823"/>
      <c r="AT4" s="823"/>
      <c r="AU4" s="823"/>
      <c r="AV4" s="823"/>
      <c r="AW4" s="823"/>
      <c r="AX4" s="823"/>
      <c r="AY4" s="823"/>
      <c r="AZ4" s="823"/>
      <c r="BA4" s="823"/>
      <c r="BB4" s="823"/>
      <c r="BC4" s="823"/>
      <c r="BD4" s="823"/>
      <c r="BE4" s="823"/>
      <c r="BF4" s="823"/>
      <c r="BG4" s="823"/>
      <c r="BH4" s="823"/>
      <c r="BI4" s="823"/>
      <c r="BJ4" s="823"/>
      <c r="BK4" s="823"/>
      <c r="BL4" s="823"/>
      <c r="BM4" s="823"/>
      <c r="BN4" s="823"/>
      <c r="BO4" s="823"/>
      <c r="BP4" s="823"/>
      <c r="BQ4" s="823"/>
      <c r="BR4" s="823"/>
      <c r="BS4" s="823"/>
      <c r="BT4" s="823"/>
      <c r="BU4" s="823"/>
      <c r="BV4" s="823"/>
      <c r="BW4" s="823"/>
      <c r="BX4" s="823"/>
      <c r="BY4" s="823"/>
      <c r="BZ4" s="823"/>
      <c r="CA4" s="823"/>
      <c r="CB4" s="823"/>
      <c r="CC4" s="823"/>
      <c r="CD4" s="823"/>
      <c r="CE4" s="823"/>
      <c r="CF4" s="823"/>
      <c r="CG4" s="823"/>
      <c r="CH4" s="823"/>
      <c r="CI4" s="823"/>
      <c r="CJ4" s="823"/>
      <c r="CK4" s="823"/>
      <c r="CL4" s="823"/>
      <c r="CM4" s="823"/>
      <c r="CN4" s="823"/>
      <c r="CO4" s="823"/>
      <c r="CP4" s="823"/>
      <c r="CQ4" s="823"/>
      <c r="CR4" s="823"/>
      <c r="CS4" s="823"/>
      <c r="CT4" s="823"/>
      <c r="CU4" s="823"/>
      <c r="CV4" s="823"/>
      <c r="CW4" s="823"/>
      <c r="CX4" s="823"/>
      <c r="CY4" s="823"/>
      <c r="CZ4" s="823"/>
      <c r="DA4" s="823"/>
      <c r="DB4" s="823"/>
      <c r="DC4" s="823"/>
      <c r="DD4" s="823"/>
      <c r="DE4" s="823"/>
      <c r="DF4" s="823"/>
      <c r="DG4" s="823"/>
      <c r="DH4" s="823"/>
      <c r="DI4" s="823"/>
      <c r="DJ4" s="823"/>
      <c r="DK4" s="823"/>
      <c r="DL4" s="823"/>
      <c r="DM4" s="823"/>
      <c r="DN4" s="823"/>
      <c r="DO4" s="823"/>
      <c r="DP4" s="823"/>
      <c r="DQ4" s="823"/>
      <c r="DR4" s="823"/>
      <c r="DS4" s="823"/>
      <c r="DT4" s="823"/>
      <c r="DU4" s="823"/>
      <c r="DV4" s="823"/>
      <c r="DW4" s="823"/>
      <c r="DX4" s="823"/>
      <c r="DY4" s="823"/>
      <c r="DZ4" s="823"/>
      <c r="EA4" s="823"/>
      <c r="EB4" s="823"/>
      <c r="EC4" s="823"/>
      <c r="ED4" s="823"/>
      <c r="EE4" s="823"/>
      <c r="EF4" s="823"/>
      <c r="EG4" s="823"/>
      <c r="EH4" s="823"/>
      <c r="EI4" s="823"/>
      <c r="EJ4" s="823"/>
      <c r="EK4" s="823"/>
      <c r="EL4" s="823"/>
      <c r="EM4" s="823"/>
      <c r="EN4" s="823"/>
      <c r="EO4" s="823"/>
      <c r="EP4" s="823"/>
      <c r="EQ4" s="823"/>
      <c r="ER4" s="823"/>
      <c r="ES4" s="823"/>
      <c r="ET4" s="823"/>
      <c r="EU4" s="823"/>
      <c r="EV4" s="823"/>
      <c r="EW4" s="823"/>
      <c r="EX4" s="823"/>
      <c r="EY4" s="823"/>
      <c r="EZ4" s="823"/>
      <c r="FA4" s="823"/>
      <c r="FB4" s="823"/>
      <c r="FC4" s="823"/>
      <c r="FD4" s="823"/>
      <c r="FE4" s="823"/>
      <c r="FF4" s="823"/>
      <c r="FG4" s="823"/>
      <c r="FH4" s="823"/>
      <c r="FI4" s="823"/>
      <c r="FJ4" s="823"/>
      <c r="FK4" s="823"/>
      <c r="FL4" s="823"/>
      <c r="FM4" s="823"/>
      <c r="FN4" s="823"/>
      <c r="FO4" s="823"/>
      <c r="FP4" s="823"/>
      <c r="FQ4" s="823"/>
      <c r="FR4" s="823"/>
      <c r="FS4" s="823"/>
      <c r="FT4" s="823"/>
      <c r="FU4" s="823"/>
      <c r="FV4" s="823"/>
      <c r="FW4" s="823"/>
    </row>
    <row r="5" spans="2:180" s="5135" customFormat="1" ht="25.5" customHeight="1">
      <c r="B5" s="1734"/>
      <c r="E5" s="1735"/>
      <c r="F5" s="5502"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 на  год</v>
      </c>
      <c r="G5" s="5284"/>
      <c r="H5" s="5284"/>
      <c r="I5" s="5284"/>
      <c r="J5" s="5284"/>
      <c r="K5" s="5284"/>
      <c r="L5" s="5284"/>
      <c r="M5" s="5284"/>
      <c r="N5" s="5284"/>
      <c r="O5" s="5284"/>
      <c r="P5" s="5284"/>
      <c r="Q5" s="5284"/>
      <c r="R5" s="5284"/>
      <c r="S5" s="5284"/>
      <c r="T5" s="5284"/>
      <c r="U5" s="5284"/>
      <c r="V5" s="5284"/>
      <c r="W5" s="5284"/>
      <c r="X5" s="5284"/>
      <c r="Y5" s="5284"/>
      <c r="Z5" s="5284"/>
      <c r="AA5" s="5284"/>
      <c r="AB5" s="5284"/>
      <c r="AC5" s="5284"/>
      <c r="AD5" s="5284"/>
      <c r="AE5" s="5284"/>
      <c r="AF5" s="5284"/>
      <c r="AG5" s="5284"/>
      <c r="AH5" s="5284"/>
      <c r="AI5" s="5284"/>
      <c r="AJ5" s="5284"/>
      <c r="AK5" s="5284"/>
      <c r="AL5" s="5284"/>
      <c r="AM5" s="5284"/>
      <c r="AN5" s="5284"/>
      <c r="AO5" s="5284"/>
      <c r="AP5" s="5284"/>
      <c r="AQ5" s="5284"/>
      <c r="AR5" s="5284"/>
      <c r="AS5" s="5284"/>
      <c r="AT5" s="5284"/>
      <c r="AU5" s="5284"/>
      <c r="AV5" s="5284"/>
      <c r="AW5" s="5284"/>
      <c r="AX5" s="5284"/>
      <c r="AY5" s="5284"/>
      <c r="AZ5" s="5284"/>
      <c r="BA5" s="5284"/>
      <c r="BB5" s="5284"/>
      <c r="BC5" s="5284"/>
      <c r="BD5" s="5284"/>
      <c r="BE5" s="5284"/>
      <c r="BF5" s="5284"/>
      <c r="BG5" s="5284"/>
      <c r="BH5" s="5284"/>
      <c r="BI5" s="5284"/>
      <c r="BJ5" s="5284"/>
      <c r="BK5" s="5284"/>
      <c r="BL5" s="5284"/>
      <c r="BM5" s="5284"/>
      <c r="BN5" s="5284"/>
      <c r="BO5" s="5284"/>
      <c r="BP5" s="5284"/>
      <c r="BQ5" s="5284"/>
      <c r="BR5" s="5284"/>
      <c r="BS5" s="5284"/>
    </row>
    <row r="6" spans="2:180" s="5136" customFormat="1" ht="18" customHeight="1">
      <c r="B6" s="835"/>
      <c r="E6" s="836"/>
      <c r="F6" s="5341" t="str">
        <f>IF(org=0,"Не определено",org)</f>
        <v>ООО «Газпром теплоэнерго МО»</v>
      </c>
      <c r="G6" s="5342"/>
      <c r="H6" s="5342"/>
      <c r="I6" s="5342"/>
      <c r="J6" s="5342"/>
      <c r="K6" s="5342"/>
      <c r="L6" s="5342"/>
      <c r="M6" s="5342"/>
      <c r="N6" s="5342"/>
      <c r="O6" s="5342"/>
      <c r="P6" s="5342"/>
      <c r="Q6" s="5342"/>
      <c r="R6" s="5342"/>
      <c r="S6" s="5342"/>
      <c r="T6" s="5342"/>
      <c r="U6" s="5342"/>
      <c r="V6" s="5342"/>
      <c r="W6" s="5342"/>
      <c r="X6" s="5342"/>
      <c r="Y6" s="5342"/>
      <c r="Z6" s="5342"/>
      <c r="AA6" s="5342"/>
      <c r="AB6" s="5342"/>
      <c r="AC6" s="5342"/>
      <c r="AD6" s="5342"/>
      <c r="AE6" s="5342"/>
      <c r="AF6" s="5342"/>
      <c r="AG6" s="5342"/>
      <c r="AH6" s="5342"/>
      <c r="AI6" s="5342"/>
      <c r="AJ6" s="5342"/>
      <c r="AK6" s="5342"/>
      <c r="AL6" s="5342"/>
      <c r="AM6" s="5342"/>
      <c r="AN6" s="5342"/>
      <c r="AO6" s="5342"/>
      <c r="AP6" s="5342"/>
      <c r="AQ6" s="5342"/>
      <c r="AR6" s="5342"/>
      <c r="AS6" s="5342"/>
      <c r="AT6" s="5342"/>
      <c r="AU6" s="5342"/>
      <c r="AV6" s="5342"/>
      <c r="AW6" s="5342"/>
      <c r="AX6" s="5342"/>
      <c r="AY6" s="5342"/>
      <c r="AZ6" s="5342"/>
      <c r="BA6" s="5342"/>
      <c r="BB6" s="5342"/>
      <c r="BC6" s="5342"/>
      <c r="BD6" s="5342"/>
      <c r="BE6" s="5342"/>
      <c r="BF6" s="5342"/>
      <c r="BG6" s="5342"/>
      <c r="BH6" s="5342"/>
      <c r="BI6" s="5342"/>
      <c r="BJ6" s="5342"/>
      <c r="BK6" s="5342"/>
      <c r="BL6" s="5342"/>
      <c r="BM6" s="5342"/>
      <c r="BN6" s="5342"/>
      <c r="BO6" s="5342"/>
      <c r="BP6" s="5342"/>
      <c r="BQ6" s="5342"/>
      <c r="BR6" s="5342"/>
      <c r="BS6" s="5342"/>
    </row>
    <row r="7" spans="2:180" s="5137" customFormat="1" ht="10.5" customHeight="1">
      <c r="B7" s="824"/>
      <c r="E7" s="825"/>
      <c r="F7" s="825"/>
      <c r="G7" s="827"/>
      <c r="H7" s="822"/>
      <c r="I7" s="822"/>
      <c r="J7" s="822"/>
      <c r="K7" s="822"/>
      <c r="L7" s="822"/>
      <c r="M7" s="825"/>
      <c r="N7" s="825"/>
      <c r="O7" s="825"/>
      <c r="P7" s="825"/>
      <c r="Q7" s="825"/>
      <c r="R7" s="825"/>
      <c r="S7" s="825"/>
      <c r="T7" s="825"/>
      <c r="U7" s="825"/>
      <c r="V7" s="825"/>
      <c r="W7" s="825"/>
      <c r="X7" s="825"/>
      <c r="Y7" s="825"/>
      <c r="Z7" s="825"/>
      <c r="AA7" s="825"/>
      <c r="AB7" s="825"/>
      <c r="AC7" s="825"/>
      <c r="AD7" s="825"/>
      <c r="AE7" s="825"/>
      <c r="AF7" s="825"/>
      <c r="AG7" s="825"/>
      <c r="AH7" s="825"/>
      <c r="AI7" s="825"/>
      <c r="AJ7" s="825"/>
      <c r="AK7" s="825"/>
      <c r="AL7" s="825"/>
      <c r="AM7" s="825"/>
      <c r="AN7" s="825"/>
      <c r="AO7" s="825"/>
      <c r="AP7" s="825"/>
      <c r="AQ7" s="825"/>
      <c r="AR7" s="825"/>
      <c r="AS7" s="825"/>
      <c r="AT7" s="825"/>
      <c r="AU7" s="825"/>
      <c r="AV7" s="825"/>
      <c r="AW7" s="825"/>
      <c r="AX7" s="825"/>
      <c r="AY7" s="825"/>
      <c r="AZ7" s="825"/>
      <c r="BA7" s="825"/>
      <c r="BB7" s="825"/>
      <c r="BC7" s="825"/>
      <c r="BD7" s="825"/>
      <c r="BE7" s="825"/>
      <c r="BF7" s="825"/>
      <c r="BG7" s="825"/>
      <c r="BH7" s="825"/>
      <c r="BI7" s="825"/>
      <c r="BJ7" s="825"/>
      <c r="BK7" s="825"/>
      <c r="BL7" s="825"/>
      <c r="BM7" s="825"/>
      <c r="BN7" s="825"/>
      <c r="BO7" s="825"/>
      <c r="BP7" s="825"/>
      <c r="BQ7" s="825"/>
      <c r="BR7" s="825"/>
      <c r="BS7" s="825"/>
      <c r="BT7" s="825"/>
      <c r="BU7" s="825"/>
      <c r="BV7" s="825"/>
      <c r="BW7" s="825"/>
      <c r="BX7" s="825"/>
      <c r="BY7" s="825"/>
      <c r="BZ7" s="825"/>
      <c r="CA7" s="825"/>
      <c r="CB7" s="825"/>
      <c r="CC7" s="825"/>
      <c r="CD7" s="825"/>
      <c r="CE7" s="825"/>
      <c r="CF7" s="825"/>
      <c r="CG7" s="825"/>
      <c r="CH7" s="825"/>
      <c r="CI7" s="825"/>
      <c r="CJ7" s="825"/>
      <c r="CK7" s="825"/>
      <c r="CL7" s="825"/>
      <c r="CM7" s="825"/>
      <c r="CN7" s="825"/>
      <c r="CO7" s="825"/>
      <c r="CP7" s="825"/>
      <c r="CQ7" s="825"/>
      <c r="CR7" s="825"/>
      <c r="CS7" s="825"/>
      <c r="CT7" s="825"/>
      <c r="CU7" s="825"/>
      <c r="CV7" s="825"/>
      <c r="CW7" s="825"/>
      <c r="CX7" s="825"/>
      <c r="CY7" s="825"/>
      <c r="CZ7" s="825"/>
      <c r="DA7" s="825"/>
      <c r="DB7" s="825"/>
      <c r="DC7" s="825"/>
      <c r="DD7" s="825"/>
      <c r="DE7" s="825"/>
      <c r="DF7" s="825"/>
      <c r="DG7" s="825"/>
      <c r="DH7" s="825"/>
      <c r="DI7" s="825"/>
      <c r="DJ7" s="825"/>
      <c r="DK7" s="825"/>
      <c r="DL7" s="825"/>
      <c r="DM7" s="825"/>
      <c r="DN7" s="825"/>
      <c r="DO7" s="825"/>
      <c r="DP7" s="825"/>
      <c r="DQ7" s="825"/>
      <c r="DR7" s="825"/>
      <c r="DS7" s="825"/>
      <c r="DT7" s="825"/>
      <c r="DU7" s="825"/>
      <c r="DV7" s="825"/>
      <c r="DW7" s="825"/>
      <c r="DX7" s="825"/>
      <c r="DY7" s="825"/>
      <c r="DZ7" s="825"/>
      <c r="EA7" s="825"/>
      <c r="EB7" s="825"/>
      <c r="EC7" s="825"/>
      <c r="ED7" s="825"/>
      <c r="EE7" s="825"/>
      <c r="EF7" s="825"/>
      <c r="EG7" s="825"/>
      <c r="EH7" s="825"/>
      <c r="EI7" s="825"/>
      <c r="EJ7" s="825"/>
      <c r="EK7" s="825"/>
      <c r="EL7" s="825"/>
      <c r="EM7" s="825"/>
      <c r="EN7" s="825"/>
      <c r="EO7" s="825"/>
      <c r="EP7" s="825"/>
      <c r="EQ7" s="825"/>
      <c r="ER7" s="825"/>
      <c r="ES7" s="825"/>
      <c r="ET7" s="825"/>
      <c r="EU7" s="825"/>
      <c r="EV7" s="825"/>
      <c r="EW7" s="825"/>
      <c r="EX7" s="825"/>
      <c r="EY7" s="825"/>
      <c r="EZ7" s="825"/>
      <c r="FA7" s="825"/>
      <c r="FB7" s="825"/>
      <c r="FC7" s="825"/>
      <c r="FD7" s="825"/>
      <c r="FE7" s="825"/>
      <c r="FF7" s="825"/>
      <c r="FG7" s="825"/>
      <c r="FH7" s="825"/>
      <c r="FI7" s="825"/>
      <c r="FJ7" s="825"/>
      <c r="FK7" s="825"/>
      <c r="FL7" s="825"/>
      <c r="FM7" s="825"/>
      <c r="FN7" s="825"/>
      <c r="FO7" s="825"/>
      <c r="FP7" s="825"/>
      <c r="FQ7" s="825"/>
      <c r="FR7" s="825"/>
      <c r="FS7" s="825"/>
      <c r="FT7" s="825"/>
      <c r="FU7" s="825"/>
      <c r="FV7" s="825"/>
      <c r="FW7" s="825"/>
    </row>
    <row r="8" spans="2:180" s="5138" customFormat="1" ht="11.25" hidden="1" customHeight="1">
      <c r="B8" s="826"/>
      <c r="F8" s="945"/>
      <c r="G8" s="662"/>
      <c r="H8" s="277"/>
      <c r="I8" s="277"/>
      <c r="J8" s="277"/>
      <c r="K8" s="277"/>
      <c r="L8" s="277"/>
      <c r="M8" s="945"/>
      <c r="N8" s="945"/>
      <c r="O8" s="5520" t="s">
        <v>1078</v>
      </c>
      <c r="P8" s="5521"/>
      <c r="Q8" s="5521"/>
      <c r="R8" s="5521"/>
      <c r="S8" s="5521"/>
      <c r="T8" s="5521"/>
      <c r="U8" s="5521"/>
      <c r="V8" s="5521"/>
      <c r="W8" s="5521"/>
      <c r="X8" s="5521"/>
      <c r="Y8" s="5521"/>
      <c r="Z8" s="5521"/>
      <c r="AA8" s="5521"/>
      <c r="AB8" s="5521"/>
      <c r="AC8" s="5521"/>
      <c r="AD8" s="5521"/>
      <c r="AE8" s="5521"/>
      <c r="AF8" s="5521"/>
      <c r="AG8" s="5521"/>
      <c r="AH8" s="5521"/>
      <c r="AI8" s="5521"/>
      <c r="AJ8" s="5521"/>
      <c r="AK8" s="5521"/>
      <c r="AL8" s="5521"/>
      <c r="AM8" s="5521"/>
      <c r="AN8" s="5521"/>
      <c r="AO8" s="5521"/>
      <c r="AP8" s="5521"/>
      <c r="AQ8" s="5521"/>
      <c r="AR8" s="5521"/>
      <c r="AS8" s="5521"/>
      <c r="AT8" s="5521"/>
      <c r="AU8" s="5521"/>
      <c r="AV8" s="5521"/>
      <c r="AW8" s="5521"/>
      <c r="AX8" s="5521"/>
      <c r="AY8" s="5521"/>
      <c r="AZ8" s="5521"/>
      <c r="BA8" s="5521"/>
      <c r="BB8" s="5521"/>
      <c r="BC8" s="5521"/>
      <c r="BD8" s="5521"/>
      <c r="BE8" s="5521"/>
      <c r="BF8" s="5521"/>
      <c r="BG8" s="5521"/>
      <c r="BH8" s="5521"/>
      <c r="BI8" s="5521"/>
      <c r="BJ8" s="5521"/>
      <c r="BK8" s="5521"/>
      <c r="BL8" s="5521"/>
      <c r="BM8" s="5521"/>
      <c r="BN8" s="5521"/>
      <c r="BO8" s="5521"/>
      <c r="BP8" s="5521"/>
      <c r="BQ8" s="5521"/>
      <c r="BR8" s="5521"/>
      <c r="BS8" s="5522"/>
      <c r="BT8" s="5509"/>
      <c r="BU8" s="5510"/>
      <c r="BV8" s="5510"/>
      <c r="BW8" s="5510"/>
      <c r="BX8" s="5510"/>
      <c r="BY8" s="5510"/>
      <c r="BZ8" s="5510"/>
      <c r="CA8" s="5510"/>
      <c r="CB8" s="5510"/>
      <c r="CC8" s="5510"/>
      <c r="CD8" s="5510"/>
      <c r="CE8" s="5510"/>
      <c r="CF8" s="5510"/>
      <c r="CG8" s="5510"/>
      <c r="CH8" s="5510"/>
      <c r="CI8" s="5510"/>
      <c r="CJ8" s="5510"/>
      <c r="CK8" s="5510"/>
      <c r="CL8" s="5510"/>
      <c r="CM8" s="5510"/>
      <c r="CN8" s="5510"/>
      <c r="CO8" s="5510"/>
      <c r="CP8" s="5510"/>
      <c r="CQ8" s="5510"/>
      <c r="CR8" s="5510"/>
      <c r="CS8" s="5510"/>
      <c r="CT8" s="5510"/>
      <c r="CU8" s="5510"/>
      <c r="CV8" s="5510"/>
      <c r="CW8" s="5510"/>
      <c r="CX8" s="5511"/>
      <c r="CY8" s="5512"/>
      <c r="CZ8" s="5513"/>
      <c r="DA8" s="5513"/>
      <c r="DB8" s="5513"/>
      <c r="DC8" s="5513"/>
      <c r="DD8" s="5513"/>
      <c r="DE8" s="5513"/>
      <c r="DF8" s="5513"/>
      <c r="DG8" s="5513"/>
      <c r="DH8" s="5513"/>
      <c r="DI8" s="5513"/>
      <c r="DJ8" s="5513"/>
      <c r="DK8" s="5513"/>
      <c r="DL8" s="5513"/>
      <c r="DM8" s="5513"/>
      <c r="DN8" s="5513"/>
      <c r="DO8" s="5513"/>
      <c r="DP8" s="5513"/>
      <c r="DQ8" s="5513"/>
      <c r="DR8" s="5513"/>
      <c r="DS8" s="5513"/>
      <c r="DT8" s="5513"/>
      <c r="DU8" s="5513"/>
      <c r="DV8" s="5513"/>
      <c r="DW8" s="5513"/>
      <c r="DX8" s="5514"/>
      <c r="DY8" s="5515" t="s">
        <v>1079</v>
      </c>
      <c r="DZ8" s="5516"/>
      <c r="EA8" s="5516"/>
      <c r="EB8" s="5516"/>
      <c r="EC8" s="5516"/>
      <c r="ED8" s="5516"/>
      <c r="EE8" s="5516"/>
      <c r="EF8" s="5516"/>
      <c r="EG8" s="5516"/>
      <c r="EH8" s="5516"/>
      <c r="EI8" s="5516"/>
      <c r="EJ8" s="5516"/>
      <c r="EK8" s="5516"/>
      <c r="EL8" s="5516"/>
      <c r="EM8" s="5516"/>
      <c r="EN8" s="5516"/>
      <c r="EO8" s="5516"/>
      <c r="EP8" s="5516"/>
      <c r="EQ8" s="5516"/>
      <c r="ER8" s="5516"/>
      <c r="ES8" s="5516"/>
      <c r="ET8" s="5516"/>
      <c r="EU8" s="5516"/>
      <c r="EV8" s="5516"/>
      <c r="EW8" s="5516"/>
      <c r="EX8" s="5516"/>
      <c r="EY8" s="5516"/>
      <c r="EZ8" s="5516"/>
      <c r="FA8" s="5516"/>
      <c r="FB8" s="5516"/>
      <c r="FC8" s="5516"/>
      <c r="FD8" s="5516"/>
      <c r="FE8" s="5516"/>
      <c r="FF8" s="5516"/>
      <c r="FG8" s="5516"/>
      <c r="FH8" s="5516"/>
      <c r="FI8" s="5516"/>
      <c r="FJ8" s="5516"/>
      <c r="FK8" s="5516"/>
      <c r="FL8" s="5516"/>
      <c r="FM8" s="5516"/>
      <c r="FN8" s="5516"/>
      <c r="FO8" s="5516"/>
      <c r="FP8" s="5516"/>
      <c r="FQ8" s="5516"/>
      <c r="FR8" s="5516"/>
      <c r="FS8" s="5516"/>
      <c r="FT8" s="5516"/>
      <c r="FU8" s="5516"/>
      <c r="FV8" s="5516"/>
      <c r="FW8" s="5517"/>
      <c r="FX8" s="945"/>
    </row>
    <row r="9" spans="2:180" s="5138" customFormat="1" ht="11.25" hidden="1" customHeight="1">
      <c r="B9" s="826"/>
      <c r="F9" s="945"/>
      <c r="G9" s="662"/>
      <c r="H9" s="277"/>
      <c r="I9" s="277"/>
      <c r="J9" s="277"/>
      <c r="K9" s="277"/>
      <c r="L9" s="277"/>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5518"/>
      <c r="FX9" s="945"/>
    </row>
    <row r="10" spans="2:180" s="5138" customFormat="1" ht="11.25" customHeight="1">
      <c r="B10" s="826"/>
      <c r="F10" s="5484" t="s">
        <v>378</v>
      </c>
      <c r="G10" s="5500"/>
      <c r="H10" s="5500"/>
      <c r="I10" s="5500"/>
      <c r="J10" s="5500"/>
      <c r="K10" s="5500"/>
      <c r="L10" s="5500"/>
      <c r="M10" s="5500"/>
      <c r="N10" s="5500"/>
      <c r="O10" s="5500"/>
      <c r="P10" s="5500"/>
      <c r="Q10" s="5500"/>
      <c r="R10" s="5500"/>
      <c r="S10" s="5500"/>
      <c r="T10" s="5500"/>
      <c r="U10" s="5500"/>
      <c r="V10" s="5500"/>
      <c r="W10" s="5500"/>
      <c r="X10" s="5500"/>
      <c r="Y10" s="5500"/>
      <c r="Z10" s="5500"/>
      <c r="AA10" s="5500"/>
      <c r="AB10" s="5500"/>
      <c r="AC10" s="5500"/>
      <c r="AD10" s="5500"/>
      <c r="AE10" s="5500"/>
      <c r="AF10" s="5500"/>
      <c r="AG10" s="5500"/>
      <c r="AH10" s="5500"/>
      <c r="AI10" s="5500"/>
      <c r="AJ10" s="5500"/>
      <c r="AK10" s="5500"/>
      <c r="AL10" s="5500"/>
      <c r="AM10" s="5500"/>
      <c r="AN10" s="5500"/>
      <c r="AO10" s="5500"/>
      <c r="AP10" s="5500"/>
      <c r="AQ10" s="5500"/>
      <c r="AR10" s="5500"/>
      <c r="AS10" s="5500"/>
      <c r="AT10" s="5500"/>
      <c r="AU10" s="5500"/>
      <c r="AV10" s="5500"/>
      <c r="AW10" s="5500"/>
      <c r="AX10" s="5500"/>
      <c r="AY10" s="5500"/>
      <c r="AZ10" s="5500"/>
      <c r="BA10" s="5500"/>
      <c r="BB10" s="5500"/>
      <c r="BC10" s="5500"/>
      <c r="BD10" s="5500"/>
      <c r="BE10" s="5500"/>
      <c r="BF10" s="5500"/>
      <c r="BG10" s="5500"/>
      <c r="BH10" s="5500"/>
      <c r="BI10" s="5500"/>
      <c r="BJ10" s="5500"/>
      <c r="BK10" s="5500"/>
      <c r="BL10" s="5500"/>
      <c r="BM10" s="5500"/>
      <c r="BN10" s="5500"/>
      <c r="BO10" s="5500"/>
      <c r="BP10" s="5500"/>
      <c r="BQ10" s="5500"/>
      <c r="BR10" s="5500"/>
      <c r="BS10" s="5500"/>
      <c r="BT10" s="5500"/>
      <c r="BU10" s="5500"/>
      <c r="BV10" s="5500"/>
      <c r="BW10" s="5500"/>
      <c r="BX10" s="5500"/>
      <c r="BY10" s="5500"/>
      <c r="BZ10" s="5500"/>
      <c r="CA10" s="5500"/>
      <c r="CB10" s="5500"/>
      <c r="CC10" s="5500"/>
      <c r="CD10" s="5500"/>
      <c r="CE10" s="5500"/>
      <c r="CF10" s="5500"/>
      <c r="CG10" s="5500"/>
      <c r="CH10" s="5500"/>
      <c r="CI10" s="5500"/>
      <c r="CJ10" s="5500"/>
      <c r="CK10" s="5500"/>
      <c r="CL10" s="5500"/>
      <c r="CM10" s="5500"/>
      <c r="CN10" s="5500"/>
      <c r="CO10" s="5500"/>
      <c r="CP10" s="5500"/>
      <c r="CQ10" s="5500"/>
      <c r="CR10" s="5500"/>
      <c r="CS10" s="5500"/>
      <c r="CT10" s="5500"/>
      <c r="CU10" s="5500"/>
      <c r="CV10" s="5500"/>
      <c r="CW10" s="5500"/>
      <c r="CX10" s="5500"/>
      <c r="CY10" s="5500"/>
      <c r="CZ10" s="5500"/>
      <c r="DA10" s="5500"/>
      <c r="DB10" s="5500"/>
      <c r="DC10" s="5500"/>
      <c r="DD10" s="5500"/>
      <c r="DE10" s="5500"/>
      <c r="DF10" s="5500"/>
      <c r="DG10" s="5500"/>
      <c r="DH10" s="5500"/>
      <c r="DI10" s="5500"/>
      <c r="DJ10" s="5500"/>
      <c r="DK10" s="5500"/>
      <c r="DL10" s="5500"/>
      <c r="DM10" s="5500"/>
      <c r="DN10" s="5500"/>
      <c r="DO10" s="5500"/>
      <c r="DP10" s="5500"/>
      <c r="DQ10" s="5500"/>
      <c r="DR10" s="5500"/>
      <c r="DS10" s="5500"/>
      <c r="DT10" s="5500"/>
      <c r="DU10" s="5500"/>
      <c r="DV10" s="5500"/>
      <c r="DW10" s="5500"/>
      <c r="DX10" s="5500"/>
      <c r="DY10" s="5500"/>
      <c r="DZ10" s="5500"/>
      <c r="EA10" s="5500"/>
      <c r="EB10" s="5500"/>
      <c r="EC10" s="5500"/>
      <c r="ED10" s="5500"/>
      <c r="EE10" s="5500"/>
      <c r="EF10" s="5500"/>
      <c r="EG10" s="5500"/>
      <c r="EH10" s="5500"/>
      <c r="EI10" s="5500"/>
      <c r="EJ10" s="5500"/>
      <c r="EK10" s="5500"/>
      <c r="EL10" s="5500"/>
      <c r="EM10" s="5500"/>
      <c r="EN10" s="5500"/>
      <c r="EO10" s="5500"/>
      <c r="EP10" s="5500"/>
      <c r="EQ10" s="5500"/>
      <c r="ER10" s="5500"/>
      <c r="ES10" s="5500"/>
      <c r="ET10" s="5500"/>
      <c r="EU10" s="5500"/>
      <c r="EV10" s="5500"/>
      <c r="EW10" s="5500"/>
      <c r="EX10" s="5500"/>
      <c r="EY10" s="5500"/>
      <c r="EZ10" s="5500"/>
      <c r="FA10" s="5500"/>
      <c r="FB10" s="5500"/>
      <c r="FC10" s="5500"/>
      <c r="FD10" s="5500"/>
      <c r="FE10" s="5500"/>
      <c r="FF10" s="5500"/>
      <c r="FG10" s="5500"/>
      <c r="FH10" s="5500"/>
      <c r="FI10" s="5500"/>
      <c r="FJ10" s="5500"/>
      <c r="FK10" s="5500"/>
      <c r="FL10" s="5500"/>
      <c r="FM10" s="5500"/>
      <c r="FN10" s="5500"/>
      <c r="FO10" s="5500"/>
      <c r="FP10" s="5500"/>
      <c r="FQ10" s="5500"/>
      <c r="FR10" s="5500"/>
      <c r="FS10" s="5500"/>
      <c r="FT10" s="5500"/>
      <c r="FU10" s="5500"/>
      <c r="FV10" s="5501"/>
      <c r="FW10" s="5518"/>
      <c r="FX10" s="945"/>
    </row>
    <row r="11" spans="2:180" ht="12" customHeight="1">
      <c r="E11" s="828"/>
      <c r="F11" s="5332" t="s">
        <v>85</v>
      </c>
      <c r="G11" s="5332" t="s">
        <v>1080</v>
      </c>
      <c r="H11" s="5332" t="s">
        <v>1081</v>
      </c>
      <c r="I11" s="5332" t="s">
        <v>1082</v>
      </c>
      <c r="J11" s="5508"/>
      <c r="K11" s="5508"/>
      <c r="L11" s="5508"/>
      <c r="M11" s="5508"/>
      <c r="N11" s="5508"/>
      <c r="O11" s="5336" t="s">
        <v>1083</v>
      </c>
      <c r="P11" s="5336"/>
      <c r="Q11" s="5336"/>
      <c r="R11" s="5336"/>
      <c r="S11" s="5336"/>
      <c r="T11" s="5336"/>
      <c r="U11" s="5336"/>
      <c r="V11" s="5336"/>
      <c r="W11" s="5336"/>
      <c r="X11" s="5336"/>
      <c r="Y11" s="5336"/>
      <c r="Z11" s="5336"/>
      <c r="AA11" s="5336"/>
      <c r="AB11" s="5336"/>
      <c r="AC11" s="5506"/>
      <c r="AD11" s="5506"/>
      <c r="AE11" s="5506"/>
      <c r="AF11" s="5506"/>
      <c r="AG11" s="5506"/>
      <c r="AH11" s="5506"/>
      <c r="AI11" s="5506"/>
      <c r="AJ11" s="5506"/>
      <c r="AK11" s="5506"/>
      <c r="AL11" s="5506"/>
      <c r="AM11" s="5506"/>
      <c r="AN11" s="5506"/>
      <c r="AO11" s="5506"/>
      <c r="AP11" s="5506"/>
      <c r="AQ11" s="5506"/>
      <c r="AR11" s="5506"/>
      <c r="AS11" s="5506"/>
      <c r="AT11" s="5506"/>
      <c r="AU11" s="5506"/>
      <c r="AV11" s="5506"/>
      <c r="AW11" s="5506"/>
      <c r="AX11" s="5506"/>
      <c r="AY11" s="5506"/>
      <c r="AZ11" s="5506"/>
      <c r="BA11" s="5506"/>
      <c r="BB11" s="5506"/>
      <c r="BC11" s="5506"/>
      <c r="BD11" s="5506"/>
      <c r="BE11" s="5506"/>
      <c r="BF11" s="5506"/>
      <c r="BG11" s="5506"/>
      <c r="BH11" s="5506"/>
      <c r="BI11" s="5506"/>
      <c r="BJ11" s="5506"/>
      <c r="BK11" s="5506"/>
      <c r="BL11" s="5506"/>
      <c r="BM11" s="5506"/>
      <c r="BN11" s="5506"/>
      <c r="BO11" s="5506"/>
      <c r="BP11" s="5506"/>
      <c r="BQ11" s="5506"/>
      <c r="BR11" s="5506"/>
      <c r="BS11" s="5523"/>
      <c r="BT11" s="5503" t="s">
        <v>1083</v>
      </c>
      <c r="BU11" s="5504"/>
      <c r="BV11" s="5504"/>
      <c r="BW11" s="5504"/>
      <c r="BX11" s="5504"/>
      <c r="BY11" s="5504"/>
      <c r="BZ11" s="5504"/>
      <c r="CA11" s="5504"/>
      <c r="CB11" s="5504"/>
      <c r="CC11" s="5504"/>
      <c r="CD11" s="5504"/>
      <c r="CE11" s="5504"/>
      <c r="CF11" s="5504"/>
      <c r="CG11" s="5504"/>
      <c r="CH11" s="5504"/>
      <c r="CI11" s="5504"/>
      <c r="CJ11" s="5504"/>
      <c r="CK11" s="5505"/>
      <c r="CL11" s="5507"/>
      <c r="CM11" s="5506"/>
      <c r="CN11" s="5506"/>
      <c r="CO11" s="5506"/>
      <c r="CP11" s="5506"/>
      <c r="CQ11" s="5506"/>
      <c r="CR11" s="5506"/>
      <c r="CS11" s="5506"/>
      <c r="CT11" s="5506"/>
      <c r="CU11" s="5506"/>
      <c r="CV11" s="5506"/>
      <c r="CW11" s="5506"/>
      <c r="CX11" s="5523"/>
      <c r="CY11" s="5503" t="s">
        <v>1083</v>
      </c>
      <c r="CZ11" s="5504"/>
      <c r="DA11" s="5504"/>
      <c r="DB11" s="5504"/>
      <c r="DC11" s="5504"/>
      <c r="DD11" s="5504"/>
      <c r="DE11" s="5504"/>
      <c r="DF11" s="5504"/>
      <c r="DG11" s="5504"/>
      <c r="DH11" s="5504"/>
      <c r="DI11" s="5504"/>
      <c r="DJ11" s="5505"/>
      <c r="DK11" s="5507"/>
      <c r="DL11" s="5506"/>
      <c r="DM11" s="5506"/>
      <c r="DN11" s="5506"/>
      <c r="DO11" s="5506"/>
      <c r="DP11" s="5506"/>
      <c r="DQ11" s="5506"/>
      <c r="DR11" s="5506"/>
      <c r="DS11" s="5506"/>
      <c r="DT11" s="5506"/>
      <c r="DU11" s="5506"/>
      <c r="DV11" s="5506"/>
      <c r="DW11" s="5506"/>
      <c r="DX11" s="5506"/>
      <c r="DY11" s="5506"/>
      <c r="DZ11" s="5506"/>
      <c r="EA11" s="5506"/>
      <c r="EB11" s="5506"/>
      <c r="EC11" s="5506"/>
      <c r="ED11" s="5506"/>
      <c r="EE11" s="5506"/>
      <c r="EF11" s="5506"/>
      <c r="EG11" s="5506"/>
      <c r="EH11" s="5506"/>
      <c r="EI11" s="5506"/>
      <c r="EJ11" s="5506"/>
      <c r="EK11" s="5506"/>
      <c r="EL11" s="5506"/>
      <c r="EM11" s="5506"/>
      <c r="EN11" s="5506"/>
      <c r="EO11" s="5506"/>
      <c r="EP11" s="5506"/>
      <c r="EQ11" s="5506"/>
      <c r="ER11" s="5506"/>
      <c r="ES11" s="5506"/>
      <c r="ET11" s="5506"/>
      <c r="EU11" s="5506"/>
      <c r="EV11" s="5506"/>
      <c r="EW11" s="5506"/>
      <c r="EX11" s="5506"/>
      <c r="EY11" s="5506"/>
      <c r="EZ11" s="5506"/>
      <c r="FA11" s="5506"/>
      <c r="FB11" s="5506"/>
      <c r="FC11" s="5506"/>
      <c r="FD11" s="5506"/>
      <c r="FE11" s="5506"/>
      <c r="FF11" s="5506"/>
      <c r="FG11" s="5506"/>
      <c r="FH11" s="5506"/>
      <c r="FI11" s="5506"/>
      <c r="FJ11" s="5506"/>
      <c r="FK11" s="5506"/>
      <c r="FL11" s="5506"/>
      <c r="FM11" s="5506"/>
      <c r="FN11" s="5506"/>
      <c r="FO11" s="5506"/>
      <c r="FP11" s="5506"/>
      <c r="FQ11" s="5506"/>
      <c r="FR11" s="5506"/>
      <c r="FS11" s="5506"/>
      <c r="FT11" s="5506"/>
      <c r="FU11" s="5506"/>
      <c r="FV11" s="5506"/>
      <c r="FW11" s="5518"/>
      <c r="FX11" s="661"/>
    </row>
    <row r="12" spans="2:180" ht="12" customHeight="1">
      <c r="D12" s="829"/>
      <c r="E12" s="828"/>
      <c r="F12" s="5332"/>
      <c r="G12" s="5332"/>
      <c r="H12" s="5332"/>
      <c r="I12" s="5332"/>
      <c r="J12" s="5508"/>
      <c r="K12" s="5508"/>
      <c r="L12" s="5508"/>
      <c r="M12" s="5508"/>
      <c r="N12" s="5508"/>
      <c r="O12" s="5336" t="s">
        <v>1084</v>
      </c>
      <c r="P12" s="5336"/>
      <c r="Q12" s="5336"/>
      <c r="R12" s="5336"/>
      <c r="S12" s="5336" t="s">
        <v>1085</v>
      </c>
      <c r="T12" s="5336"/>
      <c r="U12" s="5336"/>
      <c r="V12" s="5336"/>
      <c r="W12" s="5336"/>
      <c r="X12" s="5336"/>
      <c r="Y12" s="5336"/>
      <c r="Z12" s="5336"/>
      <c r="AA12" s="5336"/>
      <c r="AB12" s="5336"/>
      <c r="AC12" s="5506"/>
      <c r="AD12" s="5506"/>
      <c r="AE12" s="5506"/>
      <c r="AF12" s="5506"/>
      <c r="AG12" s="5506"/>
      <c r="AH12" s="5506"/>
      <c r="AI12" s="5506"/>
      <c r="AJ12" s="5506"/>
      <c r="AK12" s="5506"/>
      <c r="AL12" s="5506"/>
      <c r="AM12" s="5506"/>
      <c r="AN12" s="5506"/>
      <c r="AO12" s="5506"/>
      <c r="AP12" s="5506"/>
      <c r="AQ12" s="5506"/>
      <c r="AR12" s="5506"/>
      <c r="AS12" s="5506"/>
      <c r="AT12" s="5506"/>
      <c r="AU12" s="5506"/>
      <c r="AV12" s="5506"/>
      <c r="AW12" s="5506"/>
      <c r="AX12" s="5506"/>
      <c r="AY12" s="5506"/>
      <c r="AZ12" s="5506"/>
      <c r="BA12" s="5506"/>
      <c r="BB12" s="5506"/>
      <c r="BC12" s="5506"/>
      <c r="BD12" s="5506"/>
      <c r="BE12" s="5506"/>
      <c r="BF12" s="5506"/>
      <c r="BG12" s="5506"/>
      <c r="BH12" s="5506"/>
      <c r="BI12" s="5506"/>
      <c r="BJ12" s="5506"/>
      <c r="BK12" s="5506"/>
      <c r="BL12" s="5506"/>
      <c r="BM12" s="5506"/>
      <c r="BN12" s="5506"/>
      <c r="BO12" s="5506"/>
      <c r="BP12" s="5506"/>
      <c r="BQ12" s="5506"/>
      <c r="BR12" s="5506"/>
      <c r="BS12" s="5523"/>
      <c r="BT12" s="5503" t="s">
        <v>1086</v>
      </c>
      <c r="BU12" s="5504"/>
      <c r="BV12" s="5504"/>
      <c r="BW12" s="5505"/>
      <c r="BX12" s="5503" t="s">
        <v>1087</v>
      </c>
      <c r="BY12" s="5504"/>
      <c r="BZ12" s="5504"/>
      <c r="CA12" s="5505"/>
      <c r="CB12" s="5503" t="s">
        <v>1088</v>
      </c>
      <c r="CC12" s="5505"/>
      <c r="CD12" s="5503" t="s">
        <v>1089</v>
      </c>
      <c r="CE12" s="5504"/>
      <c r="CF12" s="5504"/>
      <c r="CG12" s="5504"/>
      <c r="CH12" s="5504"/>
      <c r="CI12" s="5504"/>
      <c r="CJ12" s="5504"/>
      <c r="CK12" s="5505"/>
      <c r="CL12" s="5507"/>
      <c r="CM12" s="5506"/>
      <c r="CN12" s="5506"/>
      <c r="CO12" s="5506"/>
      <c r="CP12" s="5506"/>
      <c r="CQ12" s="5506"/>
      <c r="CR12" s="5506"/>
      <c r="CS12" s="5506"/>
      <c r="CT12" s="5506"/>
      <c r="CU12" s="5506"/>
      <c r="CV12" s="5506"/>
      <c r="CW12" s="5506"/>
      <c r="CX12" s="5523"/>
      <c r="CY12" s="5503" t="s">
        <v>1090</v>
      </c>
      <c r="CZ12" s="5504"/>
      <c r="DA12" s="5504"/>
      <c r="DB12" s="5504"/>
      <c r="DC12" s="5504"/>
      <c r="DD12" s="5505"/>
      <c r="DE12" s="5503" t="s">
        <v>1091</v>
      </c>
      <c r="DF12" s="5505"/>
      <c r="DG12" s="5503" t="s">
        <v>1089</v>
      </c>
      <c r="DH12" s="5504"/>
      <c r="DI12" s="5504"/>
      <c r="DJ12" s="5505"/>
      <c r="DK12" s="5507"/>
      <c r="DL12" s="5506"/>
      <c r="DM12" s="5506"/>
      <c r="DN12" s="5506"/>
      <c r="DO12" s="5506"/>
      <c r="DP12" s="5506"/>
      <c r="DQ12" s="5506"/>
      <c r="DR12" s="5506"/>
      <c r="DS12" s="5506"/>
      <c r="DT12" s="5506"/>
      <c r="DU12" s="5506"/>
      <c r="DV12" s="5506"/>
      <c r="DW12" s="5506"/>
      <c r="DX12" s="5506"/>
      <c r="DY12" s="5506"/>
      <c r="DZ12" s="5506"/>
      <c r="EA12" s="5506"/>
      <c r="EB12" s="5506"/>
      <c r="EC12" s="5506"/>
      <c r="ED12" s="5506"/>
      <c r="EE12" s="5506"/>
      <c r="EF12" s="5506"/>
      <c r="EG12" s="5506"/>
      <c r="EH12" s="5506"/>
      <c r="EI12" s="5506"/>
      <c r="EJ12" s="5506"/>
      <c r="EK12" s="5506"/>
      <c r="EL12" s="5506"/>
      <c r="EM12" s="5506"/>
      <c r="EN12" s="5506"/>
      <c r="EO12" s="5506"/>
      <c r="EP12" s="5506"/>
      <c r="EQ12" s="5506"/>
      <c r="ER12" s="5506"/>
      <c r="ES12" s="5506"/>
      <c r="ET12" s="5506"/>
      <c r="EU12" s="5506"/>
      <c r="EV12" s="5506"/>
      <c r="EW12" s="5506"/>
      <c r="EX12" s="5506"/>
      <c r="EY12" s="5506"/>
      <c r="EZ12" s="5506"/>
      <c r="FA12" s="5506"/>
      <c r="FB12" s="5506"/>
      <c r="FC12" s="5506"/>
      <c r="FD12" s="5506"/>
      <c r="FE12" s="5506"/>
      <c r="FF12" s="5506"/>
      <c r="FG12" s="5506"/>
      <c r="FH12" s="5506"/>
      <c r="FI12" s="5506"/>
      <c r="FJ12" s="5506"/>
      <c r="FK12" s="5506"/>
      <c r="FL12" s="5506"/>
      <c r="FM12" s="5506"/>
      <c r="FN12" s="5506"/>
      <c r="FO12" s="5506"/>
      <c r="FP12" s="5506"/>
      <c r="FQ12" s="5506"/>
      <c r="FR12" s="5506"/>
      <c r="FS12" s="5506"/>
      <c r="FT12" s="5506"/>
      <c r="FU12" s="5506"/>
      <c r="FV12" s="5506"/>
      <c r="FW12" s="5518"/>
      <c r="FX12" s="661"/>
    </row>
    <row r="13" spans="2:180" ht="36" customHeight="1">
      <c r="D13" s="829"/>
      <c r="E13" s="828"/>
      <c r="F13" s="5332"/>
      <c r="G13" s="5332"/>
      <c r="H13" s="5332"/>
      <c r="I13" s="5332"/>
      <c r="J13" s="5508"/>
      <c r="K13" s="5508"/>
      <c r="L13" s="5508"/>
      <c r="M13" s="5508"/>
      <c r="N13" s="5508"/>
      <c r="O13" s="5336" t="s">
        <v>1092</v>
      </c>
      <c r="P13" s="5336"/>
      <c r="Q13" s="5336"/>
      <c r="R13" s="5336"/>
      <c r="S13" s="5422" t="s">
        <v>1093</v>
      </c>
      <c r="T13" s="5486"/>
      <c r="U13" s="5244" t="s">
        <v>1094</v>
      </c>
      <c r="V13" s="5244"/>
      <c r="W13" s="5244"/>
      <c r="X13" s="5244"/>
      <c r="Y13" s="5244" t="s">
        <v>1095</v>
      </c>
      <c r="Z13" s="5244"/>
      <c r="AA13" s="5244"/>
      <c r="AB13" s="5244"/>
      <c r="AC13" s="5506"/>
      <c r="AD13" s="5506"/>
      <c r="AE13" s="5506"/>
      <c r="AF13" s="5506"/>
      <c r="AG13" s="5506"/>
      <c r="AH13" s="5506"/>
      <c r="AI13" s="5506"/>
      <c r="AJ13" s="5506"/>
      <c r="AK13" s="5506"/>
      <c r="AL13" s="5506"/>
      <c r="AM13" s="5506"/>
      <c r="AN13" s="5506"/>
      <c r="AO13" s="5506"/>
      <c r="AP13" s="5506"/>
      <c r="AQ13" s="5506"/>
      <c r="AR13" s="5506"/>
      <c r="AS13" s="5506"/>
      <c r="AT13" s="5506"/>
      <c r="AU13" s="5506"/>
      <c r="AV13" s="5506"/>
      <c r="AW13" s="5506"/>
      <c r="AX13" s="5506"/>
      <c r="AY13" s="5506"/>
      <c r="AZ13" s="5506"/>
      <c r="BA13" s="5506"/>
      <c r="BB13" s="5506"/>
      <c r="BC13" s="5506"/>
      <c r="BD13" s="5506"/>
      <c r="BE13" s="5506"/>
      <c r="BF13" s="5506"/>
      <c r="BG13" s="5506"/>
      <c r="BH13" s="5506"/>
      <c r="BI13" s="5506"/>
      <c r="BJ13" s="5506"/>
      <c r="BK13" s="5506"/>
      <c r="BL13" s="5506"/>
      <c r="BM13" s="5506"/>
      <c r="BN13" s="5506"/>
      <c r="BO13" s="5506"/>
      <c r="BP13" s="5506"/>
      <c r="BQ13" s="5506"/>
      <c r="BR13" s="5506"/>
      <c r="BS13" s="5523"/>
      <c r="BT13" s="5422" t="s">
        <v>1096</v>
      </c>
      <c r="BU13" s="5486"/>
      <c r="BV13" s="5422" t="s">
        <v>1097</v>
      </c>
      <c r="BW13" s="5486"/>
      <c r="BX13" s="5422" t="s">
        <v>1098</v>
      </c>
      <c r="BY13" s="5486"/>
      <c r="BZ13" s="5422" t="s">
        <v>1099</v>
      </c>
      <c r="CA13" s="5486"/>
      <c r="CB13" s="5422" t="s">
        <v>1100</v>
      </c>
      <c r="CC13" s="5486"/>
      <c r="CD13" s="5422" t="s">
        <v>1101</v>
      </c>
      <c r="CE13" s="5486"/>
      <c r="CF13" s="5422" t="s">
        <v>1102</v>
      </c>
      <c r="CG13" s="5486"/>
      <c r="CH13" s="5503" t="s">
        <v>1103</v>
      </c>
      <c r="CI13" s="5504"/>
      <c r="CJ13" s="5504"/>
      <c r="CK13" s="5505"/>
      <c r="CL13" s="5507"/>
      <c r="CM13" s="5506"/>
      <c r="CN13" s="5506"/>
      <c r="CO13" s="5506"/>
      <c r="CP13" s="5506"/>
      <c r="CQ13" s="5506"/>
      <c r="CR13" s="5506"/>
      <c r="CS13" s="5506"/>
      <c r="CT13" s="5506"/>
      <c r="CU13" s="5506"/>
      <c r="CV13" s="5506"/>
      <c r="CW13" s="5506"/>
      <c r="CX13" s="5523"/>
      <c r="CY13" s="5422" t="s">
        <v>1104</v>
      </c>
      <c r="CZ13" s="5486"/>
      <c r="DA13" s="5422" t="s">
        <v>1105</v>
      </c>
      <c r="DB13" s="5486"/>
      <c r="DC13" s="5422" t="s">
        <v>1106</v>
      </c>
      <c r="DD13" s="5486"/>
      <c r="DE13" s="5422" t="s">
        <v>1107</v>
      </c>
      <c r="DF13" s="5486"/>
      <c r="DG13" s="5503" t="s">
        <v>1108</v>
      </c>
      <c r="DH13" s="5504"/>
      <c r="DI13" s="5504"/>
      <c r="DJ13" s="5505"/>
      <c r="DK13" s="5507"/>
      <c r="DL13" s="5506"/>
      <c r="DM13" s="5506"/>
      <c r="DN13" s="5506"/>
      <c r="DO13" s="5506"/>
      <c r="DP13" s="5506"/>
      <c r="DQ13" s="5506"/>
      <c r="DR13" s="5506"/>
      <c r="DS13" s="5506"/>
      <c r="DT13" s="5506"/>
      <c r="DU13" s="5506"/>
      <c r="DV13" s="5506"/>
      <c r="DW13" s="5506"/>
      <c r="DX13" s="5506"/>
      <c r="DY13" s="5506"/>
      <c r="DZ13" s="5506"/>
      <c r="EA13" s="5506"/>
      <c r="EB13" s="5506"/>
      <c r="EC13" s="5506"/>
      <c r="ED13" s="5506"/>
      <c r="EE13" s="5506"/>
      <c r="EF13" s="5506"/>
      <c r="EG13" s="5506"/>
      <c r="EH13" s="5506"/>
      <c r="EI13" s="5506"/>
      <c r="EJ13" s="5506"/>
      <c r="EK13" s="5506"/>
      <c r="EL13" s="5506"/>
      <c r="EM13" s="5506"/>
      <c r="EN13" s="5506"/>
      <c r="EO13" s="5506"/>
      <c r="EP13" s="5506"/>
      <c r="EQ13" s="5506"/>
      <c r="ER13" s="5506"/>
      <c r="ES13" s="5506"/>
      <c r="ET13" s="5506"/>
      <c r="EU13" s="5506"/>
      <c r="EV13" s="5506"/>
      <c r="EW13" s="5506"/>
      <c r="EX13" s="5506"/>
      <c r="EY13" s="5506"/>
      <c r="EZ13" s="5506"/>
      <c r="FA13" s="5506"/>
      <c r="FB13" s="5506"/>
      <c r="FC13" s="5506"/>
      <c r="FD13" s="5506"/>
      <c r="FE13" s="5506"/>
      <c r="FF13" s="5506"/>
      <c r="FG13" s="5506"/>
      <c r="FH13" s="5506"/>
      <c r="FI13" s="5506"/>
      <c r="FJ13" s="5506"/>
      <c r="FK13" s="5506"/>
      <c r="FL13" s="5506"/>
      <c r="FM13" s="5506"/>
      <c r="FN13" s="5506"/>
      <c r="FO13" s="5506"/>
      <c r="FP13" s="5506"/>
      <c r="FQ13" s="5506"/>
      <c r="FR13" s="5506"/>
      <c r="FS13" s="5506"/>
      <c r="FT13" s="5506"/>
      <c r="FU13" s="5506"/>
      <c r="FV13" s="5506"/>
      <c r="FW13" s="5518"/>
      <c r="FX13" s="661"/>
    </row>
    <row r="14" spans="2:180" ht="36" customHeight="1">
      <c r="D14" s="829"/>
      <c r="E14" s="828"/>
      <c r="F14" s="5332"/>
      <c r="G14" s="5332"/>
      <c r="H14" s="5332"/>
      <c r="I14" s="5332"/>
      <c r="J14" s="5508"/>
      <c r="K14" s="5508"/>
      <c r="L14" s="5508"/>
      <c r="M14" s="5508"/>
      <c r="N14" s="5508"/>
      <c r="O14" s="5422" t="s">
        <v>1109</v>
      </c>
      <c r="P14" s="5486"/>
      <c r="Q14" s="5422" t="s">
        <v>1110</v>
      </c>
      <c r="R14" s="5486"/>
      <c r="S14" s="5423"/>
      <c r="T14" s="5340"/>
      <c r="U14" s="5422" t="s">
        <v>839</v>
      </c>
      <c r="V14" s="5486"/>
      <c r="W14" s="5422" t="s">
        <v>842</v>
      </c>
      <c r="X14" s="5486"/>
      <c r="Y14" s="5422" t="s">
        <v>839</v>
      </c>
      <c r="Z14" s="5486"/>
      <c r="AA14" s="5422" t="s">
        <v>849</v>
      </c>
      <c r="AB14" s="5486"/>
      <c r="AC14" s="5506"/>
      <c r="AD14" s="5506"/>
      <c r="AE14" s="5506"/>
      <c r="AF14" s="5506"/>
      <c r="AG14" s="5506"/>
      <c r="AH14" s="5506"/>
      <c r="AI14" s="5506"/>
      <c r="AJ14" s="5506"/>
      <c r="AK14" s="5506"/>
      <c r="AL14" s="5506"/>
      <c r="AM14" s="5506"/>
      <c r="AN14" s="5506"/>
      <c r="AO14" s="5506"/>
      <c r="AP14" s="5506"/>
      <c r="AQ14" s="5506"/>
      <c r="AR14" s="5506"/>
      <c r="AS14" s="5506"/>
      <c r="AT14" s="5506"/>
      <c r="AU14" s="5506"/>
      <c r="AV14" s="5506"/>
      <c r="AW14" s="5506"/>
      <c r="AX14" s="5506"/>
      <c r="AY14" s="5506"/>
      <c r="AZ14" s="5506"/>
      <c r="BA14" s="5506"/>
      <c r="BB14" s="5506"/>
      <c r="BC14" s="5506"/>
      <c r="BD14" s="5506"/>
      <c r="BE14" s="5506"/>
      <c r="BF14" s="5506"/>
      <c r="BG14" s="5506"/>
      <c r="BH14" s="5506"/>
      <c r="BI14" s="5506"/>
      <c r="BJ14" s="5506"/>
      <c r="BK14" s="5506"/>
      <c r="BL14" s="5506"/>
      <c r="BM14" s="5506"/>
      <c r="BN14" s="5506"/>
      <c r="BO14" s="5506"/>
      <c r="BP14" s="5506"/>
      <c r="BQ14" s="5506"/>
      <c r="BR14" s="5506"/>
      <c r="BS14" s="5523"/>
      <c r="BT14" s="5423"/>
      <c r="BU14" s="5340"/>
      <c r="BV14" s="5423"/>
      <c r="BW14" s="5340"/>
      <c r="BX14" s="5423"/>
      <c r="BY14" s="5340"/>
      <c r="BZ14" s="5423"/>
      <c r="CA14" s="5340"/>
      <c r="CB14" s="5423"/>
      <c r="CC14" s="5340"/>
      <c r="CD14" s="5423"/>
      <c r="CE14" s="5340"/>
      <c r="CF14" s="5423"/>
      <c r="CG14" s="5340"/>
      <c r="CH14" s="5422" t="s">
        <v>1111</v>
      </c>
      <c r="CI14" s="5486"/>
      <c r="CJ14" s="5422" t="s">
        <v>1112</v>
      </c>
      <c r="CK14" s="5486"/>
      <c r="CL14" s="5507"/>
      <c r="CM14" s="5506"/>
      <c r="CN14" s="5506"/>
      <c r="CO14" s="5506"/>
      <c r="CP14" s="5506"/>
      <c r="CQ14" s="5506"/>
      <c r="CR14" s="5506"/>
      <c r="CS14" s="5506"/>
      <c r="CT14" s="5506"/>
      <c r="CU14" s="5506"/>
      <c r="CV14" s="5506"/>
      <c r="CW14" s="5506"/>
      <c r="CX14" s="5523"/>
      <c r="CY14" s="5423"/>
      <c r="CZ14" s="5340"/>
      <c r="DA14" s="5423"/>
      <c r="DB14" s="5340"/>
      <c r="DC14" s="5423"/>
      <c r="DD14" s="5340"/>
      <c r="DE14" s="5423"/>
      <c r="DF14" s="5340"/>
      <c r="DG14" s="5422" t="s">
        <v>1113</v>
      </c>
      <c r="DH14" s="5486"/>
      <c r="DI14" s="5422" t="s">
        <v>1114</v>
      </c>
      <c r="DJ14" s="5486"/>
      <c r="DK14" s="5507"/>
      <c r="DL14" s="5506"/>
      <c r="DM14" s="5506"/>
      <c r="DN14" s="5506"/>
      <c r="DO14" s="5506"/>
      <c r="DP14" s="5506"/>
      <c r="DQ14" s="5506"/>
      <c r="DR14" s="5506"/>
      <c r="DS14" s="5506"/>
      <c r="DT14" s="5506"/>
      <c r="DU14" s="5506"/>
      <c r="DV14" s="5506"/>
      <c r="DW14" s="5506"/>
      <c r="DX14" s="5506"/>
      <c r="DY14" s="5506"/>
      <c r="DZ14" s="5506"/>
      <c r="EA14" s="5506"/>
      <c r="EB14" s="5506"/>
      <c r="EC14" s="5506"/>
      <c r="ED14" s="5506"/>
      <c r="EE14" s="5506"/>
      <c r="EF14" s="5506"/>
      <c r="EG14" s="5506"/>
      <c r="EH14" s="5506"/>
      <c r="EI14" s="5506"/>
      <c r="EJ14" s="5506"/>
      <c r="EK14" s="5506"/>
      <c r="EL14" s="5506"/>
      <c r="EM14" s="5506"/>
      <c r="EN14" s="5506"/>
      <c r="EO14" s="5506"/>
      <c r="EP14" s="5506"/>
      <c r="EQ14" s="5506"/>
      <c r="ER14" s="5506"/>
      <c r="ES14" s="5506"/>
      <c r="ET14" s="5506"/>
      <c r="EU14" s="5506"/>
      <c r="EV14" s="5506"/>
      <c r="EW14" s="5506"/>
      <c r="EX14" s="5506"/>
      <c r="EY14" s="5506"/>
      <c r="EZ14" s="5506"/>
      <c r="FA14" s="5506"/>
      <c r="FB14" s="5506"/>
      <c r="FC14" s="5506"/>
      <c r="FD14" s="5506"/>
      <c r="FE14" s="5506"/>
      <c r="FF14" s="5506"/>
      <c r="FG14" s="5506"/>
      <c r="FH14" s="5506"/>
      <c r="FI14" s="5506"/>
      <c r="FJ14" s="5506"/>
      <c r="FK14" s="5506"/>
      <c r="FL14" s="5506"/>
      <c r="FM14" s="5506"/>
      <c r="FN14" s="5506"/>
      <c r="FO14" s="5506"/>
      <c r="FP14" s="5506"/>
      <c r="FQ14" s="5506"/>
      <c r="FR14" s="5506"/>
      <c r="FS14" s="5506"/>
      <c r="FT14" s="5506"/>
      <c r="FU14" s="5506"/>
      <c r="FV14" s="5506"/>
      <c r="FW14" s="5518"/>
      <c r="FX14" s="661"/>
    </row>
    <row r="15" spans="2:180" ht="36" customHeight="1">
      <c r="D15" s="829"/>
      <c r="E15" s="828"/>
      <c r="F15" s="5332"/>
      <c r="G15" s="5332"/>
      <c r="H15" s="5332"/>
      <c r="I15" s="5332"/>
      <c r="J15" s="5508"/>
      <c r="K15" s="5508"/>
      <c r="L15" s="5508"/>
      <c r="M15" s="5508"/>
      <c r="N15" s="5508"/>
      <c r="O15" s="5424"/>
      <c r="P15" s="5487"/>
      <c r="Q15" s="5424"/>
      <c r="R15" s="5487"/>
      <c r="S15" s="5424"/>
      <c r="T15" s="5487"/>
      <c r="U15" s="5424"/>
      <c r="V15" s="5487"/>
      <c r="W15" s="5424"/>
      <c r="X15" s="5487"/>
      <c r="Y15" s="5424"/>
      <c r="Z15" s="5487"/>
      <c r="AA15" s="5424"/>
      <c r="AB15" s="5487"/>
      <c r="AC15" s="5506"/>
      <c r="AD15" s="5506"/>
      <c r="AE15" s="5506"/>
      <c r="AF15" s="5506"/>
      <c r="AG15" s="5506"/>
      <c r="AH15" s="5506"/>
      <c r="AI15" s="5506"/>
      <c r="AJ15" s="5506"/>
      <c r="AK15" s="5506"/>
      <c r="AL15" s="5506"/>
      <c r="AM15" s="5506"/>
      <c r="AN15" s="5506"/>
      <c r="AO15" s="5506"/>
      <c r="AP15" s="5506"/>
      <c r="AQ15" s="5506"/>
      <c r="AR15" s="5506"/>
      <c r="AS15" s="5506"/>
      <c r="AT15" s="5506"/>
      <c r="AU15" s="5506"/>
      <c r="AV15" s="5506"/>
      <c r="AW15" s="5506"/>
      <c r="AX15" s="5506"/>
      <c r="AY15" s="5506"/>
      <c r="AZ15" s="5506"/>
      <c r="BA15" s="5506"/>
      <c r="BB15" s="5506"/>
      <c r="BC15" s="5506"/>
      <c r="BD15" s="5506"/>
      <c r="BE15" s="5506"/>
      <c r="BF15" s="5506"/>
      <c r="BG15" s="5506"/>
      <c r="BH15" s="5506"/>
      <c r="BI15" s="5506"/>
      <c r="BJ15" s="5506"/>
      <c r="BK15" s="5506"/>
      <c r="BL15" s="5506"/>
      <c r="BM15" s="5506"/>
      <c r="BN15" s="5506"/>
      <c r="BO15" s="5506"/>
      <c r="BP15" s="5506"/>
      <c r="BQ15" s="5506"/>
      <c r="BR15" s="5506"/>
      <c r="BS15" s="5523"/>
      <c r="BT15" s="5424"/>
      <c r="BU15" s="5487"/>
      <c r="BV15" s="5424"/>
      <c r="BW15" s="5487"/>
      <c r="BX15" s="5424"/>
      <c r="BY15" s="5487"/>
      <c r="BZ15" s="5424"/>
      <c r="CA15" s="5487"/>
      <c r="CB15" s="5424"/>
      <c r="CC15" s="5487"/>
      <c r="CD15" s="5424"/>
      <c r="CE15" s="5487"/>
      <c r="CF15" s="5424"/>
      <c r="CG15" s="5487"/>
      <c r="CH15" s="5424"/>
      <c r="CI15" s="5487"/>
      <c r="CJ15" s="5424"/>
      <c r="CK15" s="5487"/>
      <c r="CL15" s="5507"/>
      <c r="CM15" s="5506"/>
      <c r="CN15" s="5506"/>
      <c r="CO15" s="5506"/>
      <c r="CP15" s="5506"/>
      <c r="CQ15" s="5506"/>
      <c r="CR15" s="5506"/>
      <c r="CS15" s="5506"/>
      <c r="CT15" s="5506"/>
      <c r="CU15" s="5506"/>
      <c r="CV15" s="5506"/>
      <c r="CW15" s="5506"/>
      <c r="CX15" s="5523"/>
      <c r="CY15" s="5424"/>
      <c r="CZ15" s="5487"/>
      <c r="DA15" s="5424"/>
      <c r="DB15" s="5487"/>
      <c r="DC15" s="5424"/>
      <c r="DD15" s="5487"/>
      <c r="DE15" s="5424"/>
      <c r="DF15" s="5487"/>
      <c r="DG15" s="5424"/>
      <c r="DH15" s="5487"/>
      <c r="DI15" s="5424"/>
      <c r="DJ15" s="5487"/>
      <c r="DK15" s="5507"/>
      <c r="DL15" s="5506"/>
      <c r="DM15" s="5506"/>
      <c r="DN15" s="5506"/>
      <c r="DO15" s="5506"/>
      <c r="DP15" s="5506"/>
      <c r="DQ15" s="5506"/>
      <c r="DR15" s="5506"/>
      <c r="DS15" s="5506"/>
      <c r="DT15" s="5506"/>
      <c r="DU15" s="5506"/>
      <c r="DV15" s="5506"/>
      <c r="DW15" s="5506"/>
      <c r="DX15" s="5506"/>
      <c r="DY15" s="5506"/>
      <c r="DZ15" s="5506"/>
      <c r="EA15" s="5506"/>
      <c r="EB15" s="5506"/>
      <c r="EC15" s="5506"/>
      <c r="ED15" s="5506"/>
      <c r="EE15" s="5506"/>
      <c r="EF15" s="5506"/>
      <c r="EG15" s="5506"/>
      <c r="EH15" s="5506"/>
      <c r="EI15" s="5506"/>
      <c r="EJ15" s="5506"/>
      <c r="EK15" s="5506"/>
      <c r="EL15" s="5506"/>
      <c r="EM15" s="5506"/>
      <c r="EN15" s="5506"/>
      <c r="EO15" s="5506"/>
      <c r="EP15" s="5506"/>
      <c r="EQ15" s="5506"/>
      <c r="ER15" s="5506"/>
      <c r="ES15" s="5506"/>
      <c r="ET15" s="5506"/>
      <c r="EU15" s="5506"/>
      <c r="EV15" s="5506"/>
      <c r="EW15" s="5506"/>
      <c r="EX15" s="5506"/>
      <c r="EY15" s="5506"/>
      <c r="EZ15" s="5506"/>
      <c r="FA15" s="5506"/>
      <c r="FB15" s="5506"/>
      <c r="FC15" s="5506"/>
      <c r="FD15" s="5506"/>
      <c r="FE15" s="5506"/>
      <c r="FF15" s="5506"/>
      <c r="FG15" s="5506"/>
      <c r="FH15" s="5506"/>
      <c r="FI15" s="5506"/>
      <c r="FJ15" s="5506"/>
      <c r="FK15" s="5506"/>
      <c r="FL15" s="5506"/>
      <c r="FM15" s="5506"/>
      <c r="FN15" s="5506"/>
      <c r="FO15" s="5506"/>
      <c r="FP15" s="5506"/>
      <c r="FQ15" s="5506"/>
      <c r="FR15" s="5506"/>
      <c r="FS15" s="5506"/>
      <c r="FT15" s="5506"/>
      <c r="FU15" s="5506"/>
      <c r="FV15" s="5506"/>
      <c r="FW15" s="5518"/>
      <c r="FX15" s="661"/>
    </row>
    <row r="16" spans="2:180" ht="12" customHeight="1">
      <c r="D16" s="829"/>
      <c r="E16" s="828"/>
      <c r="F16" s="5332"/>
      <c r="G16" s="5332"/>
      <c r="H16" s="5332"/>
      <c r="I16" s="5332"/>
      <c r="J16" s="5508"/>
      <c r="K16" s="5508"/>
      <c r="L16" s="5508"/>
      <c r="M16" s="5508"/>
      <c r="N16" s="5508"/>
      <c r="O16" s="5503" t="s">
        <v>829</v>
      </c>
      <c r="P16" s="5505"/>
      <c r="Q16" s="5503" t="s">
        <v>831</v>
      </c>
      <c r="R16" s="5505"/>
      <c r="S16" s="5503" t="s">
        <v>835</v>
      </c>
      <c r="T16" s="5505"/>
      <c r="U16" s="5503" t="s">
        <v>840</v>
      </c>
      <c r="V16" s="5505"/>
      <c r="W16" s="5503" t="s">
        <v>843</v>
      </c>
      <c r="X16" s="5505"/>
      <c r="Y16" s="5503" t="s">
        <v>847</v>
      </c>
      <c r="Z16" s="5505"/>
      <c r="AA16" s="5503" t="s">
        <v>850</v>
      </c>
      <c r="AB16" s="5505"/>
      <c r="AC16" s="5506"/>
      <c r="AD16" s="5506"/>
      <c r="AE16" s="5506"/>
      <c r="AF16" s="5506"/>
      <c r="AG16" s="5506"/>
      <c r="AH16" s="5506"/>
      <c r="AI16" s="5506"/>
      <c r="AJ16" s="5506"/>
      <c r="AK16" s="5506"/>
      <c r="AL16" s="5506"/>
      <c r="AM16" s="5506"/>
      <c r="AN16" s="5506"/>
      <c r="AO16" s="5506"/>
      <c r="AP16" s="5506"/>
      <c r="AQ16" s="5506"/>
      <c r="AR16" s="5506"/>
      <c r="AS16" s="5506"/>
      <c r="AT16" s="5506"/>
      <c r="AU16" s="5506"/>
      <c r="AV16" s="5506"/>
      <c r="AW16" s="5506"/>
      <c r="AX16" s="5506"/>
      <c r="AY16" s="5506"/>
      <c r="AZ16" s="5506"/>
      <c r="BA16" s="5506"/>
      <c r="BB16" s="5506"/>
      <c r="BC16" s="5506"/>
      <c r="BD16" s="5506"/>
      <c r="BE16" s="5506"/>
      <c r="BF16" s="5506"/>
      <c r="BG16" s="5506"/>
      <c r="BH16" s="5506"/>
      <c r="BI16" s="5506"/>
      <c r="BJ16" s="5506"/>
      <c r="BK16" s="5506"/>
      <c r="BL16" s="5506"/>
      <c r="BM16" s="5506"/>
      <c r="BN16" s="5506"/>
      <c r="BO16" s="5506"/>
      <c r="BP16" s="5506"/>
      <c r="BQ16" s="5506"/>
      <c r="BR16" s="5506"/>
      <c r="BS16" s="5523"/>
      <c r="BT16" s="5503" t="s">
        <v>647</v>
      </c>
      <c r="BU16" s="5505"/>
      <c r="BV16" s="5503" t="s">
        <v>647</v>
      </c>
      <c r="BW16" s="5505"/>
      <c r="BX16" s="5503" t="s">
        <v>647</v>
      </c>
      <c r="BY16" s="5505"/>
      <c r="BZ16" s="5503" t="s">
        <v>647</v>
      </c>
      <c r="CA16" s="5505"/>
      <c r="CB16" s="5503" t="s">
        <v>1115</v>
      </c>
      <c r="CC16" s="5505"/>
      <c r="CD16" s="5503" t="s">
        <v>647</v>
      </c>
      <c r="CE16" s="5505"/>
      <c r="CF16" s="5503" t="s">
        <v>1116</v>
      </c>
      <c r="CG16" s="5505"/>
      <c r="CH16" s="5503" t="s">
        <v>1117</v>
      </c>
      <c r="CI16" s="5505"/>
      <c r="CJ16" s="5503" t="s">
        <v>1117</v>
      </c>
      <c r="CK16" s="5505"/>
      <c r="CL16" s="5507"/>
      <c r="CM16" s="5506"/>
      <c r="CN16" s="5506"/>
      <c r="CO16" s="5506"/>
      <c r="CP16" s="5506"/>
      <c r="CQ16" s="5506"/>
      <c r="CR16" s="5506"/>
      <c r="CS16" s="5506"/>
      <c r="CT16" s="5506"/>
      <c r="CU16" s="5506"/>
      <c r="CV16" s="5506"/>
      <c r="CW16" s="5506"/>
      <c r="CX16" s="5523"/>
      <c r="CY16" s="5422" t="s">
        <v>647</v>
      </c>
      <c r="CZ16" s="5486"/>
      <c r="DA16" s="5422" t="s">
        <v>647</v>
      </c>
      <c r="DB16" s="5486"/>
      <c r="DC16" s="5422" t="s">
        <v>647</v>
      </c>
      <c r="DD16" s="5486"/>
      <c r="DE16" s="5503" t="s">
        <v>1115</v>
      </c>
      <c r="DF16" s="5505"/>
      <c r="DG16" s="5503" t="s">
        <v>1118</v>
      </c>
      <c r="DH16" s="5505"/>
      <c r="DI16" s="5503" t="s">
        <v>1118</v>
      </c>
      <c r="DJ16" s="5505"/>
      <c r="DK16" s="5507"/>
      <c r="DL16" s="5506"/>
      <c r="DM16" s="5506"/>
      <c r="DN16" s="5506"/>
      <c r="DO16" s="5506"/>
      <c r="DP16" s="5506"/>
      <c r="DQ16" s="5506"/>
      <c r="DR16" s="5506"/>
      <c r="DS16" s="5506"/>
      <c r="DT16" s="5506"/>
      <c r="DU16" s="5506"/>
      <c r="DV16" s="5506"/>
      <c r="DW16" s="5506"/>
      <c r="DX16" s="5506"/>
      <c r="DY16" s="5506"/>
      <c r="DZ16" s="5506"/>
      <c r="EA16" s="5506"/>
      <c r="EB16" s="5506"/>
      <c r="EC16" s="5506"/>
      <c r="ED16" s="5506"/>
      <c r="EE16" s="5506"/>
      <c r="EF16" s="5506"/>
      <c r="EG16" s="5506"/>
      <c r="EH16" s="5506"/>
      <c r="EI16" s="5506"/>
      <c r="EJ16" s="5506"/>
      <c r="EK16" s="5506"/>
      <c r="EL16" s="5506"/>
      <c r="EM16" s="5506"/>
      <c r="EN16" s="5506"/>
      <c r="EO16" s="5506"/>
      <c r="EP16" s="5506"/>
      <c r="EQ16" s="5506"/>
      <c r="ER16" s="5506"/>
      <c r="ES16" s="5506"/>
      <c r="ET16" s="5506"/>
      <c r="EU16" s="5506"/>
      <c r="EV16" s="5506"/>
      <c r="EW16" s="5506"/>
      <c r="EX16" s="5506"/>
      <c r="EY16" s="5506"/>
      <c r="EZ16" s="5506"/>
      <c r="FA16" s="5506"/>
      <c r="FB16" s="5506"/>
      <c r="FC16" s="5506"/>
      <c r="FD16" s="5506"/>
      <c r="FE16" s="5506"/>
      <c r="FF16" s="5506"/>
      <c r="FG16" s="5506"/>
      <c r="FH16" s="5506"/>
      <c r="FI16" s="5506"/>
      <c r="FJ16" s="5506"/>
      <c r="FK16" s="5506"/>
      <c r="FL16" s="5506"/>
      <c r="FM16" s="5506"/>
      <c r="FN16" s="5506"/>
      <c r="FO16" s="5506"/>
      <c r="FP16" s="5506"/>
      <c r="FQ16" s="5506"/>
      <c r="FR16" s="5506"/>
      <c r="FS16" s="5506"/>
      <c r="FT16" s="5506"/>
      <c r="FU16" s="5506"/>
      <c r="FV16" s="5506"/>
      <c r="FW16" s="5518"/>
      <c r="FX16" s="661"/>
    </row>
    <row r="17" spans="1:184" ht="15" customHeight="1">
      <c r="E17" s="828"/>
      <c r="F17" s="5332"/>
      <c r="G17" s="5332"/>
      <c r="H17" s="5332"/>
      <c r="I17" s="5332"/>
      <c r="J17" s="5508"/>
      <c r="K17" s="5508"/>
      <c r="L17" s="5508"/>
      <c r="M17" s="5508"/>
      <c r="N17" s="5508"/>
      <c r="O17" s="1075" t="s">
        <v>1119</v>
      </c>
      <c r="P17" s="1075" t="s">
        <v>1120</v>
      </c>
      <c r="Q17" s="1075" t="s">
        <v>1119</v>
      </c>
      <c r="R17" s="1075" t="s">
        <v>1120</v>
      </c>
      <c r="S17" s="1075" t="s">
        <v>1119</v>
      </c>
      <c r="T17" s="1075" t="s">
        <v>1120</v>
      </c>
      <c r="U17" s="1075" t="s">
        <v>1119</v>
      </c>
      <c r="V17" s="1075" t="s">
        <v>1120</v>
      </c>
      <c r="W17" s="1075" t="s">
        <v>1119</v>
      </c>
      <c r="X17" s="1075" t="s">
        <v>1120</v>
      </c>
      <c r="Y17" s="1075" t="s">
        <v>1119</v>
      </c>
      <c r="Z17" s="1075" t="s">
        <v>1120</v>
      </c>
      <c r="AA17" s="1075" t="s">
        <v>1119</v>
      </c>
      <c r="AB17" s="1075" t="s">
        <v>1120</v>
      </c>
      <c r="AC17" s="5506"/>
      <c r="AD17" s="5506"/>
      <c r="AE17" s="5506"/>
      <c r="AF17" s="5506"/>
      <c r="AG17" s="5506"/>
      <c r="AH17" s="5506"/>
      <c r="AI17" s="5506"/>
      <c r="AJ17" s="5506"/>
      <c r="AK17" s="5506"/>
      <c r="AL17" s="5506"/>
      <c r="AM17" s="5506"/>
      <c r="AN17" s="5506"/>
      <c r="AO17" s="5506"/>
      <c r="AP17" s="5506"/>
      <c r="AQ17" s="5506"/>
      <c r="AR17" s="5506"/>
      <c r="AS17" s="5506"/>
      <c r="AT17" s="5506"/>
      <c r="AU17" s="5506"/>
      <c r="AV17" s="5506"/>
      <c r="AW17" s="5506"/>
      <c r="AX17" s="5506"/>
      <c r="AY17" s="5506"/>
      <c r="AZ17" s="5506"/>
      <c r="BA17" s="5506"/>
      <c r="BB17" s="5506"/>
      <c r="BC17" s="5506"/>
      <c r="BD17" s="5506"/>
      <c r="BE17" s="5506"/>
      <c r="BF17" s="5506"/>
      <c r="BG17" s="5506"/>
      <c r="BH17" s="5506"/>
      <c r="BI17" s="5506"/>
      <c r="BJ17" s="5506"/>
      <c r="BK17" s="5506"/>
      <c r="BL17" s="5506"/>
      <c r="BM17" s="5506"/>
      <c r="BN17" s="5506"/>
      <c r="BO17" s="5506"/>
      <c r="BP17" s="5506"/>
      <c r="BQ17" s="5506"/>
      <c r="BR17" s="5506"/>
      <c r="BS17" s="5523"/>
      <c r="BT17" s="1075" t="s">
        <v>1119</v>
      </c>
      <c r="BU17" s="1075" t="s">
        <v>1120</v>
      </c>
      <c r="BV17" s="1075" t="s">
        <v>1119</v>
      </c>
      <c r="BW17" s="1075" t="s">
        <v>1120</v>
      </c>
      <c r="BX17" s="1075" t="s">
        <v>1119</v>
      </c>
      <c r="BY17" s="1075" t="s">
        <v>1120</v>
      </c>
      <c r="BZ17" s="1075" t="s">
        <v>1119</v>
      </c>
      <c r="CA17" s="1075" t="s">
        <v>1120</v>
      </c>
      <c r="CB17" s="1075" t="s">
        <v>1119</v>
      </c>
      <c r="CC17" s="1075" t="s">
        <v>1120</v>
      </c>
      <c r="CD17" s="1075" t="s">
        <v>1119</v>
      </c>
      <c r="CE17" s="1075" t="s">
        <v>1120</v>
      </c>
      <c r="CF17" s="1075" t="s">
        <v>1119</v>
      </c>
      <c r="CG17" s="1075" t="s">
        <v>1120</v>
      </c>
      <c r="CH17" s="1075" t="s">
        <v>1119</v>
      </c>
      <c r="CI17" s="1075" t="s">
        <v>1120</v>
      </c>
      <c r="CJ17" s="1075" t="s">
        <v>1119</v>
      </c>
      <c r="CK17" s="1075" t="s">
        <v>1120</v>
      </c>
      <c r="CL17" s="5507"/>
      <c r="CM17" s="5506"/>
      <c r="CN17" s="5506"/>
      <c r="CO17" s="5506"/>
      <c r="CP17" s="5506"/>
      <c r="CQ17" s="5506"/>
      <c r="CR17" s="5506"/>
      <c r="CS17" s="5506"/>
      <c r="CT17" s="5506"/>
      <c r="CU17" s="5506"/>
      <c r="CV17" s="5506"/>
      <c r="CW17" s="5506"/>
      <c r="CX17" s="5523"/>
      <c r="CY17" s="1075" t="s">
        <v>1119</v>
      </c>
      <c r="CZ17" s="1075" t="s">
        <v>1120</v>
      </c>
      <c r="DA17" s="1075" t="s">
        <v>1119</v>
      </c>
      <c r="DB17" s="1075" t="s">
        <v>1120</v>
      </c>
      <c r="DC17" s="1075" t="s">
        <v>1119</v>
      </c>
      <c r="DD17" s="1075" t="s">
        <v>1120</v>
      </c>
      <c r="DE17" s="1075" t="s">
        <v>1119</v>
      </c>
      <c r="DF17" s="1075" t="s">
        <v>1120</v>
      </c>
      <c r="DG17" s="1075" t="s">
        <v>1119</v>
      </c>
      <c r="DH17" s="1075" t="s">
        <v>1120</v>
      </c>
      <c r="DI17" s="1075" t="s">
        <v>1119</v>
      </c>
      <c r="DJ17" s="1075" t="s">
        <v>1120</v>
      </c>
      <c r="DK17" s="5507"/>
      <c r="DL17" s="5506"/>
      <c r="DM17" s="5506"/>
      <c r="DN17" s="5506"/>
      <c r="DO17" s="5506"/>
      <c r="DP17" s="5506"/>
      <c r="DQ17" s="5506"/>
      <c r="DR17" s="5506"/>
      <c r="DS17" s="5506"/>
      <c r="DT17" s="5506"/>
      <c r="DU17" s="5506"/>
      <c r="DV17" s="5506"/>
      <c r="DW17" s="5506"/>
      <c r="DX17" s="5506"/>
      <c r="DY17" s="5506"/>
      <c r="DZ17" s="5506"/>
      <c r="EA17" s="5506"/>
      <c r="EB17" s="5506"/>
      <c r="EC17" s="5506"/>
      <c r="ED17" s="5506"/>
      <c r="EE17" s="5506"/>
      <c r="EF17" s="5506"/>
      <c r="EG17" s="5506"/>
      <c r="EH17" s="5506"/>
      <c r="EI17" s="5506"/>
      <c r="EJ17" s="5506"/>
      <c r="EK17" s="5506"/>
      <c r="EL17" s="5506"/>
      <c r="EM17" s="5506"/>
      <c r="EN17" s="5506"/>
      <c r="EO17" s="5506"/>
      <c r="EP17" s="5506"/>
      <c r="EQ17" s="5506"/>
      <c r="ER17" s="5506"/>
      <c r="ES17" s="5506"/>
      <c r="ET17" s="5506"/>
      <c r="EU17" s="5506"/>
      <c r="EV17" s="5506"/>
      <c r="EW17" s="5506"/>
      <c r="EX17" s="5506"/>
      <c r="EY17" s="5506"/>
      <c r="EZ17" s="5506"/>
      <c r="FA17" s="5506"/>
      <c r="FB17" s="5506"/>
      <c r="FC17" s="5506"/>
      <c r="FD17" s="5506"/>
      <c r="FE17" s="5506"/>
      <c r="FF17" s="5506"/>
      <c r="FG17" s="5506"/>
      <c r="FH17" s="5506"/>
      <c r="FI17" s="5506"/>
      <c r="FJ17" s="5506"/>
      <c r="FK17" s="5506"/>
      <c r="FL17" s="5506"/>
      <c r="FM17" s="5506"/>
      <c r="FN17" s="5506"/>
      <c r="FO17" s="5506"/>
      <c r="FP17" s="5506"/>
      <c r="FQ17" s="5506"/>
      <c r="FR17" s="5506"/>
      <c r="FS17" s="5506"/>
      <c r="FT17" s="5506"/>
      <c r="FU17" s="5506"/>
      <c r="FV17" s="5506"/>
      <c r="FW17" s="5519"/>
      <c r="FX17" s="661"/>
    </row>
    <row r="18" spans="1:184" s="5139" customFormat="1" ht="12" hidden="1" customHeight="1">
      <c r="B18" s="817"/>
      <c r="E18" s="830"/>
      <c r="F18" s="1076"/>
      <c r="G18" s="1076"/>
      <c r="H18" s="1076"/>
      <c r="I18" s="1076"/>
      <c r="J18" s="1077"/>
      <c r="K18" s="1077"/>
      <c r="L18" s="1077"/>
      <c r="M18" s="1077"/>
      <c r="N18" s="1077"/>
      <c r="O18" s="1076"/>
      <c r="P18" s="1076"/>
      <c r="Q18" s="1076"/>
      <c r="R18" s="1076"/>
      <c r="S18" s="1076"/>
      <c r="T18" s="1076"/>
      <c r="U18" s="1078"/>
      <c r="V18" s="1078"/>
      <c r="W18" s="1078"/>
      <c r="X18" s="1078"/>
      <c r="Y18" s="1078"/>
      <c r="Z18" s="1078"/>
      <c r="AA18" s="1078"/>
      <c r="AB18" s="1076"/>
      <c r="AC18" s="1077"/>
      <c r="AD18" s="1077"/>
      <c r="AE18" s="1077"/>
      <c r="AF18" s="1077"/>
      <c r="AG18" s="1077"/>
      <c r="AH18" s="1077"/>
      <c r="AI18" s="1077"/>
      <c r="AJ18" s="1077"/>
      <c r="AK18" s="1077"/>
      <c r="AL18" s="1077"/>
      <c r="AM18" s="1077"/>
      <c r="AN18" s="1077"/>
      <c r="AO18" s="1077"/>
      <c r="AP18" s="1077"/>
      <c r="AQ18" s="1077"/>
      <c r="AR18" s="1077"/>
      <c r="AS18" s="1077"/>
      <c r="AT18" s="1077"/>
      <c r="AU18" s="1077"/>
      <c r="AV18" s="1077"/>
      <c r="AW18" s="1077"/>
      <c r="AX18" s="1077"/>
      <c r="AY18" s="1077"/>
      <c r="AZ18" s="1077"/>
      <c r="BA18" s="1077"/>
      <c r="BB18" s="1077"/>
      <c r="BC18" s="1077"/>
      <c r="BD18" s="1077"/>
      <c r="BE18" s="1077"/>
      <c r="BF18" s="1077"/>
      <c r="BG18" s="1077"/>
      <c r="BH18" s="1077"/>
      <c r="BI18" s="1077"/>
      <c r="BJ18" s="1077"/>
      <c r="BK18" s="1077"/>
      <c r="BL18" s="1077"/>
      <c r="BM18" s="1077"/>
      <c r="BN18" s="1077"/>
      <c r="BO18" s="1077"/>
      <c r="BP18" s="1077"/>
      <c r="BQ18" s="1077"/>
      <c r="BR18" s="1077"/>
      <c r="BS18" s="1077"/>
      <c r="BT18" s="1079"/>
      <c r="BU18" s="1079"/>
      <c r="BV18" s="1079"/>
      <c r="BW18" s="1079"/>
      <c r="BX18" s="1079"/>
      <c r="BY18" s="1079"/>
      <c r="BZ18" s="1079"/>
      <c r="CA18" s="1079"/>
      <c r="CB18" s="1079"/>
      <c r="CC18" s="1079"/>
      <c r="CD18" s="1079"/>
      <c r="CE18" s="1079"/>
      <c r="CF18" s="1079"/>
      <c r="CG18" s="1079"/>
      <c r="CH18" s="1079"/>
      <c r="CI18" s="1079"/>
      <c r="CJ18" s="1079"/>
      <c r="CK18" s="1079"/>
      <c r="CL18" s="1077"/>
      <c r="CM18" s="1077"/>
      <c r="CN18" s="1077"/>
      <c r="CO18" s="1077"/>
      <c r="CP18" s="1077"/>
      <c r="CQ18" s="1077"/>
      <c r="CR18" s="1077"/>
      <c r="CS18" s="1077"/>
      <c r="CT18" s="1077"/>
      <c r="CU18" s="1077"/>
      <c r="CV18" s="1077"/>
      <c r="CW18" s="1077"/>
      <c r="CX18" s="1077"/>
      <c r="CY18" s="1079"/>
      <c r="CZ18" s="1079"/>
      <c r="DA18" s="1079"/>
      <c r="DB18" s="1079"/>
      <c r="DC18" s="1079"/>
      <c r="DD18" s="1079"/>
      <c r="DE18" s="1079"/>
      <c r="DF18" s="1079"/>
      <c r="DG18" s="1079"/>
      <c r="DH18" s="1079"/>
      <c r="DI18" s="1079"/>
      <c r="DJ18" s="1079"/>
      <c r="DK18" s="1077"/>
      <c r="DL18" s="1077"/>
      <c r="DM18" s="1077"/>
      <c r="DN18" s="1077"/>
      <c r="DO18" s="1077"/>
      <c r="DP18" s="1077"/>
      <c r="DQ18" s="1077"/>
      <c r="DR18" s="1077"/>
      <c r="DS18" s="1077"/>
      <c r="DT18" s="1077"/>
      <c r="DU18" s="1077"/>
      <c r="DV18" s="1077"/>
      <c r="DW18" s="1077"/>
      <c r="DX18" s="1077"/>
      <c r="DY18" s="1077"/>
      <c r="DZ18" s="1077"/>
      <c r="EA18" s="1077"/>
      <c r="EB18" s="1077"/>
      <c r="EC18" s="1077"/>
      <c r="ED18" s="1077"/>
      <c r="EE18" s="1077"/>
      <c r="EF18" s="1077"/>
      <c r="EG18" s="1077"/>
      <c r="EH18" s="1077"/>
      <c r="EI18" s="1077"/>
      <c r="EJ18" s="1077"/>
      <c r="EK18" s="1077"/>
      <c r="EL18" s="1077"/>
      <c r="EM18" s="1077"/>
      <c r="EN18" s="1077"/>
      <c r="EO18" s="1077"/>
      <c r="EP18" s="1077"/>
      <c r="EQ18" s="1077"/>
      <c r="ER18" s="1077"/>
      <c r="ES18" s="1077"/>
      <c r="ET18" s="1077"/>
      <c r="EU18" s="1077"/>
      <c r="EV18" s="1077"/>
      <c r="EW18" s="1077"/>
      <c r="EX18" s="1077"/>
      <c r="EY18" s="1077"/>
      <c r="EZ18" s="1077"/>
      <c r="FA18" s="1077"/>
      <c r="FB18" s="1077"/>
      <c r="FC18" s="1077"/>
      <c r="FD18" s="1077"/>
      <c r="FE18" s="1077"/>
      <c r="FF18" s="1077"/>
      <c r="FG18" s="1077"/>
      <c r="FH18" s="1077"/>
      <c r="FI18" s="1077"/>
      <c r="FJ18" s="1077"/>
      <c r="FK18" s="1077"/>
      <c r="FL18" s="1077"/>
      <c r="FM18" s="1077"/>
      <c r="FN18" s="1077"/>
      <c r="FO18" s="1077"/>
      <c r="FP18" s="1077"/>
      <c r="FQ18" s="1077"/>
      <c r="FR18" s="1077"/>
      <c r="FS18" s="1077"/>
      <c r="FT18" s="1077"/>
      <c r="FU18" s="1077"/>
      <c r="FV18" s="1077"/>
      <c r="FW18" s="1076"/>
      <c r="FX18" s="1080"/>
    </row>
    <row r="19" spans="1:184" s="5139" customFormat="1" ht="11.25" hidden="1" customHeight="1">
      <c r="B19" s="817"/>
      <c r="E19" s="830"/>
      <c r="F19" s="1076"/>
      <c r="G19" s="1076"/>
      <c r="H19" s="1076"/>
      <c r="I19" s="1076"/>
      <c r="J19" s="1076"/>
      <c r="K19" s="1076"/>
      <c r="L19" s="1076"/>
      <c r="M19" s="1076"/>
      <c r="N19" s="1076"/>
      <c r="O19" s="1076"/>
      <c r="P19" s="1076"/>
      <c r="Q19" s="1076"/>
      <c r="R19" s="1076"/>
      <c r="S19" s="1076"/>
      <c r="T19" s="1076"/>
      <c r="U19" s="1078"/>
      <c r="V19" s="1078"/>
      <c r="W19" s="1078"/>
      <c r="X19" s="1078"/>
      <c r="Y19" s="1078"/>
      <c r="Z19" s="1078"/>
      <c r="AA19" s="1078"/>
      <c r="AB19" s="1076"/>
      <c r="AC19" s="1076"/>
      <c r="AD19" s="1076"/>
      <c r="AE19" s="1076"/>
      <c r="AF19" s="1076"/>
      <c r="AG19" s="1076"/>
      <c r="AH19" s="1076"/>
      <c r="AI19" s="1076"/>
      <c r="AJ19" s="1076"/>
      <c r="AK19" s="1076"/>
      <c r="AL19" s="1076"/>
      <c r="AM19" s="1076"/>
      <c r="AN19" s="1076"/>
      <c r="AO19" s="1076"/>
      <c r="AP19" s="1076"/>
      <c r="AQ19" s="1076"/>
      <c r="AR19" s="1076"/>
      <c r="AS19" s="1076"/>
      <c r="AT19" s="1076"/>
      <c r="AU19" s="1076"/>
      <c r="AV19" s="1076"/>
      <c r="AW19" s="1076"/>
      <c r="AX19" s="1076"/>
      <c r="AY19" s="1076"/>
      <c r="AZ19" s="1076"/>
      <c r="BA19" s="1076"/>
      <c r="BB19" s="1076"/>
      <c r="BC19" s="1076"/>
      <c r="BD19" s="1076"/>
      <c r="BE19" s="1076"/>
      <c r="BF19" s="1076"/>
      <c r="BG19" s="1076"/>
      <c r="BH19" s="1076"/>
      <c r="BI19" s="1076"/>
      <c r="BJ19" s="1076"/>
      <c r="BK19" s="1076"/>
      <c r="BL19" s="1076"/>
      <c r="BM19" s="1076"/>
      <c r="BN19" s="1076"/>
      <c r="BO19" s="1076"/>
      <c r="BP19" s="1076"/>
      <c r="BQ19" s="1076"/>
      <c r="BR19" s="1076"/>
      <c r="BS19" s="1076"/>
      <c r="BT19" s="1076"/>
      <c r="BU19" s="1076"/>
      <c r="BV19" s="1076"/>
      <c r="BW19" s="1076"/>
      <c r="BX19" s="1076"/>
      <c r="BY19" s="1076"/>
      <c r="BZ19" s="1076"/>
      <c r="CA19" s="1076"/>
      <c r="CB19" s="1076"/>
      <c r="CC19" s="1076"/>
      <c r="CD19" s="1076"/>
      <c r="CE19" s="1076"/>
      <c r="CF19" s="1076"/>
      <c r="CG19" s="1076"/>
      <c r="CH19" s="1076"/>
      <c r="CI19" s="1076"/>
      <c r="CJ19" s="1076"/>
      <c r="CK19" s="1076"/>
      <c r="CL19" s="1076"/>
      <c r="CM19" s="1076"/>
      <c r="CN19" s="1076"/>
      <c r="CO19" s="1076"/>
      <c r="CP19" s="1076"/>
      <c r="CQ19" s="1076"/>
      <c r="CR19" s="1076"/>
      <c r="CS19" s="1076"/>
      <c r="CT19" s="1076"/>
      <c r="CU19" s="1076"/>
      <c r="CV19" s="1076"/>
      <c r="CW19" s="1076"/>
      <c r="CX19" s="1076"/>
      <c r="CY19" s="1076"/>
      <c r="CZ19" s="1076"/>
      <c r="DA19" s="1076"/>
      <c r="DB19" s="1076"/>
      <c r="DC19" s="1076"/>
      <c r="DD19" s="1076"/>
      <c r="DE19" s="1076"/>
      <c r="DF19" s="1076"/>
      <c r="DG19" s="1076"/>
      <c r="DH19" s="1076"/>
      <c r="DI19" s="1076"/>
      <c r="DJ19" s="1076"/>
      <c r="DK19" s="1076"/>
      <c r="DL19" s="1076"/>
      <c r="DM19" s="1076"/>
      <c r="DN19" s="1076"/>
      <c r="DO19" s="1076"/>
      <c r="DP19" s="1076"/>
      <c r="DQ19" s="1076"/>
      <c r="DR19" s="1076"/>
      <c r="DS19" s="1076"/>
      <c r="DT19" s="1076"/>
      <c r="DU19" s="1076"/>
      <c r="DV19" s="1076"/>
      <c r="DW19" s="1076"/>
      <c r="DX19" s="1076"/>
      <c r="DY19" s="1076"/>
      <c r="DZ19" s="1076"/>
      <c r="EA19" s="1076"/>
      <c r="EB19" s="1076"/>
      <c r="EC19" s="1076"/>
      <c r="ED19" s="1076"/>
      <c r="EE19" s="1076"/>
      <c r="EF19" s="1076"/>
      <c r="EG19" s="1076"/>
      <c r="EH19" s="1076"/>
      <c r="EI19" s="1076"/>
      <c r="EJ19" s="1076"/>
      <c r="EK19" s="1076"/>
      <c r="EL19" s="1076"/>
      <c r="EM19" s="1076"/>
      <c r="EN19" s="1076"/>
      <c r="EO19" s="1076"/>
      <c r="EP19" s="1076"/>
      <c r="EQ19" s="1076"/>
      <c r="ER19" s="1076"/>
      <c r="ES19" s="1076"/>
      <c r="ET19" s="1076"/>
      <c r="EU19" s="1076"/>
      <c r="EV19" s="1076"/>
      <c r="EW19" s="1076"/>
      <c r="EX19" s="1076"/>
      <c r="EY19" s="1076"/>
      <c r="EZ19" s="1076"/>
      <c r="FA19" s="1076"/>
      <c r="FB19" s="1076"/>
      <c r="FC19" s="1076"/>
      <c r="FD19" s="1076"/>
      <c r="FE19" s="1076"/>
      <c r="FF19" s="1076"/>
      <c r="FG19" s="1076"/>
      <c r="FH19" s="1076"/>
      <c r="FI19" s="1076"/>
      <c r="FJ19" s="1076"/>
      <c r="FK19" s="1076"/>
      <c r="FL19" s="1076"/>
      <c r="FM19" s="1076"/>
      <c r="FN19" s="1076"/>
      <c r="FO19" s="1076"/>
      <c r="FP19" s="1076"/>
      <c r="FQ19" s="1076"/>
      <c r="FR19" s="1076"/>
      <c r="FS19" s="1076"/>
      <c r="FT19" s="1076"/>
      <c r="FU19" s="1076"/>
      <c r="FV19" s="1076"/>
      <c r="FW19" s="1076"/>
      <c r="FX19" s="1080"/>
    </row>
    <row r="20" spans="1:184" s="5134" customFormat="1" ht="11.25" hidden="1" customHeight="1">
      <c r="B20" s="831"/>
      <c r="D20" s="818"/>
      <c r="E20" s="830"/>
      <c r="F20" s="1081" t="s">
        <v>454</v>
      </c>
      <c r="G20" s="1082"/>
      <c r="H20" s="1083"/>
      <c r="I20" s="1083"/>
      <c r="J20" s="1083"/>
      <c r="K20" s="1083"/>
      <c r="L20" s="1083"/>
      <c r="M20" s="1083"/>
      <c r="N20" s="1083"/>
      <c r="O20" s="1082"/>
      <c r="P20" s="1082"/>
      <c r="Q20" s="1082"/>
      <c r="R20" s="1082"/>
      <c r="S20" s="1082"/>
      <c r="T20" s="1082"/>
      <c r="U20" s="1084"/>
      <c r="V20" s="1084"/>
      <c r="W20" s="1084"/>
      <c r="X20" s="1084"/>
      <c r="Y20" s="1084"/>
      <c r="Z20" s="1084"/>
      <c r="AA20" s="1084"/>
      <c r="AB20" s="1082"/>
      <c r="AC20" s="1083"/>
      <c r="AD20" s="1083"/>
      <c r="AE20" s="1083"/>
      <c r="AF20" s="1083"/>
      <c r="AG20" s="1083"/>
      <c r="AH20" s="1083"/>
      <c r="AI20" s="1083"/>
      <c r="AJ20" s="1083"/>
      <c r="AK20" s="1083"/>
      <c r="AL20" s="1083"/>
      <c r="AM20" s="1083"/>
      <c r="AN20" s="1083"/>
      <c r="AO20" s="1083"/>
      <c r="AP20" s="1083"/>
      <c r="AQ20" s="1083"/>
      <c r="AR20" s="1083"/>
      <c r="AS20" s="1083"/>
      <c r="AT20" s="1083"/>
      <c r="AU20" s="1083"/>
      <c r="AV20" s="1083"/>
      <c r="AW20" s="1083"/>
      <c r="AX20" s="1083"/>
      <c r="AY20" s="1083"/>
      <c r="AZ20" s="1083"/>
      <c r="BA20" s="1083"/>
      <c r="BB20" s="1083"/>
      <c r="BC20" s="1083"/>
      <c r="BD20" s="1083"/>
      <c r="BE20" s="1083"/>
      <c r="BF20" s="1083"/>
      <c r="BG20" s="1083"/>
      <c r="BH20" s="1083"/>
      <c r="BI20" s="1083"/>
      <c r="BJ20" s="1083"/>
      <c r="BK20" s="1083"/>
      <c r="BL20" s="1083"/>
      <c r="BM20" s="1083"/>
      <c r="BN20" s="1083"/>
      <c r="BO20" s="1083"/>
      <c r="BP20" s="1083"/>
      <c r="BQ20" s="1083"/>
      <c r="BR20" s="1083"/>
      <c r="BS20" s="1083"/>
      <c r="BT20" s="1083"/>
      <c r="BU20" s="1083"/>
      <c r="BV20" s="1083"/>
      <c r="BW20" s="1083"/>
      <c r="BX20" s="1083"/>
      <c r="BY20" s="1083"/>
      <c r="BZ20" s="1083"/>
      <c r="CA20" s="1083"/>
      <c r="CB20" s="1083"/>
      <c r="CC20" s="1083"/>
      <c r="CD20" s="1083"/>
      <c r="CE20" s="1083"/>
      <c r="CF20" s="1083"/>
      <c r="CG20" s="1083"/>
      <c r="CH20" s="1083"/>
      <c r="CI20" s="1083"/>
      <c r="CJ20" s="1083"/>
      <c r="CK20" s="1083"/>
      <c r="CL20" s="1085"/>
      <c r="CM20" s="1085"/>
      <c r="CN20" s="1085"/>
      <c r="CO20" s="1085"/>
      <c r="CP20" s="1085"/>
      <c r="CQ20" s="1085"/>
      <c r="CR20" s="1085"/>
      <c r="CS20" s="1085"/>
      <c r="CT20" s="1085"/>
      <c r="CU20" s="1085"/>
      <c r="CV20" s="1085"/>
      <c r="CW20" s="1085"/>
      <c r="CX20" s="1085"/>
      <c r="CY20" s="1085"/>
      <c r="CZ20" s="1085"/>
      <c r="DA20" s="1085"/>
      <c r="DB20" s="1085"/>
      <c r="DC20" s="1085"/>
      <c r="DD20" s="1085"/>
      <c r="DE20" s="1085"/>
      <c r="DF20" s="1085"/>
      <c r="DG20" s="1085"/>
      <c r="DH20" s="1085"/>
      <c r="DI20" s="1085"/>
      <c r="DJ20" s="1085"/>
      <c r="DK20" s="1085"/>
      <c r="DL20" s="1085"/>
      <c r="DM20" s="1085"/>
      <c r="DN20" s="1085"/>
      <c r="DO20" s="1085"/>
      <c r="DP20" s="1085"/>
      <c r="DQ20" s="1085"/>
      <c r="DR20" s="1085"/>
      <c r="DS20" s="1085"/>
      <c r="DT20" s="1085"/>
      <c r="DU20" s="1085"/>
      <c r="DV20" s="1085"/>
      <c r="DW20" s="1085"/>
      <c r="DX20" s="1085"/>
      <c r="DY20" s="1085"/>
      <c r="DZ20" s="1085"/>
      <c r="EA20" s="1085"/>
      <c r="EB20" s="1085"/>
      <c r="EC20" s="1085"/>
      <c r="ED20" s="1085"/>
      <c r="EE20" s="1085"/>
      <c r="EF20" s="1085"/>
      <c r="EG20" s="1085"/>
      <c r="EH20" s="1085"/>
      <c r="EI20" s="1085"/>
      <c r="EJ20" s="1085"/>
      <c r="EK20" s="1085"/>
      <c r="EL20" s="1085"/>
      <c r="EM20" s="1085"/>
      <c r="EN20" s="1085"/>
      <c r="EO20" s="1085"/>
      <c r="EP20" s="1085"/>
      <c r="EQ20" s="1085"/>
      <c r="ER20" s="1085"/>
      <c r="ES20" s="1085"/>
      <c r="ET20" s="1085"/>
      <c r="EU20" s="1085"/>
      <c r="EV20" s="1085"/>
      <c r="EW20" s="1085"/>
      <c r="EX20" s="1085"/>
      <c r="EY20" s="1085"/>
      <c r="EZ20" s="1085"/>
      <c r="FA20" s="1085"/>
      <c r="FB20" s="1085"/>
      <c r="FC20" s="1085"/>
      <c r="FD20" s="1085"/>
      <c r="FE20" s="1085"/>
      <c r="FF20" s="1085"/>
      <c r="FG20" s="1085"/>
      <c r="FH20" s="1085"/>
      <c r="FI20" s="1085"/>
      <c r="FJ20" s="1085"/>
      <c r="FK20" s="1085"/>
      <c r="FL20" s="1085"/>
      <c r="FM20" s="1085"/>
      <c r="FN20" s="1085"/>
      <c r="FO20" s="1085"/>
      <c r="FP20" s="1085"/>
      <c r="FQ20" s="1085"/>
      <c r="FR20" s="1085"/>
      <c r="FS20" s="1085"/>
      <c r="FT20" s="1085"/>
      <c r="FU20" s="1085"/>
      <c r="FV20" s="1085"/>
      <c r="FW20" s="1085"/>
      <c r="FX20" s="1086"/>
    </row>
    <row r="21" spans="1:184" s="5134" customFormat="1" ht="12" customHeight="1">
      <c r="A21" s="832"/>
      <c r="B21" s="832"/>
      <c r="C21" s="832"/>
      <c r="D21" s="832"/>
      <c r="E21" s="832"/>
      <c r="F21" s="830"/>
      <c r="G21" s="830"/>
      <c r="H21" s="830"/>
      <c r="I21" s="830"/>
      <c r="J21" s="830"/>
      <c r="K21" s="830"/>
      <c r="L21" s="830"/>
      <c r="M21" s="830"/>
      <c r="N21" s="830"/>
      <c r="O21" s="830"/>
      <c r="P21" s="830"/>
      <c r="Q21" s="830"/>
      <c r="R21" s="830"/>
      <c r="S21" s="833"/>
      <c r="T21" s="833"/>
      <c r="U21" s="830"/>
      <c r="V21" s="830"/>
      <c r="W21" s="830"/>
      <c r="X21" s="830"/>
      <c r="Y21" s="830"/>
      <c r="Z21" s="830"/>
      <c r="AA21" s="830"/>
      <c r="AB21" s="830"/>
      <c r="AC21" s="830"/>
      <c r="AD21" s="830"/>
      <c r="AE21" s="830"/>
      <c r="AF21" s="830"/>
      <c r="AG21" s="830"/>
      <c r="AH21" s="830"/>
      <c r="AI21" s="830"/>
      <c r="AJ21" s="830"/>
      <c r="AK21" s="830"/>
      <c r="AL21" s="830"/>
      <c r="AM21" s="830"/>
      <c r="AN21" s="830"/>
      <c r="AO21" s="830"/>
      <c r="AP21" s="830"/>
      <c r="AQ21" s="830"/>
      <c r="AR21" s="830"/>
      <c r="AS21" s="830"/>
      <c r="AT21" s="830"/>
      <c r="AU21" s="830"/>
      <c r="AV21" s="830"/>
      <c r="AW21" s="830"/>
      <c r="AX21" s="830"/>
      <c r="AY21" s="830"/>
      <c r="AZ21" s="830"/>
      <c r="BA21" s="830"/>
      <c r="BB21" s="830"/>
      <c r="BC21" s="830"/>
      <c r="BD21" s="830"/>
      <c r="BE21" s="830"/>
      <c r="BF21" s="830"/>
      <c r="BG21" s="830"/>
      <c r="BH21" s="830"/>
      <c r="BI21" s="830"/>
      <c r="BJ21" s="830"/>
      <c r="BK21" s="830"/>
      <c r="BL21" s="830"/>
      <c r="BM21" s="830"/>
      <c r="BN21" s="830"/>
      <c r="BO21" s="830"/>
      <c r="BP21" s="830"/>
      <c r="BQ21" s="830"/>
      <c r="BR21" s="830"/>
      <c r="BS21" s="830"/>
      <c r="BT21" s="830"/>
      <c r="BU21" s="830"/>
      <c r="BV21" s="830"/>
      <c r="BW21" s="830"/>
      <c r="BX21" s="830"/>
      <c r="BY21" s="830"/>
      <c r="BZ21" s="830"/>
      <c r="CA21" s="830"/>
      <c r="CB21" s="830"/>
      <c r="CC21" s="830"/>
      <c r="CD21" s="830"/>
      <c r="CE21" s="830"/>
      <c r="CF21" s="830"/>
      <c r="CG21" s="830"/>
      <c r="CH21" s="830"/>
      <c r="CI21" s="830"/>
      <c r="CJ21" s="830"/>
      <c r="CK21" s="830"/>
      <c r="CL21" s="830"/>
      <c r="CM21" s="830"/>
      <c r="CN21" s="830"/>
      <c r="CO21" s="830"/>
      <c r="CP21" s="830"/>
      <c r="CQ21" s="830"/>
      <c r="CR21" s="830"/>
      <c r="CS21" s="830"/>
      <c r="CT21" s="830"/>
      <c r="CU21" s="830"/>
      <c r="CV21" s="830"/>
      <c r="CW21" s="830"/>
      <c r="CX21" s="830"/>
      <c r="CY21" s="830"/>
      <c r="CZ21" s="830"/>
      <c r="DA21" s="830"/>
      <c r="DB21" s="830"/>
      <c r="DC21" s="830"/>
      <c r="DD21" s="830"/>
      <c r="DE21" s="830"/>
      <c r="DF21" s="830"/>
      <c r="DG21" s="830"/>
      <c r="DH21" s="830"/>
      <c r="DI21" s="830"/>
      <c r="DJ21" s="830"/>
      <c r="DK21" s="830"/>
      <c r="DL21" s="830"/>
      <c r="DM21" s="830"/>
      <c r="DN21" s="830"/>
      <c r="DO21" s="830"/>
      <c r="DP21" s="830"/>
      <c r="DQ21" s="830"/>
      <c r="DR21" s="830"/>
      <c r="DS21" s="830"/>
      <c r="DT21" s="830"/>
      <c r="DU21" s="830"/>
      <c r="DV21" s="830"/>
      <c r="DW21" s="830"/>
      <c r="DX21" s="830"/>
      <c r="DY21" s="830"/>
      <c r="DZ21" s="830"/>
      <c r="EA21" s="830"/>
      <c r="EB21" s="830"/>
      <c r="EC21" s="830"/>
      <c r="ED21" s="830"/>
      <c r="EE21" s="830"/>
      <c r="EF21" s="830"/>
      <c r="EG21" s="830"/>
      <c r="EH21" s="830"/>
      <c r="EI21" s="830"/>
      <c r="EJ21" s="830"/>
      <c r="EK21" s="830"/>
      <c r="EL21" s="830"/>
      <c r="EM21" s="830"/>
      <c r="EN21" s="830"/>
      <c r="EO21" s="830"/>
      <c r="EP21" s="830"/>
      <c r="EQ21" s="830"/>
      <c r="ER21" s="830"/>
      <c r="ES21" s="830"/>
      <c r="ET21" s="830"/>
      <c r="EU21" s="830"/>
      <c r="EV21" s="830"/>
      <c r="EW21" s="830"/>
      <c r="EX21" s="830"/>
      <c r="EY21" s="830"/>
      <c r="EZ21" s="830"/>
      <c r="FA21" s="830"/>
      <c r="FB21" s="830"/>
      <c r="FC21" s="830"/>
      <c r="FD21" s="830"/>
      <c r="FE21" s="830"/>
      <c r="FF21" s="830"/>
      <c r="FG21" s="830"/>
      <c r="FH21" s="830"/>
      <c r="FI21" s="830"/>
      <c r="FJ21" s="830"/>
      <c r="FK21" s="830"/>
      <c r="FL21" s="830"/>
      <c r="FM21" s="830"/>
      <c r="FN21" s="830"/>
      <c r="FO21" s="830"/>
      <c r="FP21" s="830"/>
      <c r="FQ21" s="830"/>
      <c r="FR21" s="830"/>
      <c r="FS21" s="830"/>
      <c r="FT21" s="830"/>
      <c r="FU21" s="830"/>
      <c r="FV21" s="830"/>
      <c r="FW21" s="830"/>
      <c r="FX21" s="832"/>
      <c r="FY21" s="832"/>
      <c r="FZ21" s="832"/>
      <c r="GA21" s="832"/>
      <c r="GB21" s="832"/>
    </row>
    <row r="22" spans="1:184" s="5134" customFormat="1" ht="12" customHeight="1">
      <c r="A22" s="832"/>
      <c r="B22" s="832"/>
      <c r="C22" s="832"/>
      <c r="D22" s="832"/>
      <c r="E22" s="832"/>
      <c r="FX22" s="832"/>
      <c r="FY22" s="832"/>
      <c r="FZ22" s="832"/>
      <c r="GA22" s="832"/>
      <c r="GB22" s="832"/>
    </row>
    <row r="23" spans="1:184" s="5140" customFormat="1" ht="12" customHeight="1">
      <c r="A23" s="951"/>
      <c r="B23" s="951"/>
      <c r="C23" s="951"/>
      <c r="D23" s="951"/>
      <c r="E23" s="951"/>
      <c r="O23" s="952"/>
      <c r="P23" s="952"/>
      <c r="Q23" s="952"/>
      <c r="R23" s="952"/>
      <c r="S23" s="952"/>
      <c r="T23" s="952"/>
      <c r="U23" s="952"/>
      <c r="V23" s="952"/>
      <c r="W23" s="952"/>
      <c r="X23" s="952"/>
      <c r="Y23" s="952"/>
      <c r="Z23" s="952"/>
      <c r="AA23" s="952"/>
      <c r="AB23" s="952"/>
      <c r="AC23" s="952"/>
      <c r="AD23" s="952"/>
      <c r="AE23" s="952"/>
      <c r="AF23" s="952"/>
      <c r="AG23" s="952"/>
      <c r="AH23" s="952"/>
      <c r="AI23" s="952"/>
      <c r="AJ23" s="952"/>
      <c r="AK23" s="952"/>
      <c r="AL23" s="952"/>
      <c r="AM23" s="952"/>
      <c r="AN23" s="952"/>
      <c r="AO23" s="952"/>
      <c r="AP23" s="952"/>
      <c r="AQ23" s="952"/>
      <c r="AR23" s="952"/>
      <c r="AS23" s="952"/>
      <c r="AT23" s="952"/>
      <c r="AU23" s="952"/>
      <c r="AV23" s="952"/>
      <c r="AW23" s="952"/>
      <c r="AX23" s="952"/>
      <c r="AY23" s="952"/>
      <c r="AZ23" s="952"/>
      <c r="BA23" s="952"/>
      <c r="BB23" s="952"/>
      <c r="BC23" s="952"/>
      <c r="BD23" s="952"/>
      <c r="BE23" s="952"/>
      <c r="BF23" s="952"/>
      <c r="BG23" s="952"/>
      <c r="BH23" s="952"/>
      <c r="BI23" s="952"/>
      <c r="BJ23" s="952"/>
      <c r="BK23" s="952"/>
      <c r="BL23" s="952"/>
      <c r="BM23" s="952"/>
      <c r="BN23" s="952"/>
      <c r="BO23" s="952"/>
      <c r="BP23" s="952"/>
      <c r="BQ23" s="952"/>
      <c r="BR23" s="952"/>
      <c r="BS23" s="952"/>
      <c r="BT23" s="953"/>
      <c r="BU23" s="953"/>
      <c r="BV23" s="953"/>
      <c r="BW23" s="953"/>
      <c r="BX23" s="953"/>
      <c r="BY23" s="953"/>
      <c r="BZ23" s="953"/>
      <c r="CA23" s="953"/>
      <c r="CB23" s="953"/>
      <c r="CC23" s="953"/>
      <c r="CD23" s="953"/>
      <c r="CE23" s="953"/>
      <c r="CF23" s="953"/>
      <c r="CG23" s="953"/>
      <c r="CH23" s="953"/>
      <c r="CI23" s="953"/>
      <c r="CJ23" s="953"/>
      <c r="CK23" s="953"/>
      <c r="CL23" s="953"/>
      <c r="CM23" s="953"/>
      <c r="CN23" s="953"/>
      <c r="CO23" s="953"/>
      <c r="CP23" s="953"/>
      <c r="CQ23" s="953"/>
      <c r="CR23" s="953"/>
      <c r="CS23" s="953"/>
      <c r="CT23" s="953"/>
      <c r="CU23" s="953"/>
      <c r="CV23" s="953"/>
      <c r="CW23" s="953"/>
      <c r="CX23" s="953"/>
      <c r="CY23" s="953"/>
      <c r="CZ23" s="953"/>
      <c r="DA23" s="953"/>
      <c r="DB23" s="953"/>
      <c r="DC23" s="953"/>
      <c r="DD23" s="953"/>
      <c r="DE23" s="953"/>
      <c r="DF23" s="953"/>
      <c r="DG23" s="953"/>
      <c r="DH23" s="953"/>
      <c r="DI23" s="953"/>
      <c r="DJ23" s="953"/>
      <c r="DK23" s="953"/>
      <c r="DL23" s="953"/>
      <c r="DM23" s="953"/>
      <c r="DN23" s="953"/>
      <c r="DO23" s="953"/>
      <c r="DP23" s="953"/>
      <c r="DQ23" s="953"/>
      <c r="DR23" s="953"/>
      <c r="DS23" s="953"/>
      <c r="DT23" s="953"/>
      <c r="DU23" s="953"/>
      <c r="DV23" s="953"/>
      <c r="DW23" s="953"/>
      <c r="DX23" s="953"/>
      <c r="FX23" s="951"/>
      <c r="FY23" s="951"/>
      <c r="FZ23" s="951"/>
      <c r="GA23" s="951"/>
      <c r="GB23" s="951"/>
    </row>
    <row r="24" spans="1:184" ht="12" customHeight="1">
      <c r="S24" s="829"/>
      <c r="T24" s="829"/>
      <c r="U24" s="829"/>
      <c r="V24" s="829"/>
      <c r="W24" s="829"/>
      <c r="X24" s="829"/>
      <c r="Y24" s="829"/>
      <c r="Z24" s="829"/>
      <c r="AA24" s="829"/>
      <c r="AB24" s="829"/>
      <c r="FX24" s="829"/>
      <c r="FY24" s="829"/>
      <c r="FZ24" s="829"/>
      <c r="GA24" s="829"/>
      <c r="GB24" s="82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4841" hidden="1" customWidth="1"/>
    <col min="2" max="2" width="9.140625" style="4844" hidden="1" customWidth="1"/>
    <col min="3" max="3" width="4.7109375" style="5125" customWidth="1"/>
    <col min="4" max="4" width="6.28515625" style="4844" customWidth="1"/>
    <col min="5" max="5" width="36.7109375" style="4844" customWidth="1"/>
    <col min="6" max="6" width="9.5703125" style="4844" customWidth="1"/>
    <col min="7" max="7" width="42.42578125" style="4796" hidden="1" customWidth="1"/>
    <col min="8" max="8" width="40.7109375" style="4844" customWidth="1"/>
    <col min="9" max="9" width="93.42578125" style="4797" customWidth="1"/>
    <col min="10" max="17" width="10.5703125" style="4844"/>
    <col min="18" max="18" width="10.5703125" style="5126"/>
  </cols>
  <sheetData>
    <row r="1" spans="1:18" s="4797" customFormat="1" ht="15" hidden="1" customHeight="1">
      <c r="C1" s="575"/>
      <c r="H1" s="333">
        <v>4</v>
      </c>
      <c r="R1" s="335"/>
    </row>
    <row r="2" spans="1:18" ht="22.5" hidden="1" customHeight="1">
      <c r="C2" s="1789" t="s">
        <v>101</v>
      </c>
      <c r="D2" s="446"/>
      <c r="E2" s="566"/>
      <c r="F2" s="1624" t="str">
        <f>IF(TEMPLATE_SPHERE="HEAT","Гкал/час","тыс. куб. м/сутки")</f>
        <v>тыс. куб. м/сутки</v>
      </c>
      <c r="G2" s="583"/>
      <c r="H2" s="583"/>
      <c r="I2" s="207"/>
    </row>
    <row r="3" spans="1:18" s="4797" customFormat="1" ht="15" hidden="1" customHeight="1">
      <c r="C3" s="575"/>
      <c r="R3" s="335"/>
    </row>
    <row r="4" spans="1:18" ht="15" customHeight="1">
      <c r="C4" s="99"/>
      <c r="D4" s="417"/>
      <c r="E4" s="417"/>
      <c r="F4" s="417"/>
      <c r="G4" s="417"/>
      <c r="H4" s="417"/>
    </row>
    <row r="5" spans="1:18" ht="37.5" customHeight="1">
      <c r="C5" s="99"/>
      <c r="D5" s="536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5360"/>
      <c r="F5" s="5360"/>
      <c r="G5" s="5360"/>
      <c r="H5" s="5360"/>
      <c r="I5" s="444"/>
    </row>
    <row r="6" spans="1:18" ht="15" customHeight="1">
      <c r="C6" s="99"/>
      <c r="D6" s="5308" t="str">
        <f>IF(org=0,"Не определено",org)</f>
        <v>ООО «Газпром теплоэнерго МО»</v>
      </c>
      <c r="E6" s="5308"/>
      <c r="F6" s="5308"/>
      <c r="G6" s="5308"/>
      <c r="H6" s="5308"/>
      <c r="I6" s="444"/>
    </row>
    <row r="7" spans="1:18" s="4796" customFormat="1" ht="15" customHeight="1">
      <c r="A7" s="658"/>
      <c r="C7" s="99"/>
      <c r="D7" s="579"/>
      <c r="E7" s="579"/>
      <c r="F7" s="579"/>
      <c r="G7" s="579"/>
      <c r="H7" s="651"/>
      <c r="I7" s="444"/>
      <c r="R7" s="578"/>
    </row>
    <row r="8" spans="1:18" ht="0.75" customHeight="1">
      <c r="C8" s="99"/>
      <c r="D8" s="417"/>
      <c r="E8" s="417"/>
      <c r="F8" s="417"/>
      <c r="G8" s="417"/>
      <c r="H8" s="444" t="s">
        <v>135</v>
      </c>
    </row>
    <row r="9" spans="1:18" ht="15" customHeight="1">
      <c r="C9" s="99"/>
      <c r="D9" s="612"/>
      <c r="E9" s="5456" t="s">
        <v>125</v>
      </c>
      <c r="F9" s="5457"/>
      <c r="G9" s="715" t="str">
        <f>IF(G8="","",INDEX(DIFFERENTIATION_UNMERGE_VD,MATCH(G8,DIFFERENTIATION_ID_DIFF,0)))</f>
        <v/>
      </c>
      <c r="H9" s="715">
        <f>IF(H8="","",INDEX(DIFFERENTIATION_UNMERGE_VD,MATCH(H8,DIFFERENTIATION_ID_DIFF,0)))</f>
        <v>0</v>
      </c>
      <c r="I9" s="5244" t="s">
        <v>379</v>
      </c>
    </row>
    <row r="10" spans="1:18" s="4796" customFormat="1" ht="15" customHeight="1">
      <c r="A10" s="658"/>
      <c r="C10" s="99"/>
      <c r="D10" s="612"/>
      <c r="E10" s="5456" t="s">
        <v>653</v>
      </c>
      <c r="F10" s="5457"/>
      <c r="G10" s="715" t="str">
        <f>IF(G8="","",INDEX(DIFFERENTIATION_UNMERGE_AREA,MATCH(G8,DIFFERENTIATION_ID_DIFF,0)))</f>
        <v/>
      </c>
      <c r="H10" s="715" t="str">
        <f>IF(H8="","",INDEX(DIFFERENTIATION_UNMERGE_AREA,MATCH(H8,DIFFERENTIATION_ID_DIFF,0)))</f>
        <v/>
      </c>
      <c r="I10" s="5244"/>
      <c r="R10" s="578"/>
    </row>
    <row r="11" spans="1:18" s="4796" customFormat="1" ht="15" customHeight="1">
      <c r="A11" s="658"/>
      <c r="C11" s="99"/>
      <c r="D11" s="612"/>
      <c r="E11" s="5456" t="s">
        <v>654</v>
      </c>
      <c r="F11" s="5457"/>
      <c r="G11" s="715" t="str">
        <f>IF(G8="","",INDEX(DIFFERENTIATION_UNMERGE_SYSTEM,MATCH(G8,DIFFERENTIATION_ID_DIFF,0)))</f>
        <v/>
      </c>
      <c r="H11" s="715" t="str">
        <f>IF(H8="","",INDEX(DIFFERENTIATION_UNMERGE_SYSTEM,MATCH(H8,DIFFERENTIATION_ID_DIFF,0)))</f>
        <v>без дифференциации</v>
      </c>
      <c r="I11" s="5244"/>
      <c r="R11" s="578"/>
    </row>
    <row r="12" spans="1:18" s="4796" customFormat="1" ht="15" customHeight="1">
      <c r="A12" s="658"/>
      <c r="C12" s="99"/>
      <c r="D12" s="5458" t="s">
        <v>378</v>
      </c>
      <c r="E12" s="5459"/>
      <c r="F12" s="5459"/>
      <c r="G12" s="782"/>
      <c r="H12" s="782"/>
      <c r="I12" s="5244"/>
      <c r="R12" s="578"/>
    </row>
    <row r="13" spans="1:18" ht="33.75" customHeight="1">
      <c r="C13" s="99"/>
      <c r="D13" s="660" t="s">
        <v>85</v>
      </c>
      <c r="E13" s="659" t="s">
        <v>380</v>
      </c>
      <c r="F13" s="659" t="s">
        <v>655</v>
      </c>
      <c r="G13" s="707" t="s">
        <v>381</v>
      </c>
      <c r="H13" s="653" t="s">
        <v>381</v>
      </c>
      <c r="I13" s="5244"/>
    </row>
    <row r="14" spans="1:18" ht="15" hidden="1" customHeight="1">
      <c r="C14" s="99"/>
      <c r="D14" s="498" t="s">
        <v>129</v>
      </c>
      <c r="E14" s="498" t="s">
        <v>100</v>
      </c>
      <c r="F14" s="498" t="s">
        <v>87</v>
      </c>
      <c r="G14" s="562" t="str">
        <f>G1&amp;".1"</f>
        <v>.1</v>
      </c>
      <c r="H14" s="562" t="str">
        <f>H1&amp;".1"</f>
        <v>4.1</v>
      </c>
      <c r="I14" s="207"/>
    </row>
    <row r="15" spans="1:18" ht="15" customHeight="1">
      <c r="A15" s="413"/>
      <c r="C15" s="434"/>
      <c r="D15" s="429">
        <v>1</v>
      </c>
      <c r="E15" s="1791" t="str">
        <f>TP_P_A</f>
        <v xml:space="preserve">Количество поданных заявлений </v>
      </c>
      <c r="F15" s="429" t="s">
        <v>1121</v>
      </c>
      <c r="G15" s="587"/>
      <c r="H15" s="587"/>
      <c r="I15" s="130"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6" spans="1:18" ht="15" customHeight="1">
      <c r="A16" s="413"/>
      <c r="C16" s="434"/>
      <c r="D16" s="429">
        <v>2</v>
      </c>
      <c r="E16" s="1791" t="str">
        <f>TP_P_B</f>
        <v xml:space="preserve">Количество исполненных заявлений </v>
      </c>
      <c r="F16" s="429" t="s">
        <v>1121</v>
      </c>
      <c r="G16" s="587"/>
      <c r="H16" s="587"/>
      <c r="I16" s="130"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7" spans="1:18" ht="73.5" customHeight="1">
      <c r="A17" s="413"/>
      <c r="C17" s="434"/>
      <c r="D17" s="429">
        <v>3</v>
      </c>
      <c r="E17" s="179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29" t="s">
        <v>1121</v>
      </c>
      <c r="G17" s="587"/>
      <c r="H17" s="587"/>
      <c r="I17" s="130"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r="18" spans="1:18" ht="52.5" customHeight="1">
      <c r="A18" s="413"/>
      <c r="C18" s="434"/>
      <c r="D18" s="429">
        <v>4</v>
      </c>
      <c r="E18" s="1791" t="str">
        <f>TP_P_V_1</f>
        <v>Причины отказа в заключении договора о подключении (технологическом присоединении) к централизованной системе горячего водоснабжения</v>
      </c>
      <c r="F18" s="429" t="s">
        <v>384</v>
      </c>
      <c r="G18" s="588"/>
      <c r="H18" s="588"/>
      <c r="I18" s="73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13"/>
      <c r="C19" s="434"/>
      <c r="D19" s="429">
        <v>5</v>
      </c>
      <c r="E19" s="1791"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29" t="str">
        <f>IF(TEMPLATE_SPHERE="HEAT","Гкал/час","тыс. куб. м/сутки")</f>
        <v>тыс. куб. м/сутки</v>
      </c>
      <c r="G19" s="589">
        <f>SUM(G20:G22)</f>
        <v>0</v>
      </c>
      <c r="H19" s="589">
        <f>SUM(H20:H22)</f>
        <v>0</v>
      </c>
      <c r="I19" s="130"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r="20" spans="1:18" ht="15" hidden="1" customHeight="1">
      <c r="D20" s="417" t="s">
        <v>1122</v>
      </c>
      <c r="E20" s="590"/>
      <c r="F20" s="417"/>
      <c r="G20" s="417"/>
      <c r="H20" s="417"/>
      <c r="I20" s="1626"/>
    </row>
    <row r="21" spans="1:18" ht="27.75" customHeight="1">
      <c r="C21" s="364"/>
      <c r="D21" s="446" t="s">
        <v>391</v>
      </c>
      <c r="E21" s="573"/>
      <c r="F21" s="1624" t="str">
        <f>IF(TEMPLATE_SPHERE="HEAT","Гкал/час","тыс. куб. м/сутки")</f>
        <v>тыс. куб. м/сутки</v>
      </c>
      <c r="G21" s="583"/>
      <c r="H21" s="583"/>
      <c r="I21" s="5284"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r="22" spans="1:18" ht="15" customHeight="1">
      <c r="A22" s="413"/>
      <c r="C22" s="413"/>
      <c r="D22" s="264"/>
      <c r="E22" s="487" t="s">
        <v>1123</v>
      </c>
      <c r="F22" s="479"/>
      <c r="G22" s="479"/>
      <c r="H22" s="479"/>
      <c r="I22" s="5286"/>
      <c r="R22" s="413"/>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5144" hidden="1" customWidth="1"/>
    <col min="2" max="2" width="9.140625" style="5145" hidden="1" customWidth="1"/>
    <col min="3" max="3" width="3.7109375" style="5146" customWidth="1"/>
    <col min="4" max="4" width="6.28515625" style="4799" customWidth="1"/>
    <col min="5" max="6" width="64.140625" style="4799" customWidth="1"/>
    <col min="7" max="7" width="141.140625" style="4799" customWidth="1"/>
    <col min="8" max="8" width="10.5703125" style="4799"/>
    <col min="9" max="10" width="10.5703125" style="4800"/>
    <col min="11" max="16" width="10.5703125" style="4799"/>
  </cols>
  <sheetData>
    <row r="1" spans="1:16" ht="14.25" hidden="1" customHeight="1">
      <c r="M1" s="175"/>
      <c r="N1" s="175"/>
      <c r="P1" s="175"/>
    </row>
    <row r="2" spans="1:16" ht="14.25" hidden="1" customHeight="1"/>
    <row r="3" spans="1:16" ht="14.25" hidden="1" customHeight="1"/>
    <row r="4" spans="1:16" ht="3" customHeight="1">
      <c r="C4" s="32"/>
      <c r="D4" s="20"/>
      <c r="E4" s="20"/>
      <c r="F4" s="21"/>
      <c r="G4" s="21"/>
    </row>
    <row r="5" spans="1:16" ht="27.75" customHeight="1">
      <c r="C5" s="32"/>
      <c r="D5" s="527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5275"/>
      <c r="F5" s="5275"/>
      <c r="G5" s="5276"/>
    </row>
    <row r="6" spans="1:16" s="4796" customFormat="1" ht="18" customHeight="1">
      <c r="A6" s="777"/>
      <c r="B6" s="333"/>
      <c r="C6" s="292"/>
      <c r="D6" s="5341" t="str">
        <f>IF(org=0,"Не определено",org)</f>
        <v>ООО «Газпром теплоэнерго МО»</v>
      </c>
      <c r="E6" s="5342"/>
      <c r="F6" s="5342"/>
      <c r="G6" s="5343"/>
      <c r="I6" s="408"/>
      <c r="J6" s="408"/>
    </row>
    <row r="7" spans="1:16" ht="14.25" customHeight="1">
      <c r="C7" s="32"/>
      <c r="D7" s="20"/>
      <c r="E7" s="31"/>
      <c r="F7" s="651"/>
      <c r="G7" s="115"/>
    </row>
    <row r="8" spans="1:16" s="4868" customFormat="1" ht="0.75" customHeight="1">
      <c r="A8" s="1533"/>
      <c r="B8" s="1042"/>
      <c r="C8" s="292"/>
      <c r="D8" s="280"/>
      <c r="E8" s="305"/>
      <c r="F8" s="651"/>
      <c r="G8" s="115"/>
      <c r="I8" s="1488"/>
      <c r="J8" s="1488"/>
    </row>
    <row r="9" spans="1:16" ht="14.25" customHeight="1">
      <c r="C9" s="32"/>
      <c r="D9" s="5336" t="s">
        <v>378</v>
      </c>
      <c r="E9" s="5336"/>
      <c r="F9" s="5336"/>
      <c r="G9" s="5524" t="s">
        <v>379</v>
      </c>
    </row>
    <row r="10" spans="1:16" ht="14.25" customHeight="1">
      <c r="C10" s="32"/>
      <c r="D10" s="38" t="s">
        <v>85</v>
      </c>
      <c r="E10" s="41" t="s">
        <v>380</v>
      </c>
      <c r="F10" s="41" t="s">
        <v>468</v>
      </c>
      <c r="G10" s="5524"/>
    </row>
    <row r="11" spans="1:16" ht="12" hidden="1" customHeight="1">
      <c r="C11" s="32"/>
      <c r="D11" s="23"/>
      <c r="E11" s="23"/>
      <c r="F11" s="23"/>
      <c r="G11" s="23"/>
    </row>
    <row r="12" spans="1:16" ht="62.25" customHeight="1">
      <c r="A12" s="114"/>
      <c r="C12" s="32"/>
      <c r="D12" s="73">
        <v>1</v>
      </c>
      <c r="E12" s="119"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20" t="s">
        <v>384</v>
      </c>
      <c r="G12" s="77"/>
    </row>
    <row r="13" spans="1:16" ht="22.5" customHeight="1">
      <c r="A13" s="114"/>
      <c r="C13" s="32"/>
      <c r="D13" s="73" t="s">
        <v>1028</v>
      </c>
      <c r="E13" s="11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0" t="s">
        <v>384</v>
      </c>
      <c r="G13" s="77"/>
    </row>
    <row r="14" spans="1:16" ht="14.25" customHeight="1">
      <c r="A14" s="114"/>
      <c r="C14" s="32"/>
      <c r="D14" s="73" t="s">
        <v>1064</v>
      </c>
      <c r="E14" s="117"/>
      <c r="F14" s="135"/>
      <c r="G14" s="528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4"/>
      <c r="C15" s="32"/>
      <c r="D15" s="42"/>
      <c r="E15" s="266" t="s">
        <v>1124</v>
      </c>
      <c r="F15" s="123"/>
      <c r="G15" s="5286"/>
    </row>
    <row r="16" spans="1:16" ht="14.25" customHeight="1">
      <c r="A16" s="114"/>
      <c r="C16" s="32"/>
      <c r="D16" s="73" t="s">
        <v>1030</v>
      </c>
      <c r="E16" s="11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20" t="s">
        <v>384</v>
      </c>
      <c r="G16" s="255"/>
    </row>
    <row r="17" spans="1:16" ht="14.25" customHeight="1">
      <c r="A17" s="114"/>
      <c r="C17" s="32"/>
      <c r="D17" s="73" t="s">
        <v>1072</v>
      </c>
      <c r="E17" s="117"/>
      <c r="F17" s="301"/>
      <c r="G17" s="528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r="18" spans="1:16" s="5143" customFormat="1" ht="21" customHeight="1">
      <c r="A18" s="260"/>
      <c r="B18" s="72"/>
      <c r="C18" s="225"/>
      <c r="D18" s="264"/>
      <c r="E18" s="266" t="s">
        <v>1125</v>
      </c>
      <c r="F18" s="256"/>
      <c r="G18" s="5286"/>
      <c r="I18" s="267"/>
      <c r="J18" s="267"/>
    </row>
    <row r="19" spans="1:16" s="4796" customFormat="1" ht="256.5" hidden="1" customHeight="1">
      <c r="A19" s="260"/>
      <c r="B19" s="333"/>
      <c r="C19" s="292"/>
      <c r="D19" s="779" t="s">
        <v>1032</v>
      </c>
      <c r="E19" s="778" t="s">
        <v>1126</v>
      </c>
      <c r="F19" s="301"/>
      <c r="G19" s="255" t="s">
        <v>1127</v>
      </c>
      <c r="I19" s="408"/>
      <c r="J19" s="408"/>
    </row>
    <row r="20" spans="1:16" s="5143" customFormat="1" ht="14.25" customHeight="1">
      <c r="A20" s="260"/>
      <c r="B20" s="72"/>
      <c r="C20" s="225"/>
      <c r="D20" s="780">
        <v>2</v>
      </c>
      <c r="E20" s="248" t="s">
        <v>1128</v>
      </c>
      <c r="F20" s="120" t="s">
        <v>384</v>
      </c>
      <c r="G20" s="255"/>
      <c r="I20" s="267"/>
      <c r="J20" s="267"/>
    </row>
    <row r="21" spans="1:16" s="5143" customFormat="1" ht="18.75" hidden="1" customHeight="1">
      <c r="A21" s="260"/>
      <c r="B21" s="72"/>
      <c r="C21" s="225"/>
      <c r="D21" s="251" t="s">
        <v>958</v>
      </c>
      <c r="E21" s="250"/>
      <c r="F21" s="249"/>
      <c r="G21" s="259"/>
      <c r="H21" s="252"/>
      <c r="I21" s="267"/>
      <c r="J21" s="267"/>
    </row>
    <row r="22" spans="1:16" ht="15" customHeight="1">
      <c r="A22" s="114"/>
      <c r="C22" s="32"/>
      <c r="D22" s="42"/>
      <c r="E22" s="125" t="s">
        <v>400</v>
      </c>
      <c r="F22" s="256"/>
      <c r="G22" s="257"/>
    </row>
    <row r="23" spans="1:16" s="4868" customFormat="1" ht="22.5" hidden="1" customHeight="1">
      <c r="A23" s="260"/>
      <c r="B23" s="1042"/>
      <c r="C23" s="292"/>
      <c r="D23" s="1537" t="s">
        <v>100</v>
      </c>
      <c r="E23" s="119" t="s">
        <v>1129</v>
      </c>
      <c r="F23" s="1534" t="s">
        <v>384</v>
      </c>
      <c r="G23" s="262"/>
      <c r="I23" s="1488"/>
      <c r="J23" s="1488"/>
    </row>
    <row r="24" spans="1:16" s="4868" customFormat="1" ht="14.25" hidden="1" customHeight="1">
      <c r="A24" s="260"/>
      <c r="B24" s="1042"/>
      <c r="C24" s="292"/>
      <c r="D24" s="1537" t="s">
        <v>711</v>
      </c>
      <c r="E24" s="1536" t="s">
        <v>1130</v>
      </c>
      <c r="F24" s="1534" t="s">
        <v>384</v>
      </c>
      <c r="G24" s="255"/>
      <c r="I24" s="1488"/>
      <c r="J24" s="1488"/>
    </row>
    <row r="25" spans="1:16" s="4868" customFormat="1" ht="14.25" hidden="1" customHeight="1">
      <c r="A25" s="260"/>
      <c r="B25" s="1042"/>
      <c r="C25" s="292"/>
      <c r="D25" s="1537" t="s">
        <v>714</v>
      </c>
      <c r="E25" s="117"/>
      <c r="F25" s="301"/>
      <c r="G25" s="5284" t="s">
        <v>1131</v>
      </c>
      <c r="I25" s="1488"/>
      <c r="J25" s="1488"/>
    </row>
    <row r="26" spans="1:16" s="4868" customFormat="1" ht="22.5" hidden="1" customHeight="1">
      <c r="A26" s="260"/>
      <c r="B26" s="1042"/>
      <c r="C26" s="292"/>
      <c r="D26" s="264"/>
      <c r="E26" s="266" t="s">
        <v>1132</v>
      </c>
      <c r="F26" s="256"/>
      <c r="G26" s="5286"/>
      <c r="I26" s="1488"/>
      <c r="J26" s="1488"/>
    </row>
    <row r="27" spans="1:16" ht="3" customHeight="1"/>
    <row r="28" spans="1:16" ht="14.25" customHeight="1">
      <c r="D28" s="254"/>
      <c r="E28" s="253"/>
      <c r="F28" s="233"/>
      <c r="G28" s="233"/>
      <c r="H28" s="233"/>
      <c r="I28" s="233"/>
      <c r="J28" s="233"/>
      <c r="K28" s="233"/>
      <c r="L28" s="233"/>
      <c r="M28" s="233"/>
      <c r="N28" s="233"/>
      <c r="O28" s="233"/>
      <c r="P28" s="233"/>
    </row>
    <row r="29" spans="1:16" ht="14.25" customHeight="1">
      <c r="D29" s="254"/>
      <c r="E29" s="489"/>
    </row>
    <row r="31" spans="1:16" ht="14.25" customHeight="1">
      <c r="E31" s="657"/>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heetViews>
  <sheetFormatPr defaultColWidth="10.5703125" defaultRowHeight="14.25" customHeight="1"/>
  <cols>
    <col min="1" max="1" width="9.140625" style="4858" hidden="1" customWidth="1"/>
    <col min="2" max="2" width="9.140625" style="5145" hidden="1" customWidth="1"/>
    <col min="3" max="3" width="3.7109375" style="5146" customWidth="1"/>
    <col min="4" max="4" width="6.28515625" style="4799" customWidth="1"/>
    <col min="5" max="5" width="63.42578125" style="4799" customWidth="1"/>
    <col min="6" max="6" width="1.7109375" style="4799" hidden="1" customWidth="1"/>
    <col min="7" max="8" width="35.7109375" style="4799" customWidth="1"/>
    <col min="9" max="9" width="91.5703125" style="4799" customWidth="1"/>
    <col min="10" max="10" width="68.85546875" style="4799" customWidth="1"/>
    <col min="11" max="12" width="10.5703125" style="4800"/>
  </cols>
  <sheetData>
    <row r="1" spans="1:12" ht="14.25" hidden="1" customHeight="1"/>
    <row r="2" spans="1:12" s="4868" customFormat="1" ht="18.75" hidden="1" customHeight="1">
      <c r="A2" s="1547"/>
      <c r="B2" s="1042"/>
      <c r="C2" s="1593" t="s">
        <v>101</v>
      </c>
      <c r="D2" s="1537"/>
      <c r="E2" s="121"/>
      <c r="F2" s="1534"/>
      <c r="G2" s="1534" t="s">
        <v>384</v>
      </c>
      <c r="H2" s="1043"/>
      <c r="K2" s="1488"/>
      <c r="L2" s="1488"/>
    </row>
    <row r="3" spans="1:12" s="4868" customFormat="1" ht="14.25" hidden="1" customHeight="1">
      <c r="A3" s="1240"/>
      <c r="B3" s="1042"/>
      <c r="C3" s="261"/>
      <c r="K3" s="1488"/>
      <c r="L3" s="1488"/>
    </row>
    <row r="4" spans="1:12" s="4868" customFormat="1" ht="18.75" hidden="1" customHeight="1">
      <c r="A4" s="1547"/>
      <c r="B4" s="1042"/>
      <c r="C4" s="1593" t="s">
        <v>101</v>
      </c>
      <c r="D4" s="1537"/>
      <c r="E4" s="127" t="s">
        <v>1133</v>
      </c>
      <c r="F4" s="1534"/>
      <c r="G4" s="177"/>
      <c r="H4" s="1534" t="s">
        <v>384</v>
      </c>
      <c r="K4" s="1488"/>
      <c r="L4" s="1488"/>
    </row>
    <row r="5" spans="1:12" s="4868" customFormat="1" ht="14.25" hidden="1" customHeight="1">
      <c r="A5" s="1240"/>
      <c r="B5" s="1042"/>
      <c r="C5" s="261"/>
      <c r="K5" s="1488"/>
      <c r="L5" s="1488"/>
    </row>
    <row r="6" spans="1:12" s="4868" customFormat="1" ht="18.75" hidden="1" customHeight="1">
      <c r="A6" s="1547"/>
      <c r="B6" s="1042"/>
      <c r="C6" s="1593" t="s">
        <v>101</v>
      </c>
      <c r="D6" s="1537"/>
      <c r="E6" s="128" t="s">
        <v>1134</v>
      </c>
      <c r="F6" s="1534"/>
      <c r="G6" s="177"/>
      <c r="H6" s="1534" t="s">
        <v>384</v>
      </c>
      <c r="K6" s="1488"/>
      <c r="L6" s="1488"/>
    </row>
    <row r="7" spans="1:12" s="4868" customFormat="1" ht="14.25" hidden="1" customHeight="1">
      <c r="A7" s="1240"/>
      <c r="B7" s="1042"/>
      <c r="C7" s="261"/>
      <c r="K7" s="1488"/>
      <c r="L7" s="1488"/>
    </row>
    <row r="8" spans="1:12" s="4868" customFormat="1" ht="18.75" hidden="1" customHeight="1">
      <c r="A8" s="1547"/>
      <c r="B8" s="1042"/>
      <c r="C8" s="1593" t="s">
        <v>101</v>
      </c>
      <c r="D8" s="1537"/>
      <c r="E8" s="128" t="s">
        <v>1135</v>
      </c>
      <c r="F8" s="1534"/>
      <c r="G8" s="177"/>
      <c r="H8" s="1534" t="s">
        <v>384</v>
      </c>
      <c r="K8" s="1488"/>
      <c r="L8" s="1488"/>
    </row>
    <row r="9" spans="1:12" s="4868" customFormat="1" ht="14.25" hidden="1" customHeight="1">
      <c r="A9" s="1240"/>
      <c r="B9" s="1042"/>
      <c r="C9" s="261"/>
      <c r="K9" s="1488"/>
      <c r="L9" s="1488"/>
    </row>
    <row r="10" spans="1:12" s="4868" customFormat="1" ht="18.75" hidden="1" customHeight="1">
      <c r="A10" s="1547"/>
      <c r="B10" s="1042"/>
      <c r="C10" s="1593" t="s">
        <v>101</v>
      </c>
      <c r="D10" s="1537"/>
      <c r="E10" s="128" t="s">
        <v>1136</v>
      </c>
      <c r="F10" s="1534"/>
      <c r="G10" s="1538"/>
      <c r="H10" s="1534" t="s">
        <v>384</v>
      </c>
      <c r="K10" s="1488"/>
      <c r="L10" s="1488" t="s">
        <v>1137</v>
      </c>
    </row>
    <row r="11" spans="1:12" ht="14.25" hidden="1" customHeight="1"/>
    <row r="12" spans="1:12" ht="14.25" hidden="1" customHeight="1"/>
    <row r="13" spans="1:12" ht="14.25" customHeight="1">
      <c r="C13" s="32"/>
      <c r="D13" s="20"/>
      <c r="E13" s="20"/>
      <c r="F13" s="20"/>
      <c r="G13" s="20"/>
      <c r="H13" s="21"/>
      <c r="I13" s="21"/>
    </row>
    <row r="14" spans="1:12" ht="27.75" customHeight="1">
      <c r="C14" s="32"/>
      <c r="D14" s="527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5275"/>
      <c r="F14" s="5275"/>
      <c r="G14" s="5275"/>
      <c r="H14" s="5276"/>
      <c r="J14" s="1495"/>
    </row>
    <row r="15" spans="1:12" s="4868" customFormat="1" ht="14.25" customHeight="1">
      <c r="A15" s="1240"/>
      <c r="B15" s="1042"/>
      <c r="C15" s="292"/>
      <c r="D15" s="5341" t="str">
        <f>IF(org=0,"Не определено",org)</f>
        <v>ООО «Газпром теплоэнерго МО»</v>
      </c>
      <c r="E15" s="5342"/>
      <c r="F15" s="5342"/>
      <c r="G15" s="5342"/>
      <c r="H15" s="5343"/>
      <c r="J15" s="747"/>
      <c r="K15" s="1488"/>
      <c r="L15" s="1488"/>
    </row>
    <row r="16" spans="1:12" ht="14.25" customHeight="1">
      <c r="C16" s="32"/>
      <c r="D16" s="20"/>
      <c r="E16" s="31"/>
      <c r="F16" s="31"/>
      <c r="G16" s="31"/>
      <c r="H16" s="651"/>
      <c r="I16" s="115"/>
    </row>
    <row r="17" spans="1:12" s="4868" customFormat="1" ht="14.25" hidden="1" customHeight="1">
      <c r="A17" s="1240"/>
      <c r="B17" s="1042"/>
      <c r="C17" s="292"/>
      <c r="D17" s="280"/>
      <c r="E17" s="305"/>
      <c r="F17" s="305"/>
      <c r="G17" s="305"/>
      <c r="H17" s="651"/>
      <c r="I17" s="115"/>
      <c r="K17" s="1488"/>
      <c r="L17" s="1488"/>
    </row>
    <row r="18" spans="1:12" ht="21" customHeight="1">
      <c r="C18" s="32"/>
      <c r="D18" s="5336" t="s">
        <v>378</v>
      </c>
      <c r="E18" s="5336"/>
      <c r="F18" s="5336"/>
      <c r="G18" s="5336"/>
      <c r="H18" s="5336"/>
      <c r="I18" s="5524" t="s">
        <v>379</v>
      </c>
    </row>
    <row r="19" spans="1:12" ht="21" customHeight="1">
      <c r="C19" s="32"/>
      <c r="D19" s="38" t="s">
        <v>85</v>
      </c>
      <c r="E19" s="41" t="s">
        <v>380</v>
      </c>
      <c r="F19" s="41"/>
      <c r="G19" s="41" t="s">
        <v>381</v>
      </c>
      <c r="H19" s="41" t="s">
        <v>468</v>
      </c>
      <c r="I19" s="5524"/>
    </row>
    <row r="20" spans="1:12" ht="12" hidden="1" customHeight="1">
      <c r="C20" s="32"/>
      <c r="D20" s="23"/>
      <c r="E20" s="23"/>
      <c r="F20" s="23"/>
      <c r="G20" s="23"/>
      <c r="H20" s="23"/>
      <c r="I20" s="23"/>
    </row>
    <row r="21" spans="1:12" ht="14.25" customHeight="1">
      <c r="A21" s="1547"/>
      <c r="C21" s="32"/>
      <c r="D21" s="73">
        <v>1</v>
      </c>
      <c r="E21" s="5525" t="s">
        <v>1138</v>
      </c>
      <c r="F21" s="5525"/>
      <c r="G21" s="5525"/>
      <c r="H21" s="5525"/>
      <c r="I21" s="130"/>
    </row>
    <row r="22" spans="1:12" ht="20.25" customHeight="1">
      <c r="A22" s="1547"/>
      <c r="C22" s="32"/>
      <c r="D22" s="73" t="s">
        <v>1028</v>
      </c>
      <c r="E22" s="116" t="s">
        <v>1139</v>
      </c>
      <c r="F22" s="120"/>
      <c r="G22" s="1600"/>
      <c r="H22" s="120" t="s">
        <v>384</v>
      </c>
      <c r="I22" s="77" t="s">
        <v>1140</v>
      </c>
    </row>
    <row r="23" spans="1:12" ht="45" customHeight="1">
      <c r="A23" s="1547"/>
      <c r="C23" s="32"/>
      <c r="D23" s="73" t="s">
        <v>1030</v>
      </c>
      <c r="E23" s="116" t="s">
        <v>1141</v>
      </c>
      <c r="F23" s="120"/>
      <c r="G23" s="177"/>
      <c r="H23" s="135"/>
      <c r="I23" s="178" t="s">
        <v>1142</v>
      </c>
    </row>
    <row r="24" spans="1:12" ht="14.25" customHeight="1">
      <c r="A24" s="1547"/>
      <c r="B24" s="72">
        <v>3</v>
      </c>
      <c r="C24" s="32"/>
      <c r="D24" s="73">
        <v>2</v>
      </c>
      <c r="E24" s="14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20"/>
      <c r="G24" s="120" t="s">
        <v>384</v>
      </c>
      <c r="H24" s="135"/>
      <c r="I24" s="179" t="s">
        <v>895</v>
      </c>
    </row>
    <row r="25" spans="1:12" ht="46.5" customHeight="1">
      <c r="A25" s="1547"/>
      <c r="C25" s="32"/>
      <c r="D25" s="73">
        <v>3</v>
      </c>
      <c r="E25" s="552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5525"/>
      <c r="G25" s="5525"/>
      <c r="H25" s="5525"/>
      <c r="I25" s="176"/>
    </row>
    <row r="26" spans="1:12" ht="14.25" customHeight="1">
      <c r="A26" s="1547"/>
      <c r="C26" s="32"/>
      <c r="D26" s="73" t="s">
        <v>402</v>
      </c>
      <c r="E26" s="121"/>
      <c r="F26" s="120"/>
      <c r="G26" s="120" t="s">
        <v>384</v>
      </c>
      <c r="H26" s="135"/>
      <c r="I26" s="5284" t="s">
        <v>1143</v>
      </c>
    </row>
    <row r="27" spans="1:12" ht="15" customHeight="1">
      <c r="A27" s="1547" t="s">
        <v>129</v>
      </c>
      <c r="C27" s="32"/>
      <c r="D27" s="42"/>
      <c r="E27" s="125" t="s">
        <v>400</v>
      </c>
      <c r="F27" s="126"/>
      <c r="G27" s="126"/>
      <c r="H27" s="123"/>
      <c r="I27" s="5286"/>
    </row>
    <row r="28" spans="1:12" ht="38.25" customHeight="1">
      <c r="A28" s="1547"/>
      <c r="B28" s="72">
        <v>3</v>
      </c>
      <c r="C28" s="32"/>
      <c r="D28" s="73">
        <v>4</v>
      </c>
      <c r="E28" s="552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5525"/>
      <c r="G28" s="5525"/>
      <c r="H28" s="5525"/>
      <c r="I28" s="176"/>
    </row>
    <row r="29" spans="1:12" ht="20.25" customHeight="1">
      <c r="A29" s="1547"/>
      <c r="C29" s="32"/>
      <c r="D29" s="73" t="s">
        <v>756</v>
      </c>
      <c r="E29" s="127" t="s">
        <v>1133</v>
      </c>
      <c r="F29" s="120"/>
      <c r="G29" s="177"/>
      <c r="H29" s="120" t="s">
        <v>384</v>
      </c>
      <c r="I29" s="5284" t="s">
        <v>1144</v>
      </c>
    </row>
    <row r="30" spans="1:12" ht="15" customHeight="1">
      <c r="A30" s="1547" t="s">
        <v>100</v>
      </c>
      <c r="C30" s="32"/>
      <c r="D30" s="42"/>
      <c r="E30" s="125" t="s">
        <v>400</v>
      </c>
      <c r="F30" s="126"/>
      <c r="G30" s="126"/>
      <c r="H30" s="123"/>
      <c r="I30" s="5286"/>
    </row>
    <row r="31" spans="1:12" ht="30" customHeight="1">
      <c r="A31" s="1547"/>
      <c r="B31" s="72">
        <v>3</v>
      </c>
      <c r="C31" s="32"/>
      <c r="D31" s="73">
        <v>5</v>
      </c>
      <c r="E31" s="552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5525"/>
      <c r="G31" s="5525"/>
      <c r="H31" s="5525"/>
      <c r="I31" s="176"/>
    </row>
    <row r="32" spans="1:12" ht="26.25" customHeight="1">
      <c r="A32" s="1547"/>
      <c r="C32" s="32"/>
      <c r="D32" s="73" t="s">
        <v>391</v>
      </c>
      <c r="E32" s="548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5482"/>
      <c r="G32" s="5482"/>
      <c r="H32" s="5482"/>
      <c r="I32" s="176"/>
    </row>
    <row r="33" spans="1:12" ht="14.25" customHeight="1">
      <c r="A33" s="1547"/>
      <c r="C33" s="32"/>
      <c r="D33" s="73" t="s">
        <v>1145</v>
      </c>
      <c r="E33" s="128" t="s">
        <v>1134</v>
      </c>
      <c r="F33" s="120"/>
      <c r="G33" s="177"/>
      <c r="H33" s="120" t="s">
        <v>384</v>
      </c>
      <c r="I33" s="5284" t="s">
        <v>1146</v>
      </c>
    </row>
    <row r="34" spans="1:12" ht="15" customHeight="1">
      <c r="A34" s="1547" t="s">
        <v>87</v>
      </c>
      <c r="C34" s="32"/>
      <c r="D34" s="42"/>
      <c r="E34" s="126" t="s">
        <v>400</v>
      </c>
      <c r="F34" s="122"/>
      <c r="G34" s="122"/>
      <c r="H34" s="123"/>
      <c r="I34" s="5286"/>
    </row>
    <row r="35" spans="1:12" ht="24" customHeight="1">
      <c r="A35" s="1547"/>
      <c r="C35" s="32"/>
      <c r="D35" s="73" t="s">
        <v>885</v>
      </c>
      <c r="E35" s="548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5482"/>
      <c r="G35" s="5482"/>
      <c r="H35" s="5482"/>
      <c r="I35" s="176"/>
    </row>
    <row r="36" spans="1:12" ht="14.25" customHeight="1">
      <c r="A36" s="1547"/>
      <c r="C36" s="32"/>
      <c r="D36" s="73" t="s">
        <v>1147</v>
      </c>
      <c r="E36" s="128" t="s">
        <v>1135</v>
      </c>
      <c r="F36" s="120"/>
      <c r="G36" s="177"/>
      <c r="H36" s="120" t="s">
        <v>384</v>
      </c>
      <c r="I36" s="5260" t="s">
        <v>1148</v>
      </c>
    </row>
    <row r="37" spans="1:12" ht="15" customHeight="1">
      <c r="A37" s="1547" t="s">
        <v>88</v>
      </c>
      <c r="C37" s="32"/>
      <c r="D37" s="42"/>
      <c r="E37" s="126" t="s">
        <v>400</v>
      </c>
      <c r="F37" s="122"/>
      <c r="G37" s="122"/>
      <c r="H37" s="123"/>
      <c r="I37" s="5260"/>
    </row>
    <row r="38" spans="1:12" ht="26.25" customHeight="1">
      <c r="A38" s="1547"/>
      <c r="C38" s="32"/>
      <c r="D38" s="73" t="s">
        <v>886</v>
      </c>
      <c r="E38" s="548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5482"/>
      <c r="G38" s="5482"/>
      <c r="H38" s="5482"/>
      <c r="I38" s="176"/>
    </row>
    <row r="39" spans="1:12" ht="14.25" customHeight="1">
      <c r="A39" s="1547"/>
      <c r="C39" s="32"/>
      <c r="D39" s="73" t="s">
        <v>887</v>
      </c>
      <c r="E39" s="128" t="s">
        <v>1136</v>
      </c>
      <c r="F39" s="120"/>
      <c r="G39" s="129"/>
      <c r="H39" s="120" t="s">
        <v>384</v>
      </c>
      <c r="I39" s="5284" t="s">
        <v>1149</v>
      </c>
      <c r="L39" s="79" t="s">
        <v>1137</v>
      </c>
    </row>
    <row r="40" spans="1:12" ht="15" customHeight="1">
      <c r="A40" s="1547" t="s">
        <v>114</v>
      </c>
      <c r="C40" s="32"/>
      <c r="D40" s="42"/>
      <c r="E40" s="126" t="s">
        <v>400</v>
      </c>
      <c r="F40" s="122"/>
      <c r="G40" s="122"/>
      <c r="H40" s="123"/>
      <c r="I40" s="5286"/>
    </row>
    <row r="41" spans="1:12" s="5147" customFormat="1" ht="3" customHeight="1">
      <c r="A41" s="1547"/>
      <c r="K41" s="118"/>
      <c r="L41" s="118"/>
    </row>
    <row r="42" spans="1:12" ht="24.75" customHeight="1">
      <c r="D42" s="1545" t="s">
        <v>807</v>
      </c>
      <c r="E42" s="539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5396"/>
      <c r="G42" s="5396"/>
      <c r="H42" s="5396"/>
      <c r="I42" s="5396"/>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5148" hidden="1" customWidth="1"/>
    <col min="3" max="3" width="9.140625" style="5149" hidden="1" customWidth="1"/>
    <col min="4" max="4" width="3.7109375" style="4860" customWidth="1"/>
    <col min="5" max="5" width="6.28515625" style="5150" customWidth="1"/>
    <col min="6" max="6" width="46.7109375" style="5150" customWidth="1"/>
    <col min="7" max="7" width="35.7109375" style="5150" customWidth="1"/>
    <col min="8" max="8" width="3.7109375" style="5150" customWidth="1"/>
    <col min="9" max="10" width="11.7109375" style="5150" customWidth="1"/>
    <col min="11" max="12" width="35.7109375" style="5150" customWidth="1"/>
    <col min="13" max="13" width="84.85546875" style="5150" customWidth="1"/>
    <col min="14" max="14" width="10.5703125" style="5150"/>
    <col min="15" max="16" width="10.5703125" style="5151"/>
    <col min="17" max="33" width="10.5703125" style="5150"/>
  </cols>
  <sheetData>
    <row r="1" spans="1:33" s="4868" customFormat="1" ht="14.25" hidden="1" customHeight="1">
      <c r="A1" s="1642"/>
      <c r="B1" s="1642"/>
      <c r="C1" s="285"/>
      <c r="D1" s="261"/>
      <c r="N1" s="1500">
        <f>IFERROR(MATCH("метод экономически обоснованных расходов (затрат)",OFFER_METHOD,0),0)</f>
        <v>0</v>
      </c>
      <c r="O1" s="1488"/>
      <c r="P1" s="1488"/>
      <c r="T1" s="730"/>
      <c r="AG1" s="175"/>
    </row>
    <row r="2" spans="1:33" s="4868" customFormat="1" ht="18.75" hidden="1" customHeight="1">
      <c r="A2" s="1643" t="s">
        <v>172</v>
      </c>
      <c r="B2" s="1643" t="s">
        <v>173</v>
      </c>
      <c r="C2" s="285"/>
      <c r="D2" s="261"/>
      <c r="E2" s="920"/>
      <c r="F2" s="920"/>
      <c r="G2" s="5498" t="str">
        <f>INDEX(PT_DIFFERENTIATION_NTAR,MATCH(B2,PT_DIFFERENTIATION_NTAR_ID,0))</f>
        <v/>
      </c>
      <c r="H2" s="1726"/>
      <c r="I2" s="1602"/>
      <c r="J2" s="1636"/>
      <c r="K2" s="1727"/>
      <c r="L2" s="1726" t="s">
        <v>384</v>
      </c>
      <c r="M2" s="1736"/>
      <c r="N2" s="252"/>
      <c r="O2" s="1488"/>
      <c r="P2" s="1488"/>
    </row>
    <row r="3" spans="1:33" s="4868" customFormat="1" ht="18.75" hidden="1" customHeight="1">
      <c r="A3" s="1643"/>
      <c r="B3" s="1643"/>
      <c r="C3" s="285" t="s">
        <v>1150</v>
      </c>
      <c r="D3" s="261"/>
      <c r="E3" s="920"/>
      <c r="F3" s="920"/>
      <c r="G3" s="5498"/>
      <c r="H3" s="1372"/>
      <c r="I3" s="554" t="s">
        <v>1151</v>
      </c>
      <c r="J3" s="478"/>
      <c r="K3" s="1372"/>
      <c r="L3" s="136"/>
      <c r="M3" s="1736"/>
      <c r="N3" s="252"/>
      <c r="O3" s="1488"/>
      <c r="P3" s="1488"/>
    </row>
    <row r="4" spans="1:33" s="4868" customFormat="1" ht="14.25" hidden="1" customHeight="1">
      <c r="A4" s="1642"/>
      <c r="B4" s="1642"/>
      <c r="C4" s="285"/>
      <c r="D4" s="261"/>
      <c r="N4" s="1500">
        <f>IFERROR(MATCH("метод экономически обоснованных расходов (затрат)",OFFER_METHOD,0),0)</f>
        <v>0</v>
      </c>
      <c r="O4" s="1488"/>
      <c r="P4" s="1488"/>
      <c r="T4" s="730"/>
      <c r="AG4" s="175"/>
    </row>
    <row r="5" spans="1:33" s="4868" customFormat="1" ht="18.75" hidden="1" customHeight="1">
      <c r="A5" s="1643" t="s">
        <v>172</v>
      </c>
      <c r="B5" s="1643" t="s">
        <v>173</v>
      </c>
      <c r="C5" s="285"/>
      <c r="D5" s="261"/>
      <c r="E5" s="920"/>
      <c r="F5" s="920"/>
      <c r="G5" s="5498" t="str">
        <f>INDEX(PT_DIFFERENTIATION_NTAR,MATCH(B5,PT_DIFFERENTIATION_NTAR_ID,0))</f>
        <v/>
      </c>
      <c r="H5" s="1726"/>
      <c r="I5" s="1602"/>
      <c r="J5" s="1636"/>
      <c r="K5" s="1641"/>
      <c r="L5" s="1726" t="s">
        <v>384</v>
      </c>
      <c r="M5" s="1736"/>
      <c r="N5" s="252"/>
      <c r="O5" s="1488"/>
      <c r="P5" s="1488"/>
    </row>
    <row r="6" spans="1:33" s="4868" customFormat="1" ht="18.75" hidden="1" customHeight="1">
      <c r="A6" s="1643"/>
      <c r="B6" s="1643"/>
      <c r="C6" s="285" t="s">
        <v>1152</v>
      </c>
      <c r="D6" s="261"/>
      <c r="E6" s="920"/>
      <c r="F6" s="920"/>
      <c r="G6" s="5498"/>
      <c r="H6" s="1372"/>
      <c r="I6" s="554" t="s">
        <v>1151</v>
      </c>
      <c r="J6" s="478"/>
      <c r="K6" s="1372"/>
      <c r="L6" s="136"/>
      <c r="M6" s="1736"/>
      <c r="N6" s="252"/>
      <c r="O6" s="1488"/>
      <c r="P6" s="1488"/>
    </row>
    <row r="7" spans="1:33" s="4868" customFormat="1" ht="14.25" hidden="1" customHeight="1">
      <c r="A7" s="1642"/>
      <c r="B7" s="1642"/>
      <c r="C7" s="285"/>
      <c r="D7" s="261"/>
      <c r="N7" s="1500">
        <f>IFERROR(MATCH("метод экономически обоснованных расходов (затрат)",OFFER_METHOD,0),0)</f>
        <v>0</v>
      </c>
      <c r="O7" s="1488"/>
      <c r="P7" s="1488"/>
      <c r="T7" s="730"/>
      <c r="AG7" s="175"/>
    </row>
    <row r="8" spans="1:33" s="4868" customFormat="1" ht="56.25" hidden="1" customHeight="1">
      <c r="A8" s="1643"/>
      <c r="B8" s="1643"/>
      <c r="C8" s="285"/>
      <c r="D8" s="261"/>
      <c r="E8" s="920"/>
      <c r="F8" s="920"/>
      <c r="G8" s="920"/>
      <c r="H8" s="1634"/>
      <c r="I8" s="1602"/>
      <c r="J8" s="1636"/>
      <c r="K8" s="1727"/>
      <c r="L8" s="1634" t="s">
        <v>384</v>
      </c>
      <c r="M8" s="1736"/>
      <c r="N8" s="252"/>
      <c r="O8" s="1488"/>
      <c r="P8" s="1488"/>
    </row>
    <row r="9" spans="1:33" ht="14.25" hidden="1" customHeight="1">
      <c r="T9" s="313"/>
      <c r="AG9" s="175"/>
    </row>
    <row r="10" spans="1:33" s="4868" customFormat="1" ht="56.25" hidden="1" customHeight="1">
      <c r="A10" s="1643"/>
      <c r="B10" s="1643"/>
      <c r="C10" s="285"/>
      <c r="D10" s="261"/>
      <c r="E10" s="920"/>
      <c r="F10" s="920"/>
      <c r="G10" s="920"/>
      <c r="H10" s="1633"/>
      <c r="I10" s="1602"/>
      <c r="J10" s="1636"/>
      <c r="K10" s="1641"/>
      <c r="L10" s="1634" t="s">
        <v>384</v>
      </c>
      <c r="M10" s="1736"/>
      <c r="N10" s="252"/>
      <c r="O10" s="1488"/>
      <c r="P10" s="1488"/>
    </row>
    <row r="11" spans="1:33" ht="14.25" hidden="1" customHeight="1"/>
    <row r="12" spans="1:33" ht="14.25" hidden="1" customHeight="1"/>
    <row r="13" spans="1:33" ht="6" customHeight="1">
      <c r="D13" s="292"/>
      <c r="E13" s="280"/>
      <c r="F13" s="280"/>
      <c r="G13" s="280"/>
      <c r="H13" s="280"/>
      <c r="I13" s="280"/>
      <c r="J13" s="280"/>
      <c r="K13" s="280"/>
      <c r="L13" s="21"/>
      <c r="M13" s="21"/>
    </row>
    <row r="14" spans="1:33" ht="14.25" customHeight="1">
      <c r="D14" s="292"/>
      <c r="E14" s="552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5529"/>
      <c r="G14" s="5529"/>
      <c r="H14" s="5529"/>
      <c r="I14" s="5529"/>
      <c r="J14" s="5529"/>
      <c r="K14" s="5529"/>
      <c r="L14" s="5529"/>
      <c r="M14" s="142"/>
    </row>
    <row r="15" spans="1:33" ht="6" customHeight="1">
      <c r="D15" s="292"/>
      <c r="E15" s="280"/>
      <c r="F15" s="305"/>
      <c r="G15" s="305"/>
      <c r="H15" s="305"/>
      <c r="I15" s="305"/>
      <c r="J15" s="305"/>
      <c r="K15" s="305"/>
      <c r="L15" s="240"/>
      <c r="M15" s="115"/>
    </row>
    <row r="16" spans="1:33" ht="18.75" customHeight="1">
      <c r="D16" s="292"/>
      <c r="E16" s="280"/>
      <c r="F16" s="223" t="str">
        <f>"Дата подачи заявления об "&amp;IF(TITLE_DATE_PR_CHANGE="","утверждении","изменении")&amp;" тарифов"</f>
        <v>Дата подачи заявления об утверждении тарифов</v>
      </c>
      <c r="G16" s="5378">
        <f>IF(TITLE_DATE_PR_CHANGE="",IF(TITLE_DATE_PR="","",TITLE_DATE_PR),TITLE_DATE_PR_CHANGE)</f>
        <v>45280</v>
      </c>
      <c r="H16" s="5378"/>
      <c r="I16" s="5378"/>
      <c r="J16" s="5378"/>
      <c r="K16" s="5378"/>
      <c r="L16" s="5378"/>
      <c r="M16" s="314"/>
      <c r="N16" s="244"/>
    </row>
    <row r="17" spans="1:16" ht="18.75" customHeight="1">
      <c r="D17" s="292"/>
      <c r="E17" s="280"/>
      <c r="F17" s="223" t="str">
        <f>"Номер подачи заявления об "&amp;IF(TITLE_DATE_PR_CHANGE="","утверждении","изменении")&amp;" тарифов"</f>
        <v>Номер подачи заявления об утверждении тарифов</v>
      </c>
      <c r="G17" s="5369" t="str">
        <f>IF(TITLE_NUMBER_PR_CHANGE="",IF(TITLE_NUMBER_PR="","",TITLE_NUMBER_PR),TITLE_NUMBER_PR_CHANGE)</f>
        <v>317-Р</v>
      </c>
      <c r="H17" s="5369"/>
      <c r="I17" s="5369"/>
      <c r="J17" s="5369"/>
      <c r="K17" s="5369"/>
      <c r="L17" s="5369"/>
      <c r="M17" s="314"/>
      <c r="N17" s="244"/>
    </row>
    <row r="18" spans="1:16" ht="14.25" customHeight="1">
      <c r="D18" s="292"/>
      <c r="E18" s="280"/>
      <c r="F18" s="305"/>
      <c r="G18" s="305"/>
      <c r="H18" s="305"/>
      <c r="I18" s="305"/>
      <c r="J18" s="305"/>
      <c r="K18" s="305"/>
      <c r="L18" s="651"/>
      <c r="M18" s="115"/>
    </row>
    <row r="19" spans="1:16" ht="21" customHeight="1">
      <c r="D19" s="292"/>
      <c r="E19" s="5336" t="s">
        <v>378</v>
      </c>
      <c r="F19" s="5336"/>
      <c r="G19" s="5336"/>
      <c r="H19" s="5336"/>
      <c r="I19" s="5336"/>
      <c r="J19" s="5336"/>
      <c r="K19" s="5336"/>
      <c r="L19" s="5336"/>
      <c r="M19" s="5524" t="s">
        <v>379</v>
      </c>
    </row>
    <row r="20" spans="1:16" ht="21" customHeight="1">
      <c r="D20" s="292"/>
      <c r="E20" s="5388" t="s">
        <v>85</v>
      </c>
      <c r="F20" s="5349" t="s">
        <v>140</v>
      </c>
      <c r="G20" s="5349" t="s">
        <v>141</v>
      </c>
      <c r="H20" s="5503" t="s">
        <v>1153</v>
      </c>
      <c r="I20" s="5504"/>
      <c r="J20" s="5505"/>
      <c r="K20" s="5349" t="s">
        <v>381</v>
      </c>
      <c r="L20" s="5349" t="s">
        <v>468</v>
      </c>
      <c r="M20" s="5524"/>
    </row>
    <row r="21" spans="1:16" ht="21" customHeight="1">
      <c r="D21" s="292"/>
      <c r="E21" s="5390"/>
      <c r="F21" s="5350"/>
      <c r="G21" s="5350"/>
      <c r="H21" s="5344" t="s">
        <v>1154</v>
      </c>
      <c r="I21" s="5346"/>
      <c r="J21" s="41" t="s">
        <v>1155</v>
      </c>
      <c r="K21" s="5350"/>
      <c r="L21" s="5350"/>
      <c r="M21" s="5524"/>
    </row>
    <row r="22" spans="1:16" ht="12" customHeight="1">
      <c r="D22" s="292"/>
      <c r="E22" s="200"/>
      <c r="F22" s="200"/>
      <c r="G22" s="200"/>
      <c r="H22" s="5531"/>
      <c r="I22" s="5531"/>
      <c r="J22" s="200"/>
      <c r="K22" s="200"/>
      <c r="L22" s="200"/>
      <c r="M22" s="200"/>
    </row>
    <row r="23" spans="1:16" ht="18.75" customHeight="1">
      <c r="A23" s="1643"/>
      <c r="B23" s="1643"/>
      <c r="D23" s="292"/>
      <c r="E23" s="1728" t="s">
        <v>129</v>
      </c>
      <c r="F23" s="5532" t="str">
        <f>"Предлагаемый метод регулирования"&amp;IF(TEMPLATE_SPHERE="HEAT"," в сфере "&amp;TEMPLATE_SPHERE_RUS,"")</f>
        <v>Предлагаемый метод регулирования</v>
      </c>
      <c r="G23" s="5532"/>
      <c r="H23" s="5525"/>
      <c r="I23" s="5525"/>
      <c r="J23" s="5525"/>
      <c r="K23" s="5532" t="s">
        <v>384</v>
      </c>
      <c r="L23" s="5525"/>
      <c r="M23" s="1632"/>
      <c r="N23" s="252"/>
    </row>
    <row r="24" spans="1:16" ht="60.75" hidden="1" customHeight="1">
      <c r="A24" s="1643" t="s">
        <v>172</v>
      </c>
      <c r="B24" s="1643" t="s">
        <v>173</v>
      </c>
      <c r="D24" s="5530"/>
      <c r="E24" s="5331"/>
      <c r="F24" s="553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5498" t="str">
        <f>INDEX(PT_DIFFERENTIATION_NTAR,MATCH(B24,PT_DIFFERENTIATION_NTAR_ID,0))</f>
        <v/>
      </c>
      <c r="H24" s="1724"/>
      <c r="I24" s="1602"/>
      <c r="J24" s="1636"/>
      <c r="K24" s="1727"/>
      <c r="L24" s="1631" t="s">
        <v>384</v>
      </c>
      <c r="M24" s="52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2"/>
    </row>
    <row r="25" spans="1:16" s="4868" customFormat="1" ht="18.75" hidden="1" customHeight="1">
      <c r="A25" s="1643"/>
      <c r="B25" s="1643"/>
      <c r="C25" s="285" t="s">
        <v>1150</v>
      </c>
      <c r="D25" s="5530"/>
      <c r="E25" s="5331"/>
      <c r="F25" s="5533"/>
      <c r="G25" s="5498"/>
      <c r="H25" s="1372"/>
      <c r="I25" s="554" t="s">
        <v>1151</v>
      </c>
      <c r="J25" s="478"/>
      <c r="K25" s="1372"/>
      <c r="L25" s="136"/>
      <c r="M25" s="5285"/>
      <c r="N25" s="252"/>
      <c r="O25" s="1488"/>
      <c r="P25" s="1488"/>
    </row>
    <row r="26" spans="1:16" ht="0.75" hidden="1" customHeight="1">
      <c r="A26" s="1643"/>
      <c r="B26" s="1643"/>
      <c r="C26" s="285" t="s">
        <v>1156</v>
      </c>
      <c r="D26" s="5530"/>
      <c r="E26" s="5331"/>
      <c r="F26" s="5470"/>
      <c r="G26" s="316"/>
      <c r="H26" s="1372"/>
      <c r="I26" s="311"/>
      <c r="J26" s="266"/>
      <c r="K26" s="1372"/>
      <c r="L26" s="123"/>
      <c r="M26" s="5285"/>
      <c r="N26" s="252"/>
    </row>
    <row r="27" spans="1:16" s="4868" customFormat="1" ht="45" hidden="1" customHeight="1">
      <c r="A27" s="1643" t="s">
        <v>178</v>
      </c>
      <c r="B27" s="1643" t="s">
        <v>179</v>
      </c>
      <c r="C27" s="285"/>
      <c r="D27" s="5526"/>
      <c r="E27" s="5527"/>
      <c r="F27" s="552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5498" t="str">
        <f>INDEX(PT_DIFFERENTIATION_NTAR,MATCH(B27,PT_DIFFERENTIATION_NTAR_ID,0))</f>
        <v/>
      </c>
      <c r="H27" s="1724"/>
      <c r="I27" s="1602"/>
      <c r="J27" s="1636"/>
      <c r="K27" s="1727"/>
      <c r="L27" s="1724" t="s">
        <v>384</v>
      </c>
      <c r="M27" s="5285"/>
      <c r="N27" s="252"/>
      <c r="O27" s="1488"/>
      <c r="P27" s="1488"/>
    </row>
    <row r="28" spans="1:16" s="4868" customFormat="1" ht="18.75" hidden="1" customHeight="1">
      <c r="A28" s="1643"/>
      <c r="B28" s="1643"/>
      <c r="C28" s="285" t="s">
        <v>1150</v>
      </c>
      <c r="D28" s="5526"/>
      <c r="E28" s="5527"/>
      <c r="F28" s="5528"/>
      <c r="G28" s="5498"/>
      <c r="H28" s="1372"/>
      <c r="I28" s="554" t="s">
        <v>1151</v>
      </c>
      <c r="J28" s="478"/>
      <c r="K28" s="1372"/>
      <c r="L28" s="136"/>
      <c r="M28" s="5285"/>
      <c r="N28" s="252"/>
      <c r="O28" s="1488"/>
      <c r="P28" s="1488"/>
    </row>
    <row r="29" spans="1:16" s="4868" customFormat="1" ht="0.75" hidden="1" customHeight="1">
      <c r="A29" s="1643"/>
      <c r="B29" s="1643"/>
      <c r="C29" s="285" t="s">
        <v>1156</v>
      </c>
      <c r="D29" s="5526"/>
      <c r="E29" s="5331"/>
      <c r="F29" s="5470"/>
      <c r="G29" s="316"/>
      <c r="H29" s="1372"/>
      <c r="I29" s="554"/>
      <c r="J29" s="478"/>
      <c r="K29" s="1372"/>
      <c r="L29" s="136"/>
      <c r="M29" s="5285"/>
      <c r="N29" s="252"/>
      <c r="O29" s="1488"/>
      <c r="P29" s="1488"/>
    </row>
    <row r="30" spans="1:16" s="4868" customFormat="1" ht="45" hidden="1" customHeight="1">
      <c r="A30" s="1643" t="s">
        <v>184</v>
      </c>
      <c r="B30" s="1643" t="s">
        <v>185</v>
      </c>
      <c r="C30" s="285"/>
      <c r="D30" s="5526"/>
      <c r="E30" s="5331"/>
      <c r="F30" s="547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5498" t="str">
        <f>INDEX(PT_DIFFERENTIATION_NTAR,MATCH(B30,PT_DIFFERENTIATION_NTAR_ID,0))</f>
        <v/>
      </c>
      <c r="H30" s="1724"/>
      <c r="I30" s="1602"/>
      <c r="J30" s="1636"/>
      <c r="K30" s="1727"/>
      <c r="L30" s="1724" t="s">
        <v>384</v>
      </c>
      <c r="M30" s="5285"/>
      <c r="N30" s="252"/>
      <c r="O30" s="1488"/>
      <c r="P30" s="1488"/>
    </row>
    <row r="31" spans="1:16" s="4868" customFormat="1" ht="18.75" hidden="1" customHeight="1">
      <c r="A31" s="1643"/>
      <c r="B31" s="1643"/>
      <c r="C31" s="285" t="s">
        <v>1150</v>
      </c>
      <c r="D31" s="5526"/>
      <c r="E31" s="5331"/>
      <c r="F31" s="5470"/>
      <c r="G31" s="5498"/>
      <c r="H31" s="1372"/>
      <c r="I31" s="554" t="s">
        <v>1151</v>
      </c>
      <c r="J31" s="478"/>
      <c r="K31" s="1372"/>
      <c r="L31" s="136"/>
      <c r="M31" s="5285"/>
      <c r="N31" s="252"/>
      <c r="O31" s="1488"/>
      <c r="P31" s="1488"/>
    </row>
    <row r="32" spans="1:16" s="4868" customFormat="1" ht="0.75" hidden="1" customHeight="1">
      <c r="A32" s="1643"/>
      <c r="B32" s="1643"/>
      <c r="C32" s="285" t="s">
        <v>1156</v>
      </c>
      <c r="D32" s="5526"/>
      <c r="E32" s="5331"/>
      <c r="F32" s="5470"/>
      <c r="G32" s="316"/>
      <c r="H32" s="1372"/>
      <c r="I32" s="554"/>
      <c r="J32" s="478"/>
      <c r="K32" s="1372"/>
      <c r="L32" s="136"/>
      <c r="M32" s="5285"/>
      <c r="N32" s="252"/>
      <c r="O32" s="1488"/>
      <c r="P32" s="1488"/>
    </row>
    <row r="33" spans="1:16" s="4868" customFormat="1" ht="45" hidden="1" customHeight="1">
      <c r="A33" s="1643" t="s">
        <v>190</v>
      </c>
      <c r="B33" s="1643" t="s">
        <v>191</v>
      </c>
      <c r="C33" s="285"/>
      <c r="D33" s="5526"/>
      <c r="E33" s="5331"/>
      <c r="F33" s="547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5498" t="str">
        <f>INDEX(PT_DIFFERENTIATION_NTAR,MATCH(B33,PT_DIFFERENTIATION_NTAR_ID,0))</f>
        <v/>
      </c>
      <c r="H33" s="1724"/>
      <c r="I33" s="1602"/>
      <c r="J33" s="1636"/>
      <c r="K33" s="1727"/>
      <c r="L33" s="1724" t="s">
        <v>384</v>
      </c>
      <c r="M33" s="5285"/>
      <c r="N33" s="252"/>
      <c r="O33" s="1488"/>
      <c r="P33" s="1488"/>
    </row>
    <row r="34" spans="1:16" s="4868" customFormat="1" ht="18.75" hidden="1" customHeight="1">
      <c r="A34" s="1643"/>
      <c r="B34" s="1643"/>
      <c r="C34" s="285" t="s">
        <v>1150</v>
      </c>
      <c r="D34" s="5526"/>
      <c r="E34" s="5331"/>
      <c r="F34" s="5470"/>
      <c r="G34" s="5498"/>
      <c r="H34" s="1372"/>
      <c r="I34" s="554" t="s">
        <v>1151</v>
      </c>
      <c r="J34" s="478"/>
      <c r="K34" s="1372"/>
      <c r="L34" s="136"/>
      <c r="M34" s="5285"/>
      <c r="N34" s="252"/>
      <c r="O34" s="1488"/>
      <c r="P34" s="1488"/>
    </row>
    <row r="35" spans="1:16" s="4868" customFormat="1" ht="0.75" hidden="1" customHeight="1">
      <c r="A35" s="1643"/>
      <c r="B35" s="1643"/>
      <c r="C35" s="285" t="s">
        <v>1156</v>
      </c>
      <c r="D35" s="5526"/>
      <c r="E35" s="5331"/>
      <c r="F35" s="5470"/>
      <c r="G35" s="316"/>
      <c r="H35" s="1372"/>
      <c r="I35" s="554"/>
      <c r="J35" s="478"/>
      <c r="K35" s="1372"/>
      <c r="L35" s="136"/>
      <c r="M35" s="5285"/>
      <c r="N35" s="252"/>
      <c r="O35" s="1488"/>
      <c r="P35" s="1488"/>
    </row>
    <row r="36" spans="1:16" s="4868" customFormat="1" ht="18.75" hidden="1" customHeight="1">
      <c r="A36" s="1643" t="s">
        <v>196</v>
      </c>
      <c r="B36" s="1643" t="s">
        <v>197</v>
      </c>
      <c r="C36" s="285"/>
      <c r="D36" s="5526"/>
      <c r="E36" s="5331"/>
      <c r="F36" s="5470" t="str">
        <f>INDEX(PT_DIFFERENTIATION_VTAR,MATCH(A36,PT_DIFFERENTIATION_VTAR_ID,0))</f>
        <v>Тарифы на услуги по передаче тепловой энергии</v>
      </c>
      <c r="G36" s="5498" t="str">
        <f>INDEX(PT_DIFFERENTIATION_NTAR,MATCH(B36,PT_DIFFERENTIATION_NTAR_ID,0))</f>
        <v/>
      </c>
      <c r="H36" s="1724"/>
      <c r="I36" s="1602"/>
      <c r="J36" s="1636"/>
      <c r="K36" s="1727"/>
      <c r="L36" s="1724" t="s">
        <v>384</v>
      </c>
      <c r="M36" s="5285"/>
      <c r="N36" s="252"/>
      <c r="O36" s="1488"/>
      <c r="P36" s="1488"/>
    </row>
    <row r="37" spans="1:16" s="4868" customFormat="1" ht="18.75" hidden="1" customHeight="1">
      <c r="A37" s="1643"/>
      <c r="B37" s="1643"/>
      <c r="C37" s="285" t="s">
        <v>1150</v>
      </c>
      <c r="D37" s="5526"/>
      <c r="E37" s="5331"/>
      <c r="F37" s="5470"/>
      <c r="G37" s="5498"/>
      <c r="H37" s="1372"/>
      <c r="I37" s="554" t="s">
        <v>1151</v>
      </c>
      <c r="J37" s="478"/>
      <c r="K37" s="1372"/>
      <c r="L37" s="136"/>
      <c r="M37" s="5285"/>
      <c r="N37" s="252"/>
      <c r="O37" s="1488"/>
      <c r="P37" s="1488"/>
    </row>
    <row r="38" spans="1:16" s="4868" customFormat="1" ht="0.75" hidden="1" customHeight="1">
      <c r="A38" s="1643"/>
      <c r="B38" s="1643"/>
      <c r="C38" s="285" t="s">
        <v>1156</v>
      </c>
      <c r="D38" s="5526"/>
      <c r="E38" s="5331"/>
      <c r="F38" s="5470"/>
      <c r="G38" s="316"/>
      <c r="H38" s="1372"/>
      <c r="I38" s="554"/>
      <c r="J38" s="478"/>
      <c r="K38" s="1372"/>
      <c r="L38" s="136"/>
      <c r="M38" s="5285"/>
      <c r="N38" s="252"/>
      <c r="O38" s="1488"/>
      <c r="P38" s="1488"/>
    </row>
    <row r="39" spans="1:16" s="4868" customFormat="1" ht="18.75" hidden="1" customHeight="1">
      <c r="A39" s="1643" t="s">
        <v>202</v>
      </c>
      <c r="B39" s="1643" t="s">
        <v>203</v>
      </c>
      <c r="C39" s="285"/>
      <c r="D39" s="5526"/>
      <c r="E39" s="5331"/>
      <c r="F39" s="5470" t="str">
        <f>INDEX(PT_DIFFERENTIATION_VTAR,MATCH(A39,PT_DIFFERENTIATION_VTAR_ID,0))</f>
        <v>Тарифы на услуги по передаче теплоносителя</v>
      </c>
      <c r="G39" s="5498" t="str">
        <f>INDEX(PT_DIFFERENTIATION_NTAR,MATCH(B39,PT_DIFFERENTIATION_NTAR_ID,0))</f>
        <v/>
      </c>
      <c r="H39" s="1724"/>
      <c r="I39" s="1602"/>
      <c r="J39" s="1636"/>
      <c r="K39" s="1727"/>
      <c r="L39" s="1724" t="s">
        <v>384</v>
      </c>
      <c r="M39" s="5285"/>
      <c r="N39" s="252"/>
      <c r="O39" s="1488"/>
      <c r="P39" s="1488"/>
    </row>
    <row r="40" spans="1:16" s="4868" customFormat="1" ht="18.75" hidden="1" customHeight="1">
      <c r="A40" s="1643"/>
      <c r="B40" s="1643"/>
      <c r="C40" s="285" t="s">
        <v>1150</v>
      </c>
      <c r="D40" s="5526"/>
      <c r="E40" s="5331"/>
      <c r="F40" s="5470"/>
      <c r="G40" s="5498"/>
      <c r="H40" s="1372"/>
      <c r="I40" s="554" t="s">
        <v>1151</v>
      </c>
      <c r="J40" s="478"/>
      <c r="K40" s="1372"/>
      <c r="L40" s="136"/>
      <c r="M40" s="5285"/>
      <c r="N40" s="252"/>
      <c r="O40" s="1488"/>
      <c r="P40" s="1488"/>
    </row>
    <row r="41" spans="1:16" s="4868" customFormat="1" ht="0.75" hidden="1" customHeight="1">
      <c r="A41" s="1643"/>
      <c r="B41" s="1643"/>
      <c r="C41" s="285" t="s">
        <v>1156</v>
      </c>
      <c r="D41" s="5526"/>
      <c r="E41" s="5331"/>
      <c r="F41" s="5470"/>
      <c r="G41" s="316"/>
      <c r="H41" s="1372"/>
      <c r="I41" s="554"/>
      <c r="J41" s="478"/>
      <c r="K41" s="1372"/>
      <c r="L41" s="136"/>
      <c r="M41" s="5285"/>
      <c r="N41" s="252"/>
      <c r="O41" s="1488"/>
      <c r="P41" s="1488"/>
    </row>
    <row r="42" spans="1:16" s="4868" customFormat="1" ht="18.75" hidden="1" customHeight="1">
      <c r="A42" s="1643" t="s">
        <v>208</v>
      </c>
      <c r="B42" s="1643" t="s">
        <v>209</v>
      </c>
      <c r="C42" s="285"/>
      <c r="D42" s="5526"/>
      <c r="E42" s="5331"/>
      <c r="F42" s="5470" t="str">
        <f>INDEX(PT_DIFFERENTIATION_VTAR,MATCH(A42,PT_DIFFERENTIATION_VTAR_ID,0))</f>
        <v>Плата за услуги по поддержанию резервной тепловой мощности при отсутствии потребления тепловой энергии</v>
      </c>
      <c r="G42" s="5498" t="str">
        <f>INDEX(PT_DIFFERENTIATION_NTAR,MATCH(B42,PT_DIFFERENTIATION_NTAR_ID,0))</f>
        <v/>
      </c>
      <c r="H42" s="1724"/>
      <c r="I42" s="1602"/>
      <c r="J42" s="1636"/>
      <c r="K42" s="1727"/>
      <c r="L42" s="1724" t="s">
        <v>384</v>
      </c>
      <c r="M42" s="5285"/>
      <c r="N42" s="252"/>
      <c r="O42" s="1488"/>
      <c r="P42" s="1488"/>
    </row>
    <row r="43" spans="1:16" s="4868" customFormat="1" ht="18.75" hidden="1" customHeight="1">
      <c r="A43" s="1643"/>
      <c r="B43" s="1643"/>
      <c r="C43" s="285" t="s">
        <v>1150</v>
      </c>
      <c r="D43" s="5526"/>
      <c r="E43" s="5331"/>
      <c r="F43" s="5470"/>
      <c r="G43" s="5498"/>
      <c r="H43" s="1372"/>
      <c r="I43" s="554" t="s">
        <v>1151</v>
      </c>
      <c r="J43" s="478"/>
      <c r="K43" s="1372"/>
      <c r="L43" s="136"/>
      <c r="M43" s="5285"/>
      <c r="N43" s="252"/>
      <c r="O43" s="1488"/>
      <c r="P43" s="1488"/>
    </row>
    <row r="44" spans="1:16" s="4868" customFormat="1" ht="0.75" hidden="1" customHeight="1">
      <c r="A44" s="1643"/>
      <c r="B44" s="1643"/>
      <c r="C44" s="285" t="s">
        <v>1156</v>
      </c>
      <c r="D44" s="5526"/>
      <c r="E44" s="5331"/>
      <c r="F44" s="5470"/>
      <c r="G44" s="316"/>
      <c r="H44" s="1372"/>
      <c r="I44" s="554"/>
      <c r="J44" s="478"/>
      <c r="K44" s="1372"/>
      <c r="L44" s="136"/>
      <c r="M44" s="5285"/>
      <c r="N44" s="252"/>
      <c r="O44" s="1488"/>
      <c r="P44" s="1488"/>
    </row>
    <row r="45" spans="1:16" s="4868" customFormat="1" ht="18.75" hidden="1" customHeight="1">
      <c r="A45" s="1643" t="s">
        <v>214</v>
      </c>
      <c r="B45" s="1643" t="s">
        <v>215</v>
      </c>
      <c r="C45" s="285"/>
      <c r="D45" s="5526"/>
      <c r="E45" s="5331"/>
      <c r="F45" s="5470" t="str">
        <f>INDEX(PT_DIFFERENTIATION_VTAR,MATCH(A45,PT_DIFFERENTIATION_VTAR_ID,0))</f>
        <v>Плата за подключение (технологическое присоединение) к системе теплоснабжения</v>
      </c>
      <c r="G45" s="5498" t="str">
        <f>INDEX(PT_DIFFERENTIATION_NTAR,MATCH(B45,PT_DIFFERENTIATION_NTAR_ID,0))</f>
        <v/>
      </c>
      <c r="H45" s="1724"/>
      <c r="I45" s="1602"/>
      <c r="J45" s="1636"/>
      <c r="K45" s="1727"/>
      <c r="L45" s="1724" t="s">
        <v>384</v>
      </c>
      <c r="M45" s="5285"/>
      <c r="N45" s="252"/>
      <c r="O45" s="1488"/>
      <c r="P45" s="1488"/>
    </row>
    <row r="46" spans="1:16" s="4868" customFormat="1" ht="18.75" hidden="1" customHeight="1">
      <c r="A46" s="1643"/>
      <c r="B46" s="1643"/>
      <c r="C46" s="285" t="s">
        <v>1150</v>
      </c>
      <c r="D46" s="5526"/>
      <c r="E46" s="5331"/>
      <c r="F46" s="5470"/>
      <c r="G46" s="5498"/>
      <c r="H46" s="1372"/>
      <c r="I46" s="554" t="s">
        <v>1151</v>
      </c>
      <c r="J46" s="478"/>
      <c r="K46" s="1372"/>
      <c r="L46" s="136"/>
      <c r="M46" s="5285"/>
      <c r="N46" s="252"/>
      <c r="O46" s="1488"/>
      <c r="P46" s="1488"/>
    </row>
    <row r="47" spans="1:16" s="4868" customFormat="1" ht="0.75" hidden="1" customHeight="1">
      <c r="A47" s="1643"/>
      <c r="B47" s="1643"/>
      <c r="C47" s="285" t="s">
        <v>1156</v>
      </c>
      <c r="D47" s="5526"/>
      <c r="E47" s="5331"/>
      <c r="F47" s="5470"/>
      <c r="G47" s="316"/>
      <c r="H47" s="1372"/>
      <c r="I47" s="554"/>
      <c r="J47" s="478"/>
      <c r="K47" s="1372"/>
      <c r="L47" s="136"/>
      <c r="M47" s="5285"/>
      <c r="N47" s="252"/>
      <c r="O47" s="1488"/>
      <c r="P47" s="1488"/>
    </row>
    <row r="48" spans="1:16" s="4868" customFormat="1" ht="18.75" hidden="1" customHeight="1">
      <c r="A48" s="1643" t="s">
        <v>240</v>
      </c>
      <c r="B48" s="1643" t="s">
        <v>241</v>
      </c>
      <c r="C48" s="285"/>
      <c r="D48" s="5526"/>
      <c r="E48" s="5331"/>
      <c r="F48" s="5470" t="str">
        <f>INDEX(PT_DIFFERENTIATION_VTAR,MATCH(A48,PT_DIFFERENTIATION_VTAR_ID,0))</f>
        <v>Тариф на питьевую воду (питьевое водоснабжение)</v>
      </c>
      <c r="G48" s="5498" t="str">
        <f>INDEX(PT_DIFFERENTIATION_NTAR,MATCH(B48,PT_DIFFERENTIATION_NTAR_ID,0))</f>
        <v/>
      </c>
      <c r="H48" s="1724"/>
      <c r="I48" s="1602"/>
      <c r="J48" s="1636"/>
      <c r="K48" s="1727"/>
      <c r="L48" s="1724" t="s">
        <v>384</v>
      </c>
      <c r="M48" s="5285"/>
      <c r="N48" s="252"/>
      <c r="O48" s="1488"/>
      <c r="P48" s="1488"/>
    </row>
    <row r="49" spans="1:16" s="4868" customFormat="1" ht="18.75" hidden="1" customHeight="1">
      <c r="A49" s="1643"/>
      <c r="B49" s="1643"/>
      <c r="C49" s="285" t="s">
        <v>1150</v>
      </c>
      <c r="D49" s="5526"/>
      <c r="E49" s="5331"/>
      <c r="F49" s="5470"/>
      <c r="G49" s="5498"/>
      <c r="H49" s="1372"/>
      <c r="I49" s="554" t="s">
        <v>1151</v>
      </c>
      <c r="J49" s="478"/>
      <c r="K49" s="1372"/>
      <c r="L49" s="136"/>
      <c r="M49" s="5285"/>
      <c r="N49" s="252"/>
      <c r="O49" s="1488"/>
      <c r="P49" s="1488"/>
    </row>
    <row r="50" spans="1:16" s="4868" customFormat="1" ht="0.75" hidden="1" customHeight="1">
      <c r="A50" s="1643"/>
      <c r="B50" s="1643"/>
      <c r="C50" s="285" t="s">
        <v>1156</v>
      </c>
      <c r="D50" s="5526"/>
      <c r="E50" s="5331"/>
      <c r="F50" s="5470"/>
      <c r="G50" s="316"/>
      <c r="H50" s="1372"/>
      <c r="I50" s="554"/>
      <c r="J50" s="478"/>
      <c r="K50" s="1372"/>
      <c r="L50" s="136"/>
      <c r="M50" s="5285"/>
      <c r="N50" s="252"/>
      <c r="O50" s="1488"/>
      <c r="P50" s="1488"/>
    </row>
    <row r="51" spans="1:16" s="4868" customFormat="1" ht="18.75" hidden="1" customHeight="1">
      <c r="A51" s="1643" t="s">
        <v>245</v>
      </c>
      <c r="B51" s="1643" t="s">
        <v>246</v>
      </c>
      <c r="C51" s="285"/>
      <c r="D51" s="5526"/>
      <c r="E51" s="5331"/>
      <c r="F51" s="5470" t="str">
        <f>INDEX(PT_DIFFERENTIATION_VTAR,MATCH(A51,PT_DIFFERENTIATION_VTAR_ID,0))</f>
        <v>Тариф на техническую воду</v>
      </c>
      <c r="G51" s="5498" t="str">
        <f>INDEX(PT_DIFFERENTIATION_NTAR,MATCH(B51,PT_DIFFERENTIATION_NTAR_ID,0))</f>
        <v/>
      </c>
      <c r="H51" s="1724"/>
      <c r="I51" s="1602"/>
      <c r="J51" s="1636"/>
      <c r="K51" s="1727"/>
      <c r="L51" s="1724" t="s">
        <v>384</v>
      </c>
      <c r="M51" s="5285"/>
      <c r="N51" s="252"/>
      <c r="O51" s="1488"/>
      <c r="P51" s="1488"/>
    </row>
    <row r="52" spans="1:16" s="4868" customFormat="1" ht="18.75" hidden="1" customHeight="1">
      <c r="A52" s="1643"/>
      <c r="B52" s="1643"/>
      <c r="C52" s="285" t="s">
        <v>1150</v>
      </c>
      <c r="D52" s="5526"/>
      <c r="E52" s="5331"/>
      <c r="F52" s="5470"/>
      <c r="G52" s="5498"/>
      <c r="H52" s="1372"/>
      <c r="I52" s="554" t="s">
        <v>1151</v>
      </c>
      <c r="J52" s="478"/>
      <c r="K52" s="1372"/>
      <c r="L52" s="136"/>
      <c r="M52" s="5285"/>
      <c r="N52" s="252"/>
      <c r="O52" s="1488"/>
      <c r="P52" s="1488"/>
    </row>
    <row r="53" spans="1:16" s="4868" customFormat="1" ht="0.75" hidden="1" customHeight="1">
      <c r="A53" s="1643"/>
      <c r="B53" s="1643"/>
      <c r="C53" s="285" t="s">
        <v>1156</v>
      </c>
      <c r="D53" s="5526"/>
      <c r="E53" s="5331"/>
      <c r="F53" s="5470"/>
      <c r="G53" s="316"/>
      <c r="H53" s="1372"/>
      <c r="I53" s="554"/>
      <c r="J53" s="478"/>
      <c r="K53" s="1372"/>
      <c r="L53" s="136"/>
      <c r="M53" s="5285"/>
      <c r="N53" s="252"/>
      <c r="O53" s="1488"/>
      <c r="P53" s="1488"/>
    </row>
    <row r="54" spans="1:16" s="4868" customFormat="1" ht="18.75" hidden="1" customHeight="1">
      <c r="A54" s="1643" t="s">
        <v>250</v>
      </c>
      <c r="B54" s="1643" t="s">
        <v>251</v>
      </c>
      <c r="C54" s="285"/>
      <c r="D54" s="5526"/>
      <c r="E54" s="5331"/>
      <c r="F54" s="5470" t="str">
        <f>INDEX(PT_DIFFERENTIATION_VTAR,MATCH(A54,PT_DIFFERENTIATION_VTAR_ID,0))</f>
        <v>Тариф на транспортировку воды</v>
      </c>
      <c r="G54" s="5498" t="str">
        <f>INDEX(PT_DIFFERENTIATION_NTAR,MATCH(B54,PT_DIFFERENTIATION_NTAR_ID,0))</f>
        <v/>
      </c>
      <c r="H54" s="1724"/>
      <c r="I54" s="1602"/>
      <c r="J54" s="1636"/>
      <c r="K54" s="1727"/>
      <c r="L54" s="1724" t="s">
        <v>384</v>
      </c>
      <c r="M54" s="5285"/>
      <c r="N54" s="252"/>
      <c r="O54" s="1488"/>
      <c r="P54" s="1488"/>
    </row>
    <row r="55" spans="1:16" s="4868" customFormat="1" ht="18.75" hidden="1" customHeight="1">
      <c r="A55" s="1643"/>
      <c r="B55" s="1643"/>
      <c r="C55" s="285" t="s">
        <v>1150</v>
      </c>
      <c r="D55" s="5526"/>
      <c r="E55" s="5331"/>
      <c r="F55" s="5470"/>
      <c r="G55" s="5498"/>
      <c r="H55" s="1372"/>
      <c r="I55" s="554" t="s">
        <v>1151</v>
      </c>
      <c r="J55" s="478"/>
      <c r="K55" s="1372"/>
      <c r="L55" s="136"/>
      <c r="M55" s="5285"/>
      <c r="N55" s="252"/>
      <c r="O55" s="1488"/>
      <c r="P55" s="1488"/>
    </row>
    <row r="56" spans="1:16" s="4868" customFormat="1" ht="0.75" hidden="1" customHeight="1">
      <c r="A56" s="1643"/>
      <c r="B56" s="1643"/>
      <c r="C56" s="285" t="s">
        <v>1156</v>
      </c>
      <c r="D56" s="5526"/>
      <c r="E56" s="5331"/>
      <c r="F56" s="5470"/>
      <c r="G56" s="316"/>
      <c r="H56" s="1372"/>
      <c r="I56" s="554"/>
      <c r="J56" s="478"/>
      <c r="K56" s="1372"/>
      <c r="L56" s="136"/>
      <c r="M56" s="5285"/>
      <c r="N56" s="252"/>
      <c r="O56" s="1488"/>
      <c r="P56" s="1488"/>
    </row>
    <row r="57" spans="1:16" s="4868" customFormat="1" ht="18.75" hidden="1" customHeight="1">
      <c r="A57" s="1643" t="s">
        <v>255</v>
      </c>
      <c r="B57" s="1643" t="s">
        <v>256</v>
      </c>
      <c r="C57" s="285"/>
      <c r="D57" s="5526"/>
      <c r="E57" s="5331"/>
      <c r="F57" s="5470" t="str">
        <f>INDEX(PT_DIFFERENTIATION_VTAR,MATCH(A57,PT_DIFFERENTIATION_VTAR_ID,0))</f>
        <v>Тариф на подвоз воды</v>
      </c>
      <c r="G57" s="5498" t="str">
        <f>INDEX(PT_DIFFERENTIATION_NTAR,MATCH(B57,PT_DIFFERENTIATION_NTAR_ID,0))</f>
        <v/>
      </c>
      <c r="H57" s="1724"/>
      <c r="I57" s="1602"/>
      <c r="J57" s="1636"/>
      <c r="K57" s="1727"/>
      <c r="L57" s="1724" t="s">
        <v>384</v>
      </c>
      <c r="M57" s="5285"/>
      <c r="N57" s="252"/>
      <c r="O57" s="1488"/>
      <c r="P57" s="1488"/>
    </row>
    <row r="58" spans="1:16" s="4868" customFormat="1" ht="18.75" hidden="1" customHeight="1">
      <c r="A58" s="1643"/>
      <c r="B58" s="1643"/>
      <c r="C58" s="285" t="s">
        <v>1150</v>
      </c>
      <c r="D58" s="5526"/>
      <c r="E58" s="5331"/>
      <c r="F58" s="5470"/>
      <c r="G58" s="5498"/>
      <c r="H58" s="1372"/>
      <c r="I58" s="554" t="s">
        <v>1151</v>
      </c>
      <c r="J58" s="478"/>
      <c r="K58" s="1372"/>
      <c r="L58" s="136"/>
      <c r="M58" s="5285"/>
      <c r="N58" s="252"/>
      <c r="O58" s="1488"/>
      <c r="P58" s="1488"/>
    </row>
    <row r="59" spans="1:16" s="4868" customFormat="1" ht="0.75" hidden="1" customHeight="1">
      <c r="A59" s="1643"/>
      <c r="B59" s="1643"/>
      <c r="C59" s="285" t="s">
        <v>1156</v>
      </c>
      <c r="D59" s="5526"/>
      <c r="E59" s="5331"/>
      <c r="F59" s="5470"/>
      <c r="G59" s="316"/>
      <c r="H59" s="1372"/>
      <c r="I59" s="554"/>
      <c r="J59" s="478"/>
      <c r="K59" s="1372"/>
      <c r="L59" s="136"/>
      <c r="M59" s="5285"/>
      <c r="N59" s="252"/>
      <c r="O59" s="1488"/>
      <c r="P59" s="1488"/>
    </row>
    <row r="60" spans="1:16" s="4868" customFormat="1" ht="18.75" hidden="1" customHeight="1">
      <c r="A60" s="1643" t="s">
        <v>260</v>
      </c>
      <c r="B60" s="1643" t="s">
        <v>261</v>
      </c>
      <c r="C60" s="285"/>
      <c r="D60" s="5526"/>
      <c r="E60" s="5331"/>
      <c r="F60" s="5470" t="str">
        <f>INDEX(PT_DIFFERENTIATION_VTAR,MATCH(A60,PT_DIFFERENTIATION_VTAR_ID,0))</f>
        <v>Тариф на подключение (технологическое присоединение) к централизованной системе холодного водоснабжения</v>
      </c>
      <c r="G60" s="5498" t="str">
        <f>INDEX(PT_DIFFERENTIATION_NTAR,MATCH(B60,PT_DIFFERENTIATION_NTAR_ID,0))</f>
        <v/>
      </c>
      <c r="H60" s="1724"/>
      <c r="I60" s="1602"/>
      <c r="J60" s="1636"/>
      <c r="K60" s="1727"/>
      <c r="L60" s="1724" t="s">
        <v>384</v>
      </c>
      <c r="M60" s="5285"/>
      <c r="N60" s="252"/>
      <c r="O60" s="1488"/>
      <c r="P60" s="1488"/>
    </row>
    <row r="61" spans="1:16" s="4868" customFormat="1" ht="18.75" hidden="1" customHeight="1">
      <c r="A61" s="1643"/>
      <c r="B61" s="1643"/>
      <c r="C61" s="285" t="s">
        <v>1150</v>
      </c>
      <c r="D61" s="5526"/>
      <c r="E61" s="5331"/>
      <c r="F61" s="5470"/>
      <c r="G61" s="5498"/>
      <c r="H61" s="1372"/>
      <c r="I61" s="554" t="s">
        <v>1151</v>
      </c>
      <c r="J61" s="478"/>
      <c r="K61" s="1372"/>
      <c r="L61" s="136"/>
      <c r="M61" s="5285"/>
      <c r="N61" s="252"/>
      <c r="O61" s="1488"/>
      <c r="P61" s="1488"/>
    </row>
    <row r="62" spans="1:16" s="4868" customFormat="1" ht="0.75" hidden="1" customHeight="1">
      <c r="A62" s="1643"/>
      <c r="B62" s="1643"/>
      <c r="C62" s="285" t="s">
        <v>1156</v>
      </c>
      <c r="D62" s="5526"/>
      <c r="E62" s="5331"/>
      <c r="F62" s="5470"/>
      <c r="G62" s="316"/>
      <c r="H62" s="1372"/>
      <c r="I62" s="554"/>
      <c r="J62" s="478"/>
      <c r="K62" s="1372"/>
      <c r="L62" s="136"/>
      <c r="M62" s="5285"/>
      <c r="N62" s="252"/>
      <c r="O62" s="1488"/>
      <c r="P62" s="1488"/>
    </row>
    <row r="63" spans="1:16" s="4868" customFormat="1" ht="18.75" hidden="1" customHeight="1">
      <c r="A63" s="1643" t="s">
        <v>267</v>
      </c>
      <c r="B63" s="1643" t="s">
        <v>268</v>
      </c>
      <c r="C63" s="285"/>
      <c r="D63" s="5526"/>
      <c r="E63" s="5331"/>
      <c r="F63" s="5470" t="str">
        <f>INDEX(PT_DIFFERENTIATION_VTAR,MATCH(A63,PT_DIFFERENTIATION_VTAR_ID,0))</f>
        <v>Тариф на горячую воду (горячее водоснабжение)</v>
      </c>
      <c r="G63" s="5498" t="str">
        <f>INDEX(PT_DIFFERENTIATION_NTAR,MATCH(B63,PT_DIFFERENTIATION_NTAR_ID,0))</f>
        <v>Тариф на горячую воду в закрытых системах горячего водоснабжения</v>
      </c>
      <c r="H63" s="1724"/>
      <c r="I63" s="1602"/>
      <c r="J63" s="1636"/>
      <c r="K63" s="1727"/>
      <c r="L63" s="1724" t="s">
        <v>384</v>
      </c>
      <c r="M63" s="5285"/>
      <c r="N63" s="252"/>
      <c r="O63" s="1488"/>
      <c r="P63" s="1488"/>
    </row>
    <row r="64" spans="1:16" s="4868" customFormat="1" ht="18.75" hidden="1" customHeight="1">
      <c r="A64" s="1643"/>
      <c r="B64" s="1643"/>
      <c r="C64" s="285" t="s">
        <v>1150</v>
      </c>
      <c r="D64" s="5526"/>
      <c r="E64" s="5331"/>
      <c r="F64" s="5470"/>
      <c r="G64" s="5498"/>
      <c r="H64" s="1372"/>
      <c r="I64" s="554" t="s">
        <v>1151</v>
      </c>
      <c r="J64" s="478"/>
      <c r="K64" s="1372"/>
      <c r="L64" s="136"/>
      <c r="M64" s="5285"/>
      <c r="N64" s="252"/>
      <c r="O64" s="1488"/>
      <c r="P64" s="1488"/>
    </row>
    <row r="65" spans="1:16" s="4868" customFormat="1" ht="0.75" hidden="1" customHeight="1">
      <c r="A65" s="1643"/>
      <c r="B65" s="1643"/>
      <c r="C65" s="285" t="s">
        <v>1156</v>
      </c>
      <c r="D65" s="5526"/>
      <c r="E65" s="5331"/>
      <c r="F65" s="5470"/>
      <c r="G65" s="316"/>
      <c r="H65" s="1372"/>
      <c r="I65" s="554"/>
      <c r="J65" s="478"/>
      <c r="K65" s="1372"/>
      <c r="L65" s="136"/>
      <c r="M65" s="5285"/>
      <c r="N65" s="252"/>
      <c r="O65" s="1488"/>
      <c r="P65" s="1488"/>
    </row>
    <row r="66" spans="1:16" s="4868" customFormat="1" ht="18.75" hidden="1" customHeight="1">
      <c r="A66" s="1643" t="s">
        <v>333</v>
      </c>
      <c r="B66" s="1643" t="s">
        <v>334</v>
      </c>
      <c r="C66" s="285"/>
      <c r="D66" s="5526"/>
      <c r="E66" s="5331"/>
      <c r="F66" s="5470" t="str">
        <f>INDEX(PT_DIFFERENTIATION_VTAR,MATCH(A66,PT_DIFFERENTIATION_VTAR_ID,0))</f>
        <v>Тариф на транспортировку горячей воды</v>
      </c>
      <c r="G66" s="5498" t="str">
        <f>INDEX(PT_DIFFERENTIATION_NTAR,MATCH(B66,PT_DIFFERENTIATION_NTAR_ID,0))</f>
        <v/>
      </c>
      <c r="H66" s="1724"/>
      <c r="I66" s="1602"/>
      <c r="J66" s="1636"/>
      <c r="K66" s="1727"/>
      <c r="L66" s="1724" t="s">
        <v>384</v>
      </c>
      <c r="M66" s="5285"/>
      <c r="N66" s="252"/>
      <c r="O66" s="1488"/>
      <c r="P66" s="1488"/>
    </row>
    <row r="67" spans="1:16" s="4868" customFormat="1" ht="18.75" hidden="1" customHeight="1">
      <c r="A67" s="1643"/>
      <c r="B67" s="1643"/>
      <c r="C67" s="285" t="s">
        <v>1150</v>
      </c>
      <c r="D67" s="5526"/>
      <c r="E67" s="5331"/>
      <c r="F67" s="5470"/>
      <c r="G67" s="5498"/>
      <c r="H67" s="1372"/>
      <c r="I67" s="554" t="s">
        <v>1151</v>
      </c>
      <c r="J67" s="478"/>
      <c r="K67" s="1372"/>
      <c r="L67" s="136"/>
      <c r="M67" s="5285"/>
      <c r="N67" s="252"/>
      <c r="O67" s="1488"/>
      <c r="P67" s="1488"/>
    </row>
    <row r="68" spans="1:16" s="4868" customFormat="1" ht="0.75" hidden="1" customHeight="1">
      <c r="A68" s="1643"/>
      <c r="B68" s="1643"/>
      <c r="C68" s="285" t="s">
        <v>1156</v>
      </c>
      <c r="D68" s="5526"/>
      <c r="E68" s="5331"/>
      <c r="F68" s="5470"/>
      <c r="G68" s="316"/>
      <c r="H68" s="1372"/>
      <c r="I68" s="554"/>
      <c r="J68" s="478"/>
      <c r="K68" s="1372"/>
      <c r="L68" s="136"/>
      <c r="M68" s="5285"/>
      <c r="N68" s="252"/>
      <c r="O68" s="1488"/>
      <c r="P68" s="1488"/>
    </row>
    <row r="69" spans="1:16" s="4868" customFormat="1" ht="18.75" hidden="1" customHeight="1">
      <c r="A69" s="1643" t="s">
        <v>338</v>
      </c>
      <c r="B69" s="1643" t="s">
        <v>339</v>
      </c>
      <c r="C69" s="285"/>
      <c r="D69" s="5526"/>
      <c r="E69" s="5331"/>
      <c r="F69" s="5470" t="str">
        <f>INDEX(PT_DIFFERENTIATION_VTAR,MATCH(A69,PT_DIFFERENTIATION_VTAR_ID,0))</f>
        <v>Тариф на подключение (технологическое присоединение) к централизованной системе горячего водоснабжения</v>
      </c>
      <c r="G69" s="5498" t="str">
        <f>INDEX(PT_DIFFERENTIATION_NTAR,MATCH(B69,PT_DIFFERENTIATION_NTAR_ID,0))</f>
        <v/>
      </c>
      <c r="H69" s="1724"/>
      <c r="I69" s="1602"/>
      <c r="J69" s="1636"/>
      <c r="K69" s="1727"/>
      <c r="L69" s="1724" t="s">
        <v>384</v>
      </c>
      <c r="M69" s="5285"/>
      <c r="N69" s="252"/>
      <c r="O69" s="1488"/>
      <c r="P69" s="1488"/>
    </row>
    <row r="70" spans="1:16" s="4868" customFormat="1" ht="18.75" hidden="1" customHeight="1">
      <c r="A70" s="1643"/>
      <c r="B70" s="1643"/>
      <c r="C70" s="285" t="s">
        <v>1150</v>
      </c>
      <c r="D70" s="5526"/>
      <c r="E70" s="5331"/>
      <c r="F70" s="5470"/>
      <c r="G70" s="5498"/>
      <c r="H70" s="1372"/>
      <c r="I70" s="554" t="s">
        <v>1151</v>
      </c>
      <c r="J70" s="478"/>
      <c r="K70" s="1372"/>
      <c r="L70" s="136"/>
      <c r="M70" s="5285"/>
      <c r="N70" s="252"/>
      <c r="O70" s="1488"/>
      <c r="P70" s="1488"/>
    </row>
    <row r="71" spans="1:16" s="4868" customFormat="1" ht="0.75" hidden="1" customHeight="1">
      <c r="A71" s="1643"/>
      <c r="B71" s="1643"/>
      <c r="C71" s="285" t="s">
        <v>1156</v>
      </c>
      <c r="D71" s="5526"/>
      <c r="E71" s="5331"/>
      <c r="F71" s="5470"/>
      <c r="G71" s="316"/>
      <c r="H71" s="1372"/>
      <c r="I71" s="554"/>
      <c r="J71" s="478"/>
      <c r="K71" s="1372"/>
      <c r="L71" s="136"/>
      <c r="M71" s="5285"/>
      <c r="N71" s="252"/>
      <c r="O71" s="1488"/>
      <c r="P71" s="1488"/>
    </row>
    <row r="72" spans="1:16" s="4868" customFormat="1" ht="18.75" hidden="1" customHeight="1">
      <c r="A72" s="1643" t="s">
        <v>343</v>
      </c>
      <c r="B72" s="1643" t="s">
        <v>344</v>
      </c>
      <c r="C72" s="285"/>
      <c r="D72" s="5526"/>
      <c r="E72" s="5331"/>
      <c r="F72" s="5470" t="str">
        <f>INDEX(PT_DIFFERENTIATION_VTAR,MATCH(A72,PT_DIFFERENTIATION_VTAR_ID,0))</f>
        <v>Тариф на водоотведение</v>
      </c>
      <c r="G72" s="5498" t="str">
        <f>INDEX(PT_DIFFERENTIATION_NTAR,MATCH(B72,PT_DIFFERENTIATION_NTAR_ID,0))</f>
        <v/>
      </c>
      <c r="H72" s="1724"/>
      <c r="I72" s="1602"/>
      <c r="J72" s="1636"/>
      <c r="K72" s="1727"/>
      <c r="L72" s="1724" t="s">
        <v>384</v>
      </c>
      <c r="M72" s="5285"/>
      <c r="N72" s="252"/>
      <c r="O72" s="1488"/>
      <c r="P72" s="1488"/>
    </row>
    <row r="73" spans="1:16" s="4868" customFormat="1" ht="18.75" hidden="1" customHeight="1">
      <c r="A73" s="1643"/>
      <c r="B73" s="1643"/>
      <c r="C73" s="285" t="s">
        <v>1150</v>
      </c>
      <c r="D73" s="5526"/>
      <c r="E73" s="5331"/>
      <c r="F73" s="5470"/>
      <c r="G73" s="5498"/>
      <c r="H73" s="1372"/>
      <c r="I73" s="554" t="s">
        <v>1151</v>
      </c>
      <c r="J73" s="478"/>
      <c r="K73" s="1372"/>
      <c r="L73" s="136"/>
      <c r="M73" s="5285"/>
      <c r="N73" s="252"/>
      <c r="O73" s="1488"/>
      <c r="P73" s="1488"/>
    </row>
    <row r="74" spans="1:16" s="4868" customFormat="1" ht="0.75" hidden="1" customHeight="1">
      <c r="A74" s="1643"/>
      <c r="B74" s="1643"/>
      <c r="C74" s="285" t="s">
        <v>1156</v>
      </c>
      <c r="D74" s="5526"/>
      <c r="E74" s="5331"/>
      <c r="F74" s="5470"/>
      <c r="G74" s="316"/>
      <c r="H74" s="1372"/>
      <c r="I74" s="554"/>
      <c r="J74" s="478"/>
      <c r="K74" s="1372"/>
      <c r="L74" s="136"/>
      <c r="M74" s="5285"/>
      <c r="N74" s="252"/>
      <c r="O74" s="1488"/>
      <c r="P74" s="1488"/>
    </row>
    <row r="75" spans="1:16" s="4868" customFormat="1" ht="18.75" hidden="1" customHeight="1">
      <c r="A75" s="1643" t="s">
        <v>348</v>
      </c>
      <c r="B75" s="1643" t="s">
        <v>349</v>
      </c>
      <c r="C75" s="285"/>
      <c r="D75" s="5526"/>
      <c r="E75" s="5331"/>
      <c r="F75" s="5470" t="str">
        <f>INDEX(PT_DIFFERENTIATION_VTAR,MATCH(A75,PT_DIFFERENTIATION_VTAR_ID,0))</f>
        <v>Тариф на транспортировку сточных вод</v>
      </c>
      <c r="G75" s="5498" t="str">
        <f>INDEX(PT_DIFFERENTIATION_NTAR,MATCH(B75,PT_DIFFERENTIATION_NTAR_ID,0))</f>
        <v/>
      </c>
      <c r="H75" s="1724"/>
      <c r="I75" s="1602"/>
      <c r="J75" s="1636"/>
      <c r="K75" s="1727"/>
      <c r="L75" s="1724" t="s">
        <v>384</v>
      </c>
      <c r="M75" s="5285"/>
      <c r="N75" s="252"/>
      <c r="O75" s="1488"/>
      <c r="P75" s="1488"/>
    </row>
    <row r="76" spans="1:16" s="4868" customFormat="1" ht="18.75" hidden="1" customHeight="1">
      <c r="A76" s="1643"/>
      <c r="B76" s="1643"/>
      <c r="C76" s="285" t="s">
        <v>1150</v>
      </c>
      <c r="D76" s="5526"/>
      <c r="E76" s="5331"/>
      <c r="F76" s="5470"/>
      <c r="G76" s="5498"/>
      <c r="H76" s="1372"/>
      <c r="I76" s="554" t="s">
        <v>1151</v>
      </c>
      <c r="J76" s="478"/>
      <c r="K76" s="1372"/>
      <c r="L76" s="136"/>
      <c r="M76" s="5285"/>
      <c r="N76" s="252"/>
      <c r="O76" s="1488"/>
      <c r="P76" s="1488"/>
    </row>
    <row r="77" spans="1:16" s="4868" customFormat="1" ht="0.75" hidden="1" customHeight="1">
      <c r="A77" s="1643"/>
      <c r="B77" s="1643"/>
      <c r="C77" s="285" t="s">
        <v>1156</v>
      </c>
      <c r="D77" s="5526"/>
      <c r="E77" s="5331"/>
      <c r="F77" s="5470"/>
      <c r="G77" s="316"/>
      <c r="H77" s="1372"/>
      <c r="I77" s="554"/>
      <c r="J77" s="478"/>
      <c r="K77" s="1372"/>
      <c r="L77" s="136"/>
      <c r="M77" s="5285"/>
      <c r="N77" s="252"/>
      <c r="O77" s="1488"/>
      <c r="P77" s="1488"/>
    </row>
    <row r="78" spans="1:16" s="4868" customFormat="1" ht="18.75" hidden="1" customHeight="1">
      <c r="A78" s="1643" t="s">
        <v>353</v>
      </c>
      <c r="B78" s="1643" t="s">
        <v>354</v>
      </c>
      <c r="C78" s="285"/>
      <c r="D78" s="5526"/>
      <c r="E78" s="5331"/>
      <c r="F78" s="5470" t="str">
        <f>INDEX(PT_DIFFERENTIATION_VTAR,MATCH(A78,PT_DIFFERENTIATION_VTAR_ID,0))</f>
        <v>Тариф на подключение (технологическое присоединение) к централизованной системе водоотведения</v>
      </c>
      <c r="G78" s="5498" t="str">
        <f>INDEX(PT_DIFFERENTIATION_NTAR,MATCH(B78,PT_DIFFERENTIATION_NTAR_ID,0))</f>
        <v/>
      </c>
      <c r="H78" s="1724"/>
      <c r="I78" s="1602"/>
      <c r="J78" s="1636"/>
      <c r="K78" s="1727"/>
      <c r="L78" s="1724" t="s">
        <v>384</v>
      </c>
      <c r="M78" s="5285"/>
      <c r="N78" s="252"/>
      <c r="O78" s="1488"/>
      <c r="P78" s="1488"/>
    </row>
    <row r="79" spans="1:16" s="4868" customFormat="1" ht="18.75" hidden="1" customHeight="1">
      <c r="A79" s="1643"/>
      <c r="B79" s="1643"/>
      <c r="C79" s="285" t="s">
        <v>1150</v>
      </c>
      <c r="D79" s="5526"/>
      <c r="E79" s="5331"/>
      <c r="F79" s="5470"/>
      <c r="G79" s="5498"/>
      <c r="H79" s="1372"/>
      <c r="I79" s="554" t="s">
        <v>1151</v>
      </c>
      <c r="J79" s="478"/>
      <c r="K79" s="1372"/>
      <c r="L79" s="136"/>
      <c r="M79" s="5285"/>
      <c r="N79" s="252"/>
      <c r="O79" s="1488"/>
      <c r="P79" s="1488"/>
    </row>
    <row r="80" spans="1:16" s="4868" customFormat="1" ht="0.75" customHeight="1">
      <c r="A80" s="1643"/>
      <c r="B80" s="1643"/>
      <c r="C80" s="285" t="s">
        <v>1156</v>
      </c>
      <c r="D80" s="5526"/>
      <c r="E80" s="5331"/>
      <c r="F80" s="5470"/>
      <c r="G80" s="316"/>
      <c r="H80" s="1372"/>
      <c r="I80" s="554"/>
      <c r="J80" s="478"/>
      <c r="K80" s="1372"/>
      <c r="L80" s="136"/>
      <c r="M80" s="5285"/>
      <c r="N80" s="252"/>
      <c r="O80" s="1488"/>
      <c r="P80" s="1488"/>
    </row>
    <row r="81" spans="1:16" ht="18.75" customHeight="1">
      <c r="A81" s="1643"/>
      <c r="B81" s="1643"/>
      <c r="D81" s="292"/>
      <c r="E81" s="73" t="s">
        <v>100</v>
      </c>
      <c r="F81" s="552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1" s="5525"/>
      <c r="H81" s="5525"/>
      <c r="I81" s="5525"/>
      <c r="J81" s="5525"/>
      <c r="K81" s="5525"/>
      <c r="L81" s="5525"/>
      <c r="M81" s="215"/>
      <c r="N81" s="252"/>
    </row>
    <row r="82" spans="1:16" ht="33.75" customHeight="1">
      <c r="A82" s="1643"/>
      <c r="B82" s="1643"/>
      <c r="D82" s="292"/>
      <c r="E82" s="315"/>
      <c r="F82" s="120" t="s">
        <v>384</v>
      </c>
      <c r="G82" s="120" t="s">
        <v>384</v>
      </c>
      <c r="H82" s="5344" t="s">
        <v>384</v>
      </c>
      <c r="I82" s="5346"/>
      <c r="J82" s="120" t="s">
        <v>384</v>
      </c>
      <c r="K82" s="120" t="s">
        <v>384</v>
      </c>
      <c r="L82" s="317"/>
      <c r="M82" s="262" t="s">
        <v>1157</v>
      </c>
      <c r="N82" s="252"/>
    </row>
    <row r="83" spans="1:16" ht="18.75" customHeight="1">
      <c r="A83" s="1643"/>
      <c r="B83" s="1643"/>
      <c r="D83" s="292"/>
      <c r="E83" s="73" t="s">
        <v>87</v>
      </c>
      <c r="F83" s="5525" t="s">
        <v>1158</v>
      </c>
      <c r="G83" s="5525"/>
      <c r="H83" s="5525"/>
      <c r="I83" s="5525"/>
      <c r="J83" s="5525"/>
      <c r="K83" s="5525"/>
      <c r="L83" s="5525"/>
      <c r="M83" s="215"/>
      <c r="N83" s="252"/>
    </row>
    <row r="84" spans="1:16" s="4868" customFormat="1" ht="60.75" hidden="1" customHeight="1">
      <c r="A84" s="1643" t="s">
        <v>172</v>
      </c>
      <c r="B84" s="1643" t="s">
        <v>173</v>
      </c>
      <c r="C84" s="285"/>
      <c r="D84" s="5526"/>
      <c r="E84" s="5331"/>
      <c r="F84" s="5470"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5498" t="str">
        <f>INDEX(PT_DIFFERENTIATION_NTAR,MATCH(B84,PT_DIFFERENTIATION_NTAR_ID,0))</f>
        <v/>
      </c>
      <c r="H84" s="1724"/>
      <c r="I84" s="1602"/>
      <c r="J84" s="1636"/>
      <c r="K84" s="1641"/>
      <c r="L84" s="1724" t="s">
        <v>384</v>
      </c>
      <c r="M84" s="52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2"/>
      <c r="O84" s="1488"/>
      <c r="P84" s="1488"/>
    </row>
    <row r="85" spans="1:16" s="4868" customFormat="1" ht="18.75" hidden="1" customHeight="1">
      <c r="A85" s="1643"/>
      <c r="B85" s="1643"/>
      <c r="C85" s="285" t="s">
        <v>1152</v>
      </c>
      <c r="D85" s="5526"/>
      <c r="E85" s="5331"/>
      <c r="F85" s="5470"/>
      <c r="G85" s="5498"/>
      <c r="H85" s="1372"/>
      <c r="I85" s="554" t="s">
        <v>1151</v>
      </c>
      <c r="J85" s="478"/>
      <c r="K85" s="1372"/>
      <c r="L85" s="136"/>
      <c r="M85" s="5285"/>
      <c r="N85" s="252"/>
      <c r="O85" s="1488"/>
      <c r="P85" s="1488"/>
    </row>
    <row r="86" spans="1:16" s="4868" customFormat="1" ht="0.75" hidden="1" customHeight="1">
      <c r="A86" s="1643"/>
      <c r="B86" s="1643"/>
      <c r="C86" s="285" t="s">
        <v>1159</v>
      </c>
      <c r="D86" s="5526"/>
      <c r="E86" s="5331"/>
      <c r="F86" s="5470"/>
      <c r="G86" s="316"/>
      <c r="H86" s="1372"/>
      <c r="I86" s="554"/>
      <c r="J86" s="478"/>
      <c r="K86" s="1372"/>
      <c r="L86" s="136"/>
      <c r="M86" s="5285"/>
      <c r="N86" s="252"/>
      <c r="O86" s="1488"/>
      <c r="P86" s="1488"/>
    </row>
    <row r="87" spans="1:16" s="4868" customFormat="1" ht="45" hidden="1" customHeight="1">
      <c r="A87" s="1643" t="s">
        <v>178</v>
      </c>
      <c r="B87" s="1643" t="s">
        <v>179</v>
      </c>
      <c r="C87" s="285"/>
      <c r="D87" s="5526"/>
      <c r="E87" s="5331"/>
      <c r="F87" s="5470"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5498" t="str">
        <f>INDEX(PT_DIFFERENTIATION_NTAR,MATCH(B87,PT_DIFFERENTIATION_NTAR_ID,0))</f>
        <v/>
      </c>
      <c r="H87" s="1724"/>
      <c r="I87" s="1602"/>
      <c r="J87" s="1636"/>
      <c r="K87" s="1641"/>
      <c r="L87" s="1724" t="s">
        <v>384</v>
      </c>
      <c r="M87" s="5286"/>
      <c r="N87" s="252"/>
      <c r="O87" s="1488"/>
      <c r="P87" s="1488"/>
    </row>
    <row r="88" spans="1:16" s="4868" customFormat="1" ht="18.75" hidden="1" customHeight="1">
      <c r="A88" s="1643"/>
      <c r="B88" s="1643"/>
      <c r="C88" s="285" t="s">
        <v>1152</v>
      </c>
      <c r="D88" s="5526"/>
      <c r="E88" s="5331"/>
      <c r="F88" s="5470"/>
      <c r="G88" s="5498"/>
      <c r="H88" s="1372"/>
      <c r="I88" s="554" t="s">
        <v>1151</v>
      </c>
      <c r="J88" s="478"/>
      <c r="K88" s="1372"/>
      <c r="L88" s="136"/>
      <c r="M88" s="1723"/>
      <c r="N88" s="252"/>
      <c r="O88" s="1488"/>
      <c r="P88" s="1488"/>
    </row>
    <row r="89" spans="1:16" s="4868" customFormat="1" ht="0.75" hidden="1" customHeight="1">
      <c r="A89" s="1643"/>
      <c r="B89" s="1643"/>
      <c r="C89" s="285" t="s">
        <v>1159</v>
      </c>
      <c r="D89" s="5526"/>
      <c r="E89" s="5331"/>
      <c r="F89" s="5470"/>
      <c r="G89" s="316"/>
      <c r="H89" s="1372"/>
      <c r="I89" s="554"/>
      <c r="J89" s="478"/>
      <c r="K89" s="1372"/>
      <c r="L89" s="136"/>
      <c r="M89" s="259"/>
      <c r="N89" s="252"/>
      <c r="O89" s="1488"/>
      <c r="P89" s="1488"/>
    </row>
    <row r="90" spans="1:16" s="4868" customFormat="1" ht="45" hidden="1" customHeight="1">
      <c r="A90" s="1643" t="s">
        <v>184</v>
      </c>
      <c r="B90" s="1643" t="s">
        <v>185</v>
      </c>
      <c r="C90" s="285"/>
      <c r="D90" s="5526"/>
      <c r="E90" s="5331"/>
      <c r="F90" s="5470"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5498" t="str">
        <f>INDEX(PT_DIFFERENTIATION_NTAR,MATCH(B90,PT_DIFFERENTIATION_NTAR_ID,0))</f>
        <v/>
      </c>
      <c r="H90" s="1724"/>
      <c r="I90" s="1602"/>
      <c r="J90" s="1636"/>
      <c r="K90" s="1641"/>
      <c r="L90" s="1724" t="s">
        <v>384</v>
      </c>
      <c r="M90" s="259"/>
      <c r="N90" s="252"/>
      <c r="O90" s="1488"/>
      <c r="P90" s="1488"/>
    </row>
    <row r="91" spans="1:16" s="4868" customFormat="1" ht="18.75" hidden="1" customHeight="1">
      <c r="A91" s="1643"/>
      <c r="B91" s="1643"/>
      <c r="C91" s="285" t="s">
        <v>1152</v>
      </c>
      <c r="D91" s="5526"/>
      <c r="E91" s="5331"/>
      <c r="F91" s="5470"/>
      <c r="G91" s="5498"/>
      <c r="H91" s="1372"/>
      <c r="I91" s="554" t="s">
        <v>1151</v>
      </c>
      <c r="J91" s="478"/>
      <c r="K91" s="1372"/>
      <c r="L91" s="136"/>
      <c r="M91" s="259"/>
      <c r="N91" s="252"/>
      <c r="O91" s="1488"/>
      <c r="P91" s="1488"/>
    </row>
    <row r="92" spans="1:16" s="4868" customFormat="1" ht="0.75" hidden="1" customHeight="1">
      <c r="A92" s="1643"/>
      <c r="B92" s="1643"/>
      <c r="C92" s="285" t="s">
        <v>1159</v>
      </c>
      <c r="D92" s="5526"/>
      <c r="E92" s="5331"/>
      <c r="F92" s="5470"/>
      <c r="G92" s="316"/>
      <c r="H92" s="1372"/>
      <c r="I92" s="554"/>
      <c r="J92" s="478"/>
      <c r="K92" s="1372"/>
      <c r="L92" s="136"/>
      <c r="M92" s="259"/>
      <c r="N92" s="252"/>
      <c r="O92" s="1488"/>
      <c r="P92" s="1488"/>
    </row>
    <row r="93" spans="1:16" s="4868" customFormat="1" ht="45" hidden="1" customHeight="1">
      <c r="A93" s="1643" t="s">
        <v>190</v>
      </c>
      <c r="B93" s="1643" t="s">
        <v>191</v>
      </c>
      <c r="C93" s="285"/>
      <c r="D93" s="5526"/>
      <c r="E93" s="5331"/>
      <c r="F93" s="5470"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5498" t="str">
        <f>INDEX(PT_DIFFERENTIATION_NTAR,MATCH(B93,PT_DIFFERENTIATION_NTAR_ID,0))</f>
        <v/>
      </c>
      <c r="H93" s="1724"/>
      <c r="I93" s="1602"/>
      <c r="J93" s="1636"/>
      <c r="K93" s="1641"/>
      <c r="L93" s="1724" t="s">
        <v>384</v>
      </c>
      <c r="M93" s="259"/>
      <c r="N93" s="252"/>
      <c r="O93" s="1488"/>
      <c r="P93" s="1488"/>
    </row>
    <row r="94" spans="1:16" s="4868" customFormat="1" ht="18.75" hidden="1" customHeight="1">
      <c r="A94" s="1643"/>
      <c r="B94" s="1643"/>
      <c r="C94" s="285" t="s">
        <v>1152</v>
      </c>
      <c r="D94" s="5526"/>
      <c r="E94" s="5331"/>
      <c r="F94" s="5470"/>
      <c r="G94" s="5498"/>
      <c r="H94" s="1372"/>
      <c r="I94" s="554" t="s">
        <v>1151</v>
      </c>
      <c r="J94" s="478"/>
      <c r="K94" s="1372"/>
      <c r="L94" s="136"/>
      <c r="M94" s="259"/>
      <c r="N94" s="252"/>
      <c r="O94" s="1488"/>
      <c r="P94" s="1488"/>
    </row>
    <row r="95" spans="1:16" s="4868" customFormat="1" ht="0.75" hidden="1" customHeight="1">
      <c r="A95" s="1643"/>
      <c r="B95" s="1643"/>
      <c r="C95" s="285" t="s">
        <v>1159</v>
      </c>
      <c r="D95" s="5526"/>
      <c r="E95" s="5331"/>
      <c r="F95" s="5470"/>
      <c r="G95" s="316"/>
      <c r="H95" s="1372"/>
      <c r="I95" s="554"/>
      <c r="J95" s="478"/>
      <c r="K95" s="1372"/>
      <c r="L95" s="136"/>
      <c r="M95" s="259"/>
      <c r="N95" s="252"/>
      <c r="O95" s="1488"/>
      <c r="P95" s="1488"/>
    </row>
    <row r="96" spans="1:16" s="4868" customFormat="1" ht="18.75" hidden="1" customHeight="1">
      <c r="A96" s="1643" t="s">
        <v>196</v>
      </c>
      <c r="B96" s="1643" t="s">
        <v>197</v>
      </c>
      <c r="C96" s="285"/>
      <c r="D96" s="5526"/>
      <c r="E96" s="5331"/>
      <c r="F96" s="5470" t="str">
        <f>INDEX(PT_DIFFERENTIATION_VTAR,MATCH(A96,PT_DIFFERENTIATION_VTAR_ID,0))</f>
        <v>Тарифы на услуги по передаче тепловой энергии</v>
      </c>
      <c r="G96" s="5498" t="str">
        <f>INDEX(PT_DIFFERENTIATION_NTAR,MATCH(B96,PT_DIFFERENTIATION_NTAR_ID,0))</f>
        <v/>
      </c>
      <c r="H96" s="1724"/>
      <c r="I96" s="1602"/>
      <c r="J96" s="1636"/>
      <c r="K96" s="1641"/>
      <c r="L96" s="1724" t="s">
        <v>384</v>
      </c>
      <c r="M96" s="259"/>
      <c r="N96" s="252"/>
      <c r="O96" s="1488"/>
      <c r="P96" s="1488"/>
    </row>
    <row r="97" spans="1:16" s="4868" customFormat="1" ht="18.75" hidden="1" customHeight="1">
      <c r="A97" s="1643"/>
      <c r="B97" s="1643"/>
      <c r="C97" s="285" t="s">
        <v>1152</v>
      </c>
      <c r="D97" s="5526"/>
      <c r="E97" s="5331"/>
      <c r="F97" s="5470"/>
      <c r="G97" s="5498"/>
      <c r="H97" s="1372"/>
      <c r="I97" s="554" t="s">
        <v>1151</v>
      </c>
      <c r="J97" s="478"/>
      <c r="K97" s="1372"/>
      <c r="L97" s="136"/>
      <c r="M97" s="259"/>
      <c r="N97" s="252"/>
      <c r="O97" s="1488"/>
      <c r="P97" s="1488"/>
    </row>
    <row r="98" spans="1:16" s="4868" customFormat="1" ht="0.75" hidden="1" customHeight="1">
      <c r="A98" s="1643"/>
      <c r="B98" s="1643"/>
      <c r="C98" s="285" t="s">
        <v>1159</v>
      </c>
      <c r="D98" s="5526"/>
      <c r="E98" s="5331"/>
      <c r="F98" s="5470"/>
      <c r="G98" s="316"/>
      <c r="H98" s="1372"/>
      <c r="I98" s="554"/>
      <c r="J98" s="478"/>
      <c r="K98" s="1372"/>
      <c r="L98" s="136"/>
      <c r="M98" s="259"/>
      <c r="N98" s="252"/>
      <c r="O98" s="1488"/>
      <c r="P98" s="1488"/>
    </row>
    <row r="99" spans="1:16" s="4868" customFormat="1" ht="18.75" hidden="1" customHeight="1">
      <c r="A99" s="1643" t="s">
        <v>202</v>
      </c>
      <c r="B99" s="1643" t="s">
        <v>203</v>
      </c>
      <c r="C99" s="285"/>
      <c r="D99" s="5526"/>
      <c r="E99" s="5331"/>
      <c r="F99" s="5470" t="str">
        <f>INDEX(PT_DIFFERENTIATION_VTAR,MATCH(A99,PT_DIFFERENTIATION_VTAR_ID,0))</f>
        <v>Тарифы на услуги по передаче теплоносителя</v>
      </c>
      <c r="G99" s="5498" t="str">
        <f>INDEX(PT_DIFFERENTIATION_NTAR,MATCH(B99,PT_DIFFERENTIATION_NTAR_ID,0))</f>
        <v/>
      </c>
      <c r="H99" s="1724"/>
      <c r="I99" s="1602"/>
      <c r="J99" s="1636"/>
      <c r="K99" s="1641"/>
      <c r="L99" s="1724" t="s">
        <v>384</v>
      </c>
      <c r="M99" s="259"/>
      <c r="N99" s="252"/>
      <c r="O99" s="1488"/>
      <c r="P99" s="1488"/>
    </row>
    <row r="100" spans="1:16" s="4868" customFormat="1" ht="18.75" hidden="1" customHeight="1">
      <c r="A100" s="1643"/>
      <c r="B100" s="1643"/>
      <c r="C100" s="285" t="s">
        <v>1152</v>
      </c>
      <c r="D100" s="5526"/>
      <c r="E100" s="5331"/>
      <c r="F100" s="5470"/>
      <c r="G100" s="5498"/>
      <c r="H100" s="1372"/>
      <c r="I100" s="554" t="s">
        <v>1151</v>
      </c>
      <c r="J100" s="478"/>
      <c r="K100" s="1372"/>
      <c r="L100" s="136"/>
      <c r="M100" s="259"/>
      <c r="N100" s="252"/>
      <c r="O100" s="1488"/>
      <c r="P100" s="1488"/>
    </row>
    <row r="101" spans="1:16" s="4868" customFormat="1" ht="0.75" hidden="1" customHeight="1">
      <c r="A101" s="1643"/>
      <c r="B101" s="1643"/>
      <c r="C101" s="285" t="s">
        <v>1159</v>
      </c>
      <c r="D101" s="5526"/>
      <c r="E101" s="5331"/>
      <c r="F101" s="5470"/>
      <c r="G101" s="316"/>
      <c r="H101" s="1372"/>
      <c r="I101" s="554"/>
      <c r="J101" s="478"/>
      <c r="K101" s="1372"/>
      <c r="L101" s="136"/>
      <c r="M101" s="259"/>
      <c r="N101" s="252"/>
      <c r="O101" s="1488"/>
      <c r="P101" s="1488"/>
    </row>
    <row r="102" spans="1:16" s="4868" customFormat="1" ht="18.75" hidden="1" customHeight="1">
      <c r="A102" s="1643" t="s">
        <v>208</v>
      </c>
      <c r="B102" s="1643" t="s">
        <v>209</v>
      </c>
      <c r="C102" s="285"/>
      <c r="D102" s="5526"/>
      <c r="E102" s="5331"/>
      <c r="F102" s="5470" t="str">
        <f>INDEX(PT_DIFFERENTIATION_VTAR,MATCH(A102,PT_DIFFERENTIATION_VTAR_ID,0))</f>
        <v>Плата за услуги по поддержанию резервной тепловой мощности при отсутствии потребления тепловой энергии</v>
      </c>
      <c r="G102" s="5498" t="str">
        <f>INDEX(PT_DIFFERENTIATION_NTAR,MATCH(B102,PT_DIFFERENTIATION_NTAR_ID,0))</f>
        <v/>
      </c>
      <c r="H102" s="1724"/>
      <c r="I102" s="1602"/>
      <c r="J102" s="1636"/>
      <c r="K102" s="1641"/>
      <c r="L102" s="1724" t="s">
        <v>384</v>
      </c>
      <c r="M102" s="259"/>
      <c r="N102" s="252"/>
      <c r="O102" s="1488"/>
      <c r="P102" s="1488"/>
    </row>
    <row r="103" spans="1:16" s="4868" customFormat="1" ht="18.75" hidden="1" customHeight="1">
      <c r="A103" s="1643"/>
      <c r="B103" s="1643"/>
      <c r="C103" s="285" t="s">
        <v>1152</v>
      </c>
      <c r="D103" s="5526"/>
      <c r="E103" s="5331"/>
      <c r="F103" s="5470"/>
      <c r="G103" s="5498"/>
      <c r="H103" s="1372"/>
      <c r="I103" s="554" t="s">
        <v>1151</v>
      </c>
      <c r="J103" s="478"/>
      <c r="K103" s="1372"/>
      <c r="L103" s="136"/>
      <c r="M103" s="259"/>
      <c r="N103" s="252"/>
      <c r="O103" s="1488"/>
      <c r="P103" s="1488"/>
    </row>
    <row r="104" spans="1:16" s="4868" customFormat="1" ht="0.75" hidden="1" customHeight="1">
      <c r="A104" s="1643"/>
      <c r="B104" s="1643"/>
      <c r="C104" s="285" t="s">
        <v>1159</v>
      </c>
      <c r="D104" s="5526"/>
      <c r="E104" s="5331"/>
      <c r="F104" s="5470"/>
      <c r="G104" s="316"/>
      <c r="H104" s="1372"/>
      <c r="I104" s="554"/>
      <c r="J104" s="478"/>
      <c r="K104" s="1372"/>
      <c r="L104" s="136"/>
      <c r="M104" s="259"/>
      <c r="N104" s="252"/>
      <c r="O104" s="1488"/>
      <c r="P104" s="1488"/>
    </row>
    <row r="105" spans="1:16" s="4868" customFormat="1" ht="18.75" hidden="1" customHeight="1">
      <c r="A105" s="1643" t="s">
        <v>214</v>
      </c>
      <c r="B105" s="1643" t="s">
        <v>215</v>
      </c>
      <c r="C105" s="285"/>
      <c r="D105" s="5526"/>
      <c r="E105" s="5331"/>
      <c r="F105" s="5470" t="str">
        <f>INDEX(PT_DIFFERENTIATION_VTAR,MATCH(A105,PT_DIFFERENTIATION_VTAR_ID,0))</f>
        <v>Плата за подключение (технологическое присоединение) к системе теплоснабжения</v>
      </c>
      <c r="G105" s="5498" t="str">
        <f>INDEX(PT_DIFFERENTIATION_NTAR,MATCH(B105,PT_DIFFERENTIATION_NTAR_ID,0))</f>
        <v/>
      </c>
      <c r="H105" s="1724"/>
      <c r="I105" s="1602"/>
      <c r="J105" s="1636"/>
      <c r="K105" s="1641"/>
      <c r="L105" s="1724" t="s">
        <v>384</v>
      </c>
      <c r="M105" s="259"/>
      <c r="N105" s="252"/>
      <c r="O105" s="1488"/>
      <c r="P105" s="1488"/>
    </row>
    <row r="106" spans="1:16" s="4868" customFormat="1" ht="18.75" hidden="1" customHeight="1">
      <c r="A106" s="1643"/>
      <c r="B106" s="1643"/>
      <c r="C106" s="285" t="s">
        <v>1152</v>
      </c>
      <c r="D106" s="5526"/>
      <c r="E106" s="5331"/>
      <c r="F106" s="5470"/>
      <c r="G106" s="5498"/>
      <c r="H106" s="1372"/>
      <c r="I106" s="554" t="s">
        <v>1151</v>
      </c>
      <c r="J106" s="478"/>
      <c r="K106" s="1372"/>
      <c r="L106" s="136"/>
      <c r="M106" s="259"/>
      <c r="N106" s="252"/>
      <c r="O106" s="1488"/>
      <c r="P106" s="1488"/>
    </row>
    <row r="107" spans="1:16" s="4868" customFormat="1" ht="0.75" hidden="1" customHeight="1">
      <c r="A107" s="1643"/>
      <c r="B107" s="1643"/>
      <c r="C107" s="285" t="s">
        <v>1159</v>
      </c>
      <c r="D107" s="5526"/>
      <c r="E107" s="5331"/>
      <c r="F107" s="5470"/>
      <c r="G107" s="316"/>
      <c r="H107" s="1372"/>
      <c r="I107" s="554"/>
      <c r="J107" s="478"/>
      <c r="K107" s="1372"/>
      <c r="L107" s="136"/>
      <c r="M107" s="259"/>
      <c r="N107" s="252"/>
      <c r="O107" s="1488"/>
      <c r="P107" s="1488"/>
    </row>
    <row r="108" spans="1:16" s="4868" customFormat="1" ht="18.75" hidden="1" customHeight="1">
      <c r="A108" s="1643" t="s">
        <v>240</v>
      </c>
      <c r="B108" s="1643" t="s">
        <v>241</v>
      </c>
      <c r="C108" s="285"/>
      <c r="D108" s="5526"/>
      <c r="E108" s="5331"/>
      <c r="F108" s="5470" t="str">
        <f>INDEX(PT_DIFFERENTIATION_VTAR,MATCH(A108,PT_DIFFERENTIATION_VTAR_ID,0))</f>
        <v>Тариф на питьевую воду (питьевое водоснабжение)</v>
      </c>
      <c r="G108" s="5498" t="str">
        <f>INDEX(PT_DIFFERENTIATION_NTAR,MATCH(B108,PT_DIFFERENTIATION_NTAR_ID,0))</f>
        <v/>
      </c>
      <c r="H108" s="1724"/>
      <c r="I108" s="1602"/>
      <c r="J108" s="1636"/>
      <c r="K108" s="1641"/>
      <c r="L108" s="1724" t="s">
        <v>384</v>
      </c>
      <c r="M108" s="259"/>
      <c r="N108" s="252"/>
      <c r="O108" s="1488"/>
      <c r="P108" s="1488"/>
    </row>
    <row r="109" spans="1:16" s="4868" customFormat="1" ht="18.75" hidden="1" customHeight="1">
      <c r="A109" s="1643"/>
      <c r="B109" s="1643"/>
      <c r="C109" s="285" t="s">
        <v>1152</v>
      </c>
      <c r="D109" s="5526"/>
      <c r="E109" s="5331"/>
      <c r="F109" s="5470"/>
      <c r="G109" s="5498"/>
      <c r="H109" s="1372"/>
      <c r="I109" s="554" t="s">
        <v>1151</v>
      </c>
      <c r="J109" s="478"/>
      <c r="K109" s="1372"/>
      <c r="L109" s="136"/>
      <c r="M109" s="259"/>
      <c r="N109" s="252"/>
      <c r="O109" s="1488"/>
      <c r="P109" s="1488"/>
    </row>
    <row r="110" spans="1:16" s="4868" customFormat="1" ht="0.75" hidden="1" customHeight="1">
      <c r="A110" s="1643"/>
      <c r="B110" s="1643"/>
      <c r="C110" s="285" t="s">
        <v>1159</v>
      </c>
      <c r="D110" s="5526"/>
      <c r="E110" s="5331"/>
      <c r="F110" s="5470"/>
      <c r="G110" s="316"/>
      <c r="H110" s="1372"/>
      <c r="I110" s="554"/>
      <c r="J110" s="478"/>
      <c r="K110" s="1372"/>
      <c r="L110" s="136"/>
      <c r="M110" s="259"/>
      <c r="N110" s="252"/>
      <c r="O110" s="1488"/>
      <c r="P110" s="1488"/>
    </row>
    <row r="111" spans="1:16" s="4868" customFormat="1" ht="18.75" hidden="1" customHeight="1">
      <c r="A111" s="1643" t="s">
        <v>245</v>
      </c>
      <c r="B111" s="1643" t="s">
        <v>246</v>
      </c>
      <c r="C111" s="285"/>
      <c r="D111" s="5526"/>
      <c r="E111" s="5331"/>
      <c r="F111" s="5470" t="str">
        <f>INDEX(PT_DIFFERENTIATION_VTAR,MATCH(A111,PT_DIFFERENTIATION_VTAR_ID,0))</f>
        <v>Тариф на техническую воду</v>
      </c>
      <c r="G111" s="5498" t="str">
        <f>INDEX(PT_DIFFERENTIATION_NTAR,MATCH(B111,PT_DIFFERENTIATION_NTAR_ID,0))</f>
        <v/>
      </c>
      <c r="H111" s="1724"/>
      <c r="I111" s="1602"/>
      <c r="J111" s="1636"/>
      <c r="K111" s="1641"/>
      <c r="L111" s="1724" t="s">
        <v>384</v>
      </c>
      <c r="M111" s="259"/>
      <c r="N111" s="252"/>
      <c r="O111" s="1488"/>
      <c r="P111" s="1488"/>
    </row>
    <row r="112" spans="1:16" s="4868" customFormat="1" ht="18.75" hidden="1" customHeight="1">
      <c r="A112" s="1643"/>
      <c r="B112" s="1643"/>
      <c r="C112" s="285" t="s">
        <v>1152</v>
      </c>
      <c r="D112" s="5526"/>
      <c r="E112" s="5331"/>
      <c r="F112" s="5470"/>
      <c r="G112" s="5498"/>
      <c r="H112" s="1372"/>
      <c r="I112" s="554" t="s">
        <v>1151</v>
      </c>
      <c r="J112" s="478"/>
      <c r="K112" s="1372"/>
      <c r="L112" s="136"/>
      <c r="M112" s="259"/>
      <c r="N112" s="252"/>
      <c r="O112" s="1488"/>
      <c r="P112" s="1488"/>
    </row>
    <row r="113" spans="1:16" s="4868" customFormat="1" ht="0.75" hidden="1" customHeight="1">
      <c r="A113" s="1643"/>
      <c r="B113" s="1643"/>
      <c r="C113" s="285" t="s">
        <v>1159</v>
      </c>
      <c r="D113" s="5526"/>
      <c r="E113" s="5331"/>
      <c r="F113" s="5470"/>
      <c r="G113" s="316"/>
      <c r="H113" s="1372"/>
      <c r="I113" s="554"/>
      <c r="J113" s="478"/>
      <c r="K113" s="1372"/>
      <c r="L113" s="136"/>
      <c r="M113" s="259"/>
      <c r="N113" s="252"/>
      <c r="O113" s="1488"/>
      <c r="P113" s="1488"/>
    </row>
    <row r="114" spans="1:16" s="4868" customFormat="1" ht="18.75" hidden="1" customHeight="1">
      <c r="A114" s="1643" t="s">
        <v>250</v>
      </c>
      <c r="B114" s="1643" t="s">
        <v>251</v>
      </c>
      <c r="C114" s="285"/>
      <c r="D114" s="5526"/>
      <c r="E114" s="5331"/>
      <c r="F114" s="5470" t="str">
        <f>INDEX(PT_DIFFERENTIATION_VTAR,MATCH(A114,PT_DIFFERENTIATION_VTAR_ID,0))</f>
        <v>Тариф на транспортировку воды</v>
      </c>
      <c r="G114" s="5498" t="str">
        <f>INDEX(PT_DIFFERENTIATION_NTAR,MATCH(B114,PT_DIFFERENTIATION_NTAR_ID,0))</f>
        <v/>
      </c>
      <c r="H114" s="1724"/>
      <c r="I114" s="1602"/>
      <c r="J114" s="1636"/>
      <c r="K114" s="1641"/>
      <c r="L114" s="1724" t="s">
        <v>384</v>
      </c>
      <c r="M114" s="259"/>
      <c r="N114" s="252"/>
      <c r="O114" s="1488"/>
      <c r="P114" s="1488"/>
    </row>
    <row r="115" spans="1:16" s="4868" customFormat="1" ht="18.75" hidden="1" customHeight="1">
      <c r="A115" s="1643"/>
      <c r="B115" s="1643"/>
      <c r="C115" s="285" t="s">
        <v>1152</v>
      </c>
      <c r="D115" s="5526"/>
      <c r="E115" s="5331"/>
      <c r="F115" s="5470"/>
      <c r="G115" s="5498"/>
      <c r="H115" s="1372"/>
      <c r="I115" s="554" t="s">
        <v>1151</v>
      </c>
      <c r="J115" s="478"/>
      <c r="K115" s="1372"/>
      <c r="L115" s="136"/>
      <c r="M115" s="259"/>
      <c r="N115" s="252"/>
      <c r="O115" s="1488"/>
      <c r="P115" s="1488"/>
    </row>
    <row r="116" spans="1:16" s="4868" customFormat="1" ht="0.75" hidden="1" customHeight="1">
      <c r="A116" s="1643"/>
      <c r="B116" s="1643"/>
      <c r="C116" s="285" t="s">
        <v>1159</v>
      </c>
      <c r="D116" s="5526"/>
      <c r="E116" s="5331"/>
      <c r="F116" s="5470"/>
      <c r="G116" s="316"/>
      <c r="H116" s="1372"/>
      <c r="I116" s="554"/>
      <c r="J116" s="478"/>
      <c r="K116" s="1372"/>
      <c r="L116" s="136"/>
      <c r="M116" s="259"/>
      <c r="N116" s="252"/>
      <c r="O116" s="1488"/>
      <c r="P116" s="1488"/>
    </row>
    <row r="117" spans="1:16" s="4868" customFormat="1" ht="18.75" hidden="1" customHeight="1">
      <c r="A117" s="1643" t="s">
        <v>255</v>
      </c>
      <c r="B117" s="1643" t="s">
        <v>256</v>
      </c>
      <c r="C117" s="285"/>
      <c r="D117" s="5526"/>
      <c r="E117" s="5331"/>
      <c r="F117" s="5470" t="str">
        <f>INDEX(PT_DIFFERENTIATION_VTAR,MATCH(A117,PT_DIFFERENTIATION_VTAR_ID,0))</f>
        <v>Тариф на подвоз воды</v>
      </c>
      <c r="G117" s="5498" t="str">
        <f>INDEX(PT_DIFFERENTIATION_NTAR,MATCH(B117,PT_DIFFERENTIATION_NTAR_ID,0))</f>
        <v/>
      </c>
      <c r="H117" s="1724"/>
      <c r="I117" s="1602"/>
      <c r="J117" s="1636"/>
      <c r="K117" s="1641"/>
      <c r="L117" s="1724" t="s">
        <v>384</v>
      </c>
      <c r="M117" s="259"/>
      <c r="N117" s="252"/>
      <c r="O117" s="1488"/>
      <c r="P117" s="1488"/>
    </row>
    <row r="118" spans="1:16" s="4868" customFormat="1" ht="18.75" hidden="1" customHeight="1">
      <c r="A118" s="1643"/>
      <c r="B118" s="1643"/>
      <c r="C118" s="285" t="s">
        <v>1152</v>
      </c>
      <c r="D118" s="5526"/>
      <c r="E118" s="5331"/>
      <c r="F118" s="5470"/>
      <c r="G118" s="5498"/>
      <c r="H118" s="1372"/>
      <c r="I118" s="554" t="s">
        <v>1151</v>
      </c>
      <c r="J118" s="478"/>
      <c r="K118" s="1372"/>
      <c r="L118" s="136"/>
      <c r="M118" s="259"/>
      <c r="N118" s="252"/>
      <c r="O118" s="1488"/>
      <c r="P118" s="1488"/>
    </row>
    <row r="119" spans="1:16" s="4868" customFormat="1" ht="0.75" hidden="1" customHeight="1">
      <c r="A119" s="1643"/>
      <c r="B119" s="1643"/>
      <c r="C119" s="285" t="s">
        <v>1159</v>
      </c>
      <c r="D119" s="5526"/>
      <c r="E119" s="5331"/>
      <c r="F119" s="5470"/>
      <c r="G119" s="316"/>
      <c r="H119" s="1372"/>
      <c r="I119" s="554"/>
      <c r="J119" s="478"/>
      <c r="K119" s="1372"/>
      <c r="L119" s="136"/>
      <c r="M119" s="259"/>
      <c r="N119" s="252"/>
      <c r="O119" s="1488"/>
      <c r="P119" s="1488"/>
    </row>
    <row r="120" spans="1:16" s="4868" customFormat="1" ht="18.75" hidden="1" customHeight="1">
      <c r="A120" s="1643" t="s">
        <v>260</v>
      </c>
      <c r="B120" s="1643" t="s">
        <v>261</v>
      </c>
      <c r="C120" s="285"/>
      <c r="D120" s="5526"/>
      <c r="E120" s="5331"/>
      <c r="F120" s="5470"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5498" t="str">
        <f>INDEX(PT_DIFFERENTIATION_NTAR,MATCH(B120,PT_DIFFERENTIATION_NTAR_ID,0))</f>
        <v/>
      </c>
      <c r="H120" s="1724"/>
      <c r="I120" s="1602"/>
      <c r="J120" s="1636"/>
      <c r="K120" s="1641"/>
      <c r="L120" s="1724" t="s">
        <v>384</v>
      </c>
      <c r="M120" s="259"/>
      <c r="N120" s="252"/>
      <c r="O120" s="1488"/>
      <c r="P120" s="1488"/>
    </row>
    <row r="121" spans="1:16" s="4868" customFormat="1" ht="18.75" hidden="1" customHeight="1">
      <c r="A121" s="1643"/>
      <c r="B121" s="1643"/>
      <c r="C121" s="285" t="s">
        <v>1152</v>
      </c>
      <c r="D121" s="5526"/>
      <c r="E121" s="5331"/>
      <c r="F121" s="5470"/>
      <c r="G121" s="5498"/>
      <c r="H121" s="1372"/>
      <c r="I121" s="554" t="s">
        <v>1151</v>
      </c>
      <c r="J121" s="478"/>
      <c r="K121" s="1372"/>
      <c r="L121" s="136"/>
      <c r="M121" s="259"/>
      <c r="N121" s="252"/>
      <c r="O121" s="1488"/>
      <c r="P121" s="1488"/>
    </row>
    <row r="122" spans="1:16" s="4868" customFormat="1" ht="0.75" hidden="1" customHeight="1">
      <c r="A122" s="1643"/>
      <c r="B122" s="1643"/>
      <c r="C122" s="285" t="s">
        <v>1159</v>
      </c>
      <c r="D122" s="5526"/>
      <c r="E122" s="5331"/>
      <c r="F122" s="5470"/>
      <c r="G122" s="316"/>
      <c r="H122" s="1372"/>
      <c r="I122" s="554"/>
      <c r="J122" s="478"/>
      <c r="K122" s="1372"/>
      <c r="L122" s="136"/>
      <c r="M122" s="259"/>
      <c r="N122" s="252"/>
      <c r="O122" s="1488"/>
      <c r="P122" s="1488"/>
    </row>
    <row r="123" spans="1:16" s="4868" customFormat="1" ht="18.75" hidden="1" customHeight="1">
      <c r="A123" s="1643" t="s">
        <v>267</v>
      </c>
      <c r="B123" s="1643" t="s">
        <v>268</v>
      </c>
      <c r="C123" s="285"/>
      <c r="D123" s="5526"/>
      <c r="E123" s="5331"/>
      <c r="F123" s="5470" t="str">
        <f>INDEX(PT_DIFFERENTIATION_VTAR,MATCH(A123,PT_DIFFERENTIATION_VTAR_ID,0))</f>
        <v>Тариф на горячую воду (горячее водоснабжение)</v>
      </c>
      <c r="G123" s="5498" t="str">
        <f>INDEX(PT_DIFFERENTIATION_NTAR,MATCH(B123,PT_DIFFERENTIATION_NTAR_ID,0))</f>
        <v>Тариф на горячую воду в закрытых системах горячего водоснабжения</v>
      </c>
      <c r="H123" s="1724"/>
      <c r="I123" s="1602"/>
      <c r="J123" s="1636"/>
      <c r="K123" s="1641"/>
      <c r="L123" s="1724" t="s">
        <v>384</v>
      </c>
      <c r="M123" s="259"/>
      <c r="N123" s="252"/>
      <c r="O123" s="1488"/>
      <c r="P123" s="1488"/>
    </row>
    <row r="124" spans="1:16" s="4868" customFormat="1" ht="18.75" hidden="1" customHeight="1">
      <c r="A124" s="1643"/>
      <c r="B124" s="1643"/>
      <c r="C124" s="285" t="s">
        <v>1152</v>
      </c>
      <c r="D124" s="5526"/>
      <c r="E124" s="5331"/>
      <c r="F124" s="5470"/>
      <c r="G124" s="5498"/>
      <c r="H124" s="1372"/>
      <c r="I124" s="554" t="s">
        <v>1151</v>
      </c>
      <c r="J124" s="478"/>
      <c r="K124" s="1372"/>
      <c r="L124" s="136"/>
      <c r="M124" s="259"/>
      <c r="N124" s="252"/>
      <c r="O124" s="1488"/>
      <c r="P124" s="1488"/>
    </row>
    <row r="125" spans="1:16" s="4868" customFormat="1" ht="0.75" hidden="1" customHeight="1">
      <c r="A125" s="1643"/>
      <c r="B125" s="1643"/>
      <c r="C125" s="285" t="s">
        <v>1159</v>
      </c>
      <c r="D125" s="5526"/>
      <c r="E125" s="5331"/>
      <c r="F125" s="5470"/>
      <c r="G125" s="316"/>
      <c r="H125" s="1372"/>
      <c r="I125" s="554"/>
      <c r="J125" s="478"/>
      <c r="K125" s="1372"/>
      <c r="L125" s="136"/>
      <c r="M125" s="259"/>
      <c r="N125" s="252"/>
      <c r="O125" s="1488"/>
      <c r="P125" s="1488"/>
    </row>
    <row r="126" spans="1:16" s="4868" customFormat="1" ht="18.75" hidden="1" customHeight="1">
      <c r="A126" s="1643" t="s">
        <v>333</v>
      </c>
      <c r="B126" s="1643" t="s">
        <v>334</v>
      </c>
      <c r="C126" s="285"/>
      <c r="D126" s="5526"/>
      <c r="E126" s="5331"/>
      <c r="F126" s="5470" t="str">
        <f>INDEX(PT_DIFFERENTIATION_VTAR,MATCH(A126,PT_DIFFERENTIATION_VTAR_ID,0))</f>
        <v>Тариф на транспортировку горячей воды</v>
      </c>
      <c r="G126" s="5498" t="str">
        <f>INDEX(PT_DIFFERENTIATION_NTAR,MATCH(B126,PT_DIFFERENTIATION_NTAR_ID,0))</f>
        <v/>
      </c>
      <c r="H126" s="1724"/>
      <c r="I126" s="1602"/>
      <c r="J126" s="1636"/>
      <c r="K126" s="1641"/>
      <c r="L126" s="1724" t="s">
        <v>384</v>
      </c>
      <c r="M126" s="259"/>
      <c r="N126" s="252"/>
      <c r="O126" s="1488"/>
      <c r="P126" s="1488"/>
    </row>
    <row r="127" spans="1:16" s="4868" customFormat="1" ht="18.75" hidden="1" customHeight="1">
      <c r="A127" s="1643"/>
      <c r="B127" s="1643"/>
      <c r="C127" s="285" t="s">
        <v>1152</v>
      </c>
      <c r="D127" s="5526"/>
      <c r="E127" s="5331"/>
      <c r="F127" s="5470"/>
      <c r="G127" s="5498"/>
      <c r="H127" s="1372"/>
      <c r="I127" s="554" t="s">
        <v>1151</v>
      </c>
      <c r="J127" s="478"/>
      <c r="K127" s="1372"/>
      <c r="L127" s="136"/>
      <c r="M127" s="259"/>
      <c r="N127" s="252"/>
      <c r="O127" s="1488"/>
      <c r="P127" s="1488"/>
    </row>
    <row r="128" spans="1:16" s="4868" customFormat="1" ht="0.75" hidden="1" customHeight="1">
      <c r="A128" s="1643"/>
      <c r="B128" s="1643"/>
      <c r="C128" s="285" t="s">
        <v>1159</v>
      </c>
      <c r="D128" s="5526"/>
      <c r="E128" s="5331"/>
      <c r="F128" s="5470"/>
      <c r="G128" s="316"/>
      <c r="H128" s="1372"/>
      <c r="I128" s="554"/>
      <c r="J128" s="478"/>
      <c r="K128" s="1372"/>
      <c r="L128" s="136"/>
      <c r="M128" s="259"/>
      <c r="N128" s="252"/>
      <c r="O128" s="1488"/>
      <c r="P128" s="1488"/>
    </row>
    <row r="129" spans="1:16" s="4868" customFormat="1" ht="18.75" hidden="1" customHeight="1">
      <c r="A129" s="1643" t="s">
        <v>338</v>
      </c>
      <c r="B129" s="1643" t="s">
        <v>339</v>
      </c>
      <c r="C129" s="285"/>
      <c r="D129" s="5526"/>
      <c r="E129" s="5331"/>
      <c r="F129" s="5470" t="str">
        <f>INDEX(PT_DIFFERENTIATION_VTAR,MATCH(A129,PT_DIFFERENTIATION_VTAR_ID,0))</f>
        <v>Тариф на подключение (технологическое присоединение) к централизованной системе горячего водоснабжения</v>
      </c>
      <c r="G129" s="5498" t="str">
        <f>INDEX(PT_DIFFERENTIATION_NTAR,MATCH(B129,PT_DIFFERENTIATION_NTAR_ID,0))</f>
        <v/>
      </c>
      <c r="H129" s="1724"/>
      <c r="I129" s="1602"/>
      <c r="J129" s="1636"/>
      <c r="K129" s="1641"/>
      <c r="L129" s="1724" t="s">
        <v>384</v>
      </c>
      <c r="M129" s="259"/>
      <c r="N129" s="252"/>
      <c r="O129" s="1488"/>
      <c r="P129" s="1488"/>
    </row>
    <row r="130" spans="1:16" s="4868" customFormat="1" ht="18.75" hidden="1" customHeight="1">
      <c r="A130" s="1643"/>
      <c r="B130" s="1643"/>
      <c r="C130" s="285" t="s">
        <v>1152</v>
      </c>
      <c r="D130" s="5526"/>
      <c r="E130" s="5331"/>
      <c r="F130" s="5470"/>
      <c r="G130" s="5498"/>
      <c r="H130" s="1372"/>
      <c r="I130" s="554" t="s">
        <v>1151</v>
      </c>
      <c r="J130" s="478"/>
      <c r="K130" s="1372"/>
      <c r="L130" s="136"/>
      <c r="M130" s="259"/>
      <c r="N130" s="252"/>
      <c r="O130" s="1488"/>
      <c r="P130" s="1488"/>
    </row>
    <row r="131" spans="1:16" s="4868" customFormat="1" ht="0.75" hidden="1" customHeight="1">
      <c r="A131" s="1643"/>
      <c r="B131" s="1643"/>
      <c r="C131" s="285" t="s">
        <v>1159</v>
      </c>
      <c r="D131" s="5526"/>
      <c r="E131" s="5331"/>
      <c r="F131" s="5470"/>
      <c r="G131" s="316"/>
      <c r="H131" s="1372"/>
      <c r="I131" s="554"/>
      <c r="J131" s="478"/>
      <c r="K131" s="1372"/>
      <c r="L131" s="136"/>
      <c r="M131" s="259"/>
      <c r="N131" s="252"/>
      <c r="O131" s="1488"/>
      <c r="P131" s="1488"/>
    </row>
    <row r="132" spans="1:16" s="4868" customFormat="1" ht="18.75" hidden="1" customHeight="1">
      <c r="A132" s="1643" t="s">
        <v>343</v>
      </c>
      <c r="B132" s="1643" t="s">
        <v>344</v>
      </c>
      <c r="C132" s="285"/>
      <c r="D132" s="5526"/>
      <c r="E132" s="5331"/>
      <c r="F132" s="5470" t="str">
        <f>INDEX(PT_DIFFERENTIATION_VTAR,MATCH(A132,PT_DIFFERENTIATION_VTAR_ID,0))</f>
        <v>Тариф на водоотведение</v>
      </c>
      <c r="G132" s="5498" t="str">
        <f>INDEX(PT_DIFFERENTIATION_NTAR,MATCH(B132,PT_DIFFERENTIATION_NTAR_ID,0))</f>
        <v/>
      </c>
      <c r="H132" s="1724"/>
      <c r="I132" s="1602"/>
      <c r="J132" s="1636"/>
      <c r="K132" s="1641"/>
      <c r="L132" s="1724" t="s">
        <v>384</v>
      </c>
      <c r="M132" s="259"/>
      <c r="N132" s="252"/>
      <c r="O132" s="1488"/>
      <c r="P132" s="1488"/>
    </row>
    <row r="133" spans="1:16" s="4868" customFormat="1" ht="18.75" hidden="1" customHeight="1">
      <c r="A133" s="1643"/>
      <c r="B133" s="1643"/>
      <c r="C133" s="285" t="s">
        <v>1152</v>
      </c>
      <c r="D133" s="5526"/>
      <c r="E133" s="5331"/>
      <c r="F133" s="5470"/>
      <c r="G133" s="5498"/>
      <c r="H133" s="1372"/>
      <c r="I133" s="554" t="s">
        <v>1151</v>
      </c>
      <c r="J133" s="478"/>
      <c r="K133" s="1372"/>
      <c r="L133" s="136"/>
      <c r="M133" s="259"/>
      <c r="N133" s="252"/>
      <c r="O133" s="1488"/>
      <c r="P133" s="1488"/>
    </row>
    <row r="134" spans="1:16" s="4868" customFormat="1" ht="0.75" hidden="1" customHeight="1">
      <c r="A134" s="1643"/>
      <c r="B134" s="1643"/>
      <c r="C134" s="285" t="s">
        <v>1159</v>
      </c>
      <c r="D134" s="5526"/>
      <c r="E134" s="5331"/>
      <c r="F134" s="5470"/>
      <c r="G134" s="316"/>
      <c r="H134" s="1372"/>
      <c r="I134" s="554"/>
      <c r="J134" s="478"/>
      <c r="K134" s="1372"/>
      <c r="L134" s="136"/>
      <c r="M134" s="259"/>
      <c r="N134" s="252"/>
      <c r="O134" s="1488"/>
      <c r="P134" s="1488"/>
    </row>
    <row r="135" spans="1:16" s="4868" customFormat="1" ht="18.75" hidden="1" customHeight="1">
      <c r="A135" s="1643" t="s">
        <v>348</v>
      </c>
      <c r="B135" s="1643" t="s">
        <v>349</v>
      </c>
      <c r="C135" s="285"/>
      <c r="D135" s="5526"/>
      <c r="E135" s="5331"/>
      <c r="F135" s="5470" t="str">
        <f>INDEX(PT_DIFFERENTIATION_VTAR,MATCH(A135,PT_DIFFERENTIATION_VTAR_ID,0))</f>
        <v>Тариф на транспортировку сточных вод</v>
      </c>
      <c r="G135" s="5498" t="str">
        <f>INDEX(PT_DIFFERENTIATION_NTAR,MATCH(B135,PT_DIFFERENTIATION_NTAR_ID,0))</f>
        <v/>
      </c>
      <c r="H135" s="1724"/>
      <c r="I135" s="1602"/>
      <c r="J135" s="1636"/>
      <c r="K135" s="1641"/>
      <c r="L135" s="1724" t="s">
        <v>384</v>
      </c>
      <c r="M135" s="259"/>
      <c r="N135" s="252"/>
      <c r="O135" s="1488"/>
      <c r="P135" s="1488"/>
    </row>
    <row r="136" spans="1:16" s="4868" customFormat="1" ht="18.75" hidden="1" customHeight="1">
      <c r="A136" s="1643"/>
      <c r="B136" s="1643"/>
      <c r="C136" s="285" t="s">
        <v>1152</v>
      </c>
      <c r="D136" s="5526"/>
      <c r="E136" s="5331"/>
      <c r="F136" s="5470"/>
      <c r="G136" s="5498"/>
      <c r="H136" s="1372"/>
      <c r="I136" s="554" t="s">
        <v>1151</v>
      </c>
      <c r="J136" s="478"/>
      <c r="K136" s="1372"/>
      <c r="L136" s="136"/>
      <c r="M136" s="259"/>
      <c r="N136" s="252"/>
      <c r="O136" s="1488"/>
      <c r="P136" s="1488"/>
    </row>
    <row r="137" spans="1:16" s="4868" customFormat="1" ht="0.75" hidden="1" customHeight="1">
      <c r="A137" s="1643"/>
      <c r="B137" s="1643"/>
      <c r="C137" s="285" t="s">
        <v>1159</v>
      </c>
      <c r="D137" s="5526"/>
      <c r="E137" s="5331"/>
      <c r="F137" s="5470"/>
      <c r="G137" s="316"/>
      <c r="H137" s="1372"/>
      <c r="I137" s="554"/>
      <c r="J137" s="478"/>
      <c r="K137" s="1372"/>
      <c r="L137" s="136"/>
      <c r="M137" s="259"/>
      <c r="N137" s="252"/>
      <c r="O137" s="1488"/>
      <c r="P137" s="1488"/>
    </row>
    <row r="138" spans="1:16" s="4868" customFormat="1" ht="18.75" hidden="1" customHeight="1">
      <c r="A138" s="1643" t="s">
        <v>353</v>
      </c>
      <c r="B138" s="1643" t="s">
        <v>354</v>
      </c>
      <c r="C138" s="285"/>
      <c r="D138" s="5526"/>
      <c r="E138" s="5331"/>
      <c r="F138" s="5470" t="str">
        <f>INDEX(PT_DIFFERENTIATION_VTAR,MATCH(A138,PT_DIFFERENTIATION_VTAR_ID,0))</f>
        <v>Тариф на подключение (технологическое присоединение) к централизованной системе водоотведения</v>
      </c>
      <c r="G138" s="5498" t="str">
        <f>INDEX(PT_DIFFERENTIATION_NTAR,MATCH(B138,PT_DIFFERENTIATION_NTAR_ID,0))</f>
        <v/>
      </c>
      <c r="H138" s="1724"/>
      <c r="I138" s="1602"/>
      <c r="J138" s="1636"/>
      <c r="K138" s="1641"/>
      <c r="L138" s="1724" t="s">
        <v>384</v>
      </c>
      <c r="M138" s="259"/>
      <c r="N138" s="252"/>
      <c r="O138" s="1488"/>
      <c r="P138" s="1488"/>
    </row>
    <row r="139" spans="1:16" s="4868" customFormat="1" ht="18.75" hidden="1" customHeight="1">
      <c r="A139" s="1643"/>
      <c r="B139" s="1643"/>
      <c r="C139" s="285" t="s">
        <v>1152</v>
      </c>
      <c r="D139" s="5526"/>
      <c r="E139" s="5331"/>
      <c r="F139" s="5470"/>
      <c r="G139" s="5498"/>
      <c r="H139" s="1372"/>
      <c r="I139" s="554" t="s">
        <v>1151</v>
      </c>
      <c r="J139" s="478"/>
      <c r="K139" s="1372"/>
      <c r="L139" s="136"/>
      <c r="M139" s="259"/>
      <c r="N139" s="252"/>
      <c r="O139" s="1488"/>
      <c r="P139" s="1488"/>
    </row>
    <row r="140" spans="1:16" s="4868" customFormat="1" ht="0.75" customHeight="1">
      <c r="A140" s="1643"/>
      <c r="B140" s="1643"/>
      <c r="C140" s="285" t="s">
        <v>1159</v>
      </c>
      <c r="D140" s="5526"/>
      <c r="E140" s="5331"/>
      <c r="F140" s="5470"/>
      <c r="G140" s="316"/>
      <c r="H140" s="1372"/>
      <c r="I140" s="554"/>
      <c r="J140" s="478"/>
      <c r="K140" s="1372"/>
      <c r="L140" s="136"/>
      <c r="M140" s="259"/>
      <c r="N140" s="252"/>
      <c r="O140" s="1488"/>
      <c r="P140" s="1488"/>
    </row>
    <row r="141" spans="1:16" ht="18.75" customHeight="1">
      <c r="A141" s="1643"/>
      <c r="B141" s="1643"/>
      <c r="D141" s="292"/>
      <c r="E141" s="73" t="s">
        <v>88</v>
      </c>
      <c r="F141" s="552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1" s="5525"/>
      <c r="H141" s="5525"/>
      <c r="I141" s="5525"/>
      <c r="J141" s="5525"/>
      <c r="K141" s="5525"/>
      <c r="L141" s="5525"/>
      <c r="M141" s="215"/>
      <c r="N141" s="252"/>
    </row>
    <row r="142" spans="1:16" s="4868" customFormat="1" ht="60.75" hidden="1" customHeight="1">
      <c r="A142" s="1643" t="s">
        <v>172</v>
      </c>
      <c r="B142" s="1643" t="s">
        <v>173</v>
      </c>
      <c r="C142" s="285"/>
      <c r="D142" s="5526"/>
      <c r="E142" s="5331"/>
      <c r="F142" s="5470"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5498" t="str">
        <f>INDEX(PT_DIFFERENTIATION_NTAR,MATCH(B142,PT_DIFFERENTIATION_NTAR_ID,0))</f>
        <v/>
      </c>
      <c r="H142" s="1724"/>
      <c r="I142" s="1602"/>
      <c r="J142" s="1636"/>
      <c r="K142" s="1641"/>
      <c r="L142" s="1724" t="s">
        <v>384</v>
      </c>
      <c r="M142" s="52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52"/>
      <c r="O142" s="1488"/>
      <c r="P142" s="1488"/>
    </row>
    <row r="143" spans="1:16" s="4868" customFormat="1" ht="18.75" hidden="1" customHeight="1">
      <c r="A143" s="1643"/>
      <c r="B143" s="1643"/>
      <c r="C143" s="285" t="s">
        <v>1152</v>
      </c>
      <c r="D143" s="5526"/>
      <c r="E143" s="5331"/>
      <c r="F143" s="5470"/>
      <c r="G143" s="5498"/>
      <c r="H143" s="1372"/>
      <c r="I143" s="554" t="s">
        <v>1151</v>
      </c>
      <c r="J143" s="478"/>
      <c r="K143" s="1372"/>
      <c r="L143" s="136"/>
      <c r="M143" s="5285"/>
      <c r="N143" s="252"/>
      <c r="O143" s="1488"/>
      <c r="P143" s="1488"/>
    </row>
    <row r="144" spans="1:16" s="4868" customFormat="1" ht="0.75" hidden="1" customHeight="1">
      <c r="A144" s="1643"/>
      <c r="B144" s="1643"/>
      <c r="C144" s="285" t="s">
        <v>1159</v>
      </c>
      <c r="D144" s="5526"/>
      <c r="E144" s="5331"/>
      <c r="F144" s="5470"/>
      <c r="G144" s="316"/>
      <c r="H144" s="1372"/>
      <c r="I144" s="554"/>
      <c r="J144" s="478"/>
      <c r="K144" s="1372"/>
      <c r="L144" s="136"/>
      <c r="M144" s="5285"/>
      <c r="N144" s="252"/>
      <c r="O144" s="1488"/>
      <c r="P144" s="1488"/>
    </row>
    <row r="145" spans="1:16" s="4868" customFormat="1" ht="45" hidden="1" customHeight="1">
      <c r="A145" s="1643" t="s">
        <v>178</v>
      </c>
      <c r="B145" s="1643" t="s">
        <v>179</v>
      </c>
      <c r="C145" s="285"/>
      <c r="D145" s="5526"/>
      <c r="E145" s="5331"/>
      <c r="F145" s="5470"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5498" t="str">
        <f>INDEX(PT_DIFFERENTIATION_NTAR,MATCH(B145,PT_DIFFERENTIATION_NTAR_ID,0))</f>
        <v/>
      </c>
      <c r="H145" s="1724"/>
      <c r="I145" s="1602"/>
      <c r="J145" s="1636"/>
      <c r="K145" s="1641"/>
      <c r="L145" s="1724" t="s">
        <v>384</v>
      </c>
      <c r="M145" s="5286"/>
      <c r="N145" s="252"/>
      <c r="O145" s="1488"/>
      <c r="P145" s="1488"/>
    </row>
    <row r="146" spans="1:16" s="4868" customFormat="1" ht="18.75" hidden="1" customHeight="1">
      <c r="A146" s="1643"/>
      <c r="B146" s="1643"/>
      <c r="C146" s="285" t="s">
        <v>1152</v>
      </c>
      <c r="D146" s="5526"/>
      <c r="E146" s="5331"/>
      <c r="F146" s="5470"/>
      <c r="G146" s="5498"/>
      <c r="H146" s="1372"/>
      <c r="I146" s="554" t="s">
        <v>1151</v>
      </c>
      <c r="J146" s="478"/>
      <c r="K146" s="1372"/>
      <c r="L146" s="136"/>
      <c r="M146" s="1723"/>
      <c r="N146" s="252"/>
      <c r="O146" s="1488"/>
      <c r="P146" s="1488"/>
    </row>
    <row r="147" spans="1:16" s="4868" customFormat="1" ht="0.75" hidden="1" customHeight="1">
      <c r="A147" s="1643"/>
      <c r="B147" s="1643"/>
      <c r="C147" s="285" t="s">
        <v>1159</v>
      </c>
      <c r="D147" s="5526"/>
      <c r="E147" s="5331"/>
      <c r="F147" s="5470"/>
      <c r="G147" s="316"/>
      <c r="H147" s="1372"/>
      <c r="I147" s="554"/>
      <c r="J147" s="478"/>
      <c r="K147" s="1372"/>
      <c r="L147" s="136"/>
      <c r="M147" s="259"/>
      <c r="N147" s="252"/>
      <c r="O147" s="1488"/>
      <c r="P147" s="1488"/>
    </row>
    <row r="148" spans="1:16" s="4868" customFormat="1" ht="45" hidden="1" customHeight="1">
      <c r="A148" s="1643" t="s">
        <v>184</v>
      </c>
      <c r="B148" s="1643" t="s">
        <v>185</v>
      </c>
      <c r="C148" s="285"/>
      <c r="D148" s="5526"/>
      <c r="E148" s="5331"/>
      <c r="F148" s="5470"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5498" t="str">
        <f>INDEX(PT_DIFFERENTIATION_NTAR,MATCH(B148,PT_DIFFERENTIATION_NTAR_ID,0))</f>
        <v/>
      </c>
      <c r="H148" s="1724"/>
      <c r="I148" s="1602"/>
      <c r="J148" s="1636"/>
      <c r="K148" s="1641"/>
      <c r="L148" s="1724" t="s">
        <v>384</v>
      </c>
      <c r="M148" s="259"/>
      <c r="N148" s="252"/>
      <c r="O148" s="1488"/>
      <c r="P148" s="1488"/>
    </row>
    <row r="149" spans="1:16" s="4868" customFormat="1" ht="18.75" hidden="1" customHeight="1">
      <c r="A149" s="1643"/>
      <c r="B149" s="1643"/>
      <c r="C149" s="285" t="s">
        <v>1152</v>
      </c>
      <c r="D149" s="5526"/>
      <c r="E149" s="5331"/>
      <c r="F149" s="5470"/>
      <c r="G149" s="5498"/>
      <c r="H149" s="1372"/>
      <c r="I149" s="554" t="s">
        <v>1151</v>
      </c>
      <c r="J149" s="478"/>
      <c r="K149" s="1372"/>
      <c r="L149" s="136"/>
      <c r="M149" s="259"/>
      <c r="N149" s="252"/>
      <c r="O149" s="1488"/>
      <c r="P149" s="1488"/>
    </row>
    <row r="150" spans="1:16" s="4868" customFormat="1" ht="0.75" hidden="1" customHeight="1">
      <c r="A150" s="1643"/>
      <c r="B150" s="1643"/>
      <c r="C150" s="285" t="s">
        <v>1159</v>
      </c>
      <c r="D150" s="5526"/>
      <c r="E150" s="5331"/>
      <c r="F150" s="5470"/>
      <c r="G150" s="316"/>
      <c r="H150" s="1372"/>
      <c r="I150" s="554"/>
      <c r="J150" s="478"/>
      <c r="K150" s="1372"/>
      <c r="L150" s="136"/>
      <c r="M150" s="259"/>
      <c r="N150" s="252"/>
      <c r="O150" s="1488"/>
      <c r="P150" s="1488"/>
    </row>
    <row r="151" spans="1:16" s="4868" customFormat="1" ht="45" hidden="1" customHeight="1">
      <c r="A151" s="1643" t="s">
        <v>190</v>
      </c>
      <c r="B151" s="1643" t="s">
        <v>191</v>
      </c>
      <c r="C151" s="285"/>
      <c r="D151" s="5526"/>
      <c r="E151" s="5331"/>
      <c r="F151" s="5470"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5498" t="str">
        <f>INDEX(PT_DIFFERENTIATION_NTAR,MATCH(B151,PT_DIFFERENTIATION_NTAR_ID,0))</f>
        <v/>
      </c>
      <c r="H151" s="1724"/>
      <c r="I151" s="1602"/>
      <c r="J151" s="1636"/>
      <c r="K151" s="1641"/>
      <c r="L151" s="1724" t="s">
        <v>384</v>
      </c>
      <c r="M151" s="259"/>
      <c r="N151" s="252"/>
      <c r="O151" s="1488"/>
      <c r="P151" s="1488"/>
    </row>
    <row r="152" spans="1:16" s="4868" customFormat="1" ht="18.75" hidden="1" customHeight="1">
      <c r="A152" s="1643"/>
      <c r="B152" s="1643"/>
      <c r="C152" s="285" t="s">
        <v>1152</v>
      </c>
      <c r="D152" s="5526"/>
      <c r="E152" s="5331"/>
      <c r="F152" s="5470"/>
      <c r="G152" s="5498"/>
      <c r="H152" s="1372"/>
      <c r="I152" s="554" t="s">
        <v>1151</v>
      </c>
      <c r="J152" s="478"/>
      <c r="K152" s="1372"/>
      <c r="L152" s="136"/>
      <c r="M152" s="259"/>
      <c r="N152" s="252"/>
      <c r="O152" s="1488"/>
      <c r="P152" s="1488"/>
    </row>
    <row r="153" spans="1:16" s="4868" customFormat="1" ht="0.75" hidden="1" customHeight="1">
      <c r="A153" s="1643"/>
      <c r="B153" s="1643"/>
      <c r="C153" s="285" t="s">
        <v>1159</v>
      </c>
      <c r="D153" s="5526"/>
      <c r="E153" s="5331"/>
      <c r="F153" s="5470"/>
      <c r="G153" s="316"/>
      <c r="H153" s="1372"/>
      <c r="I153" s="554"/>
      <c r="J153" s="478"/>
      <c r="K153" s="1372"/>
      <c r="L153" s="136"/>
      <c r="M153" s="259"/>
      <c r="N153" s="252"/>
      <c r="O153" s="1488"/>
      <c r="P153" s="1488"/>
    </row>
    <row r="154" spans="1:16" s="4868" customFormat="1" ht="18.75" hidden="1" customHeight="1">
      <c r="A154" s="1643" t="s">
        <v>196</v>
      </c>
      <c r="B154" s="1643" t="s">
        <v>197</v>
      </c>
      <c r="C154" s="285"/>
      <c r="D154" s="5526"/>
      <c r="E154" s="5331"/>
      <c r="F154" s="5470" t="str">
        <f>INDEX(PT_DIFFERENTIATION_VTAR,MATCH(A154,PT_DIFFERENTIATION_VTAR_ID,0))</f>
        <v>Тарифы на услуги по передаче тепловой энергии</v>
      </c>
      <c r="G154" s="5498" t="str">
        <f>INDEX(PT_DIFFERENTIATION_NTAR,MATCH(B154,PT_DIFFERENTIATION_NTAR_ID,0))</f>
        <v/>
      </c>
      <c r="H154" s="1724"/>
      <c r="I154" s="1602"/>
      <c r="J154" s="1636"/>
      <c r="K154" s="1641"/>
      <c r="L154" s="1724" t="s">
        <v>384</v>
      </c>
      <c r="M154" s="259"/>
      <c r="N154" s="252"/>
      <c r="O154" s="1488"/>
      <c r="P154" s="1488"/>
    </row>
    <row r="155" spans="1:16" s="4868" customFormat="1" ht="18.75" hidden="1" customHeight="1">
      <c r="A155" s="1643"/>
      <c r="B155" s="1643"/>
      <c r="C155" s="285" t="s">
        <v>1152</v>
      </c>
      <c r="D155" s="5526"/>
      <c r="E155" s="5331"/>
      <c r="F155" s="5470"/>
      <c r="G155" s="5498"/>
      <c r="H155" s="1372"/>
      <c r="I155" s="554" t="s">
        <v>1151</v>
      </c>
      <c r="J155" s="478"/>
      <c r="K155" s="1372"/>
      <c r="L155" s="136"/>
      <c r="M155" s="259"/>
      <c r="N155" s="252"/>
      <c r="O155" s="1488"/>
      <c r="P155" s="1488"/>
    </row>
    <row r="156" spans="1:16" s="4868" customFormat="1" ht="0.75" hidden="1" customHeight="1">
      <c r="A156" s="1643"/>
      <c r="B156" s="1643"/>
      <c r="C156" s="285" t="s">
        <v>1159</v>
      </c>
      <c r="D156" s="5526"/>
      <c r="E156" s="5331"/>
      <c r="F156" s="5470"/>
      <c r="G156" s="316"/>
      <c r="H156" s="1372"/>
      <c r="I156" s="554"/>
      <c r="J156" s="478"/>
      <c r="K156" s="1372"/>
      <c r="L156" s="136"/>
      <c r="M156" s="259"/>
      <c r="N156" s="252"/>
      <c r="O156" s="1488"/>
      <c r="P156" s="1488"/>
    </row>
    <row r="157" spans="1:16" s="4868" customFormat="1" ht="18.75" hidden="1" customHeight="1">
      <c r="A157" s="1643" t="s">
        <v>202</v>
      </c>
      <c r="B157" s="1643" t="s">
        <v>203</v>
      </c>
      <c r="C157" s="285"/>
      <c r="D157" s="5526"/>
      <c r="E157" s="5331"/>
      <c r="F157" s="5470" t="str">
        <f>INDEX(PT_DIFFERENTIATION_VTAR,MATCH(A157,PT_DIFFERENTIATION_VTAR_ID,0))</f>
        <v>Тарифы на услуги по передаче теплоносителя</v>
      </c>
      <c r="G157" s="5498" t="str">
        <f>INDEX(PT_DIFFERENTIATION_NTAR,MATCH(B157,PT_DIFFERENTIATION_NTAR_ID,0))</f>
        <v/>
      </c>
      <c r="H157" s="1724"/>
      <c r="I157" s="1602"/>
      <c r="J157" s="1636"/>
      <c r="K157" s="1641"/>
      <c r="L157" s="1724" t="s">
        <v>384</v>
      </c>
      <c r="M157" s="259"/>
      <c r="N157" s="252"/>
      <c r="O157" s="1488"/>
      <c r="P157" s="1488"/>
    </row>
    <row r="158" spans="1:16" s="4868" customFormat="1" ht="18.75" hidden="1" customHeight="1">
      <c r="A158" s="1643"/>
      <c r="B158" s="1643"/>
      <c r="C158" s="285" t="s">
        <v>1152</v>
      </c>
      <c r="D158" s="5526"/>
      <c r="E158" s="5331"/>
      <c r="F158" s="5470"/>
      <c r="G158" s="5498"/>
      <c r="H158" s="1372"/>
      <c r="I158" s="554" t="s">
        <v>1151</v>
      </c>
      <c r="J158" s="478"/>
      <c r="K158" s="1372"/>
      <c r="L158" s="136"/>
      <c r="M158" s="259"/>
      <c r="N158" s="252"/>
      <c r="O158" s="1488"/>
      <c r="P158" s="1488"/>
    </row>
    <row r="159" spans="1:16" s="4868" customFormat="1" ht="0.75" hidden="1" customHeight="1">
      <c r="A159" s="1643"/>
      <c r="B159" s="1643"/>
      <c r="C159" s="285" t="s">
        <v>1159</v>
      </c>
      <c r="D159" s="5526"/>
      <c r="E159" s="5331"/>
      <c r="F159" s="5470"/>
      <c r="G159" s="316"/>
      <c r="H159" s="1372"/>
      <c r="I159" s="554"/>
      <c r="J159" s="478"/>
      <c r="K159" s="1372"/>
      <c r="L159" s="136"/>
      <c r="M159" s="259"/>
      <c r="N159" s="252"/>
      <c r="O159" s="1488"/>
      <c r="P159" s="1488"/>
    </row>
    <row r="160" spans="1:16" s="4868" customFormat="1" ht="18.75" hidden="1" customHeight="1">
      <c r="A160" s="1643" t="s">
        <v>208</v>
      </c>
      <c r="B160" s="1643" t="s">
        <v>209</v>
      </c>
      <c r="C160" s="285"/>
      <c r="D160" s="5526"/>
      <c r="E160" s="5331"/>
      <c r="F160" s="5470" t="str">
        <f>INDEX(PT_DIFFERENTIATION_VTAR,MATCH(A160,PT_DIFFERENTIATION_VTAR_ID,0))</f>
        <v>Плата за услуги по поддержанию резервной тепловой мощности при отсутствии потребления тепловой энергии</v>
      </c>
      <c r="G160" s="5498" t="str">
        <f>INDEX(PT_DIFFERENTIATION_NTAR,MATCH(B160,PT_DIFFERENTIATION_NTAR_ID,0))</f>
        <v/>
      </c>
      <c r="H160" s="1724"/>
      <c r="I160" s="1602"/>
      <c r="J160" s="1636"/>
      <c r="K160" s="1641"/>
      <c r="L160" s="1724" t="s">
        <v>384</v>
      </c>
      <c r="M160" s="259"/>
      <c r="N160" s="252"/>
      <c r="O160" s="1488"/>
      <c r="P160" s="1488"/>
    </row>
    <row r="161" spans="1:16" s="4868" customFormat="1" ht="18.75" hidden="1" customHeight="1">
      <c r="A161" s="1643"/>
      <c r="B161" s="1643"/>
      <c r="C161" s="285" t="s">
        <v>1152</v>
      </c>
      <c r="D161" s="5526"/>
      <c r="E161" s="5331"/>
      <c r="F161" s="5470"/>
      <c r="G161" s="5498"/>
      <c r="H161" s="1372"/>
      <c r="I161" s="554" t="s">
        <v>1151</v>
      </c>
      <c r="J161" s="478"/>
      <c r="K161" s="1372"/>
      <c r="L161" s="136"/>
      <c r="M161" s="259"/>
      <c r="N161" s="252"/>
      <c r="O161" s="1488"/>
      <c r="P161" s="1488"/>
    </row>
    <row r="162" spans="1:16" s="4868" customFormat="1" ht="0.75" hidden="1" customHeight="1">
      <c r="A162" s="1643"/>
      <c r="B162" s="1643"/>
      <c r="C162" s="285" t="s">
        <v>1159</v>
      </c>
      <c r="D162" s="5526"/>
      <c r="E162" s="5331"/>
      <c r="F162" s="5470"/>
      <c r="G162" s="316"/>
      <c r="H162" s="1372"/>
      <c r="I162" s="554"/>
      <c r="J162" s="478"/>
      <c r="K162" s="1372"/>
      <c r="L162" s="136"/>
      <c r="M162" s="259"/>
      <c r="N162" s="252"/>
      <c r="O162" s="1488"/>
      <c r="P162" s="1488"/>
    </row>
    <row r="163" spans="1:16" s="4868" customFormat="1" ht="18.75" hidden="1" customHeight="1">
      <c r="A163" s="1643" t="s">
        <v>214</v>
      </c>
      <c r="B163" s="1643" t="s">
        <v>215</v>
      </c>
      <c r="C163" s="285"/>
      <c r="D163" s="5526"/>
      <c r="E163" s="5331"/>
      <c r="F163" s="5470" t="str">
        <f>INDEX(PT_DIFFERENTIATION_VTAR,MATCH(A163,PT_DIFFERENTIATION_VTAR_ID,0))</f>
        <v>Плата за подключение (технологическое присоединение) к системе теплоснабжения</v>
      </c>
      <c r="G163" s="5498" t="str">
        <f>INDEX(PT_DIFFERENTIATION_NTAR,MATCH(B163,PT_DIFFERENTIATION_NTAR_ID,0))</f>
        <v/>
      </c>
      <c r="H163" s="1724"/>
      <c r="I163" s="1602"/>
      <c r="J163" s="1636"/>
      <c r="K163" s="1641"/>
      <c r="L163" s="1724" t="s">
        <v>384</v>
      </c>
      <c r="M163" s="259"/>
      <c r="N163" s="252"/>
      <c r="O163" s="1488"/>
      <c r="P163" s="1488"/>
    </row>
    <row r="164" spans="1:16" s="4868" customFormat="1" ht="18.75" hidden="1" customHeight="1">
      <c r="A164" s="1643"/>
      <c r="B164" s="1643"/>
      <c r="C164" s="285" t="s">
        <v>1152</v>
      </c>
      <c r="D164" s="5526"/>
      <c r="E164" s="5331"/>
      <c r="F164" s="5470"/>
      <c r="G164" s="5498"/>
      <c r="H164" s="1372"/>
      <c r="I164" s="554" t="s">
        <v>1151</v>
      </c>
      <c r="J164" s="478"/>
      <c r="K164" s="1372"/>
      <c r="L164" s="136"/>
      <c r="M164" s="259"/>
      <c r="N164" s="252"/>
      <c r="O164" s="1488"/>
      <c r="P164" s="1488"/>
    </row>
    <row r="165" spans="1:16" s="4868" customFormat="1" ht="0.75" hidden="1" customHeight="1">
      <c r="A165" s="1643"/>
      <c r="B165" s="1643"/>
      <c r="C165" s="285" t="s">
        <v>1159</v>
      </c>
      <c r="D165" s="5526"/>
      <c r="E165" s="5331"/>
      <c r="F165" s="5470"/>
      <c r="G165" s="316"/>
      <c r="H165" s="1372"/>
      <c r="I165" s="554"/>
      <c r="J165" s="478"/>
      <c r="K165" s="1372"/>
      <c r="L165" s="136"/>
      <c r="M165" s="259"/>
      <c r="N165" s="252"/>
      <c r="O165" s="1488"/>
      <c r="P165" s="1488"/>
    </row>
    <row r="166" spans="1:16" s="4868" customFormat="1" ht="18.75" hidden="1" customHeight="1">
      <c r="A166" s="1643" t="s">
        <v>240</v>
      </c>
      <c r="B166" s="1643" t="s">
        <v>241</v>
      </c>
      <c r="C166" s="285"/>
      <c r="D166" s="5526"/>
      <c r="E166" s="5331"/>
      <c r="F166" s="5470" t="str">
        <f>INDEX(PT_DIFFERENTIATION_VTAR,MATCH(A166,PT_DIFFERENTIATION_VTAR_ID,0))</f>
        <v>Тариф на питьевую воду (питьевое водоснабжение)</v>
      </c>
      <c r="G166" s="5498" t="str">
        <f>INDEX(PT_DIFFERENTIATION_NTAR,MATCH(B166,PT_DIFFERENTIATION_NTAR_ID,0))</f>
        <v/>
      </c>
      <c r="H166" s="1724"/>
      <c r="I166" s="1602"/>
      <c r="J166" s="1636"/>
      <c r="K166" s="1641"/>
      <c r="L166" s="1724" t="s">
        <v>384</v>
      </c>
      <c r="M166" s="259"/>
      <c r="N166" s="252"/>
      <c r="O166" s="1488"/>
      <c r="P166" s="1488"/>
    </row>
    <row r="167" spans="1:16" s="4868" customFormat="1" ht="18.75" hidden="1" customHeight="1">
      <c r="A167" s="1643"/>
      <c r="B167" s="1643"/>
      <c r="C167" s="285" t="s">
        <v>1152</v>
      </c>
      <c r="D167" s="5526"/>
      <c r="E167" s="5331"/>
      <c r="F167" s="5470"/>
      <c r="G167" s="5498"/>
      <c r="H167" s="1372"/>
      <c r="I167" s="554" t="s">
        <v>1151</v>
      </c>
      <c r="J167" s="478"/>
      <c r="K167" s="1372"/>
      <c r="L167" s="136"/>
      <c r="M167" s="259"/>
      <c r="N167" s="252"/>
      <c r="O167" s="1488"/>
      <c r="P167" s="1488"/>
    </row>
    <row r="168" spans="1:16" s="4868" customFormat="1" ht="0.75" hidden="1" customHeight="1">
      <c r="A168" s="1643"/>
      <c r="B168" s="1643"/>
      <c r="C168" s="285" t="s">
        <v>1159</v>
      </c>
      <c r="D168" s="5526"/>
      <c r="E168" s="5331"/>
      <c r="F168" s="5470"/>
      <c r="G168" s="316"/>
      <c r="H168" s="1372"/>
      <c r="I168" s="554"/>
      <c r="J168" s="478"/>
      <c r="K168" s="1372"/>
      <c r="L168" s="136"/>
      <c r="M168" s="259"/>
      <c r="N168" s="252"/>
      <c r="O168" s="1488"/>
      <c r="P168" s="1488"/>
    </row>
    <row r="169" spans="1:16" s="4868" customFormat="1" ht="18.75" hidden="1" customHeight="1">
      <c r="A169" s="1643" t="s">
        <v>245</v>
      </c>
      <c r="B169" s="1643" t="s">
        <v>246</v>
      </c>
      <c r="C169" s="285"/>
      <c r="D169" s="5526"/>
      <c r="E169" s="5331"/>
      <c r="F169" s="5470" t="str">
        <f>INDEX(PT_DIFFERENTIATION_VTAR,MATCH(A169,PT_DIFFERENTIATION_VTAR_ID,0))</f>
        <v>Тариф на техническую воду</v>
      </c>
      <c r="G169" s="5498" t="str">
        <f>INDEX(PT_DIFFERENTIATION_NTAR,MATCH(B169,PT_DIFFERENTIATION_NTAR_ID,0))</f>
        <v/>
      </c>
      <c r="H169" s="1724"/>
      <c r="I169" s="1602"/>
      <c r="J169" s="1636"/>
      <c r="K169" s="1641"/>
      <c r="L169" s="1724" t="s">
        <v>384</v>
      </c>
      <c r="M169" s="259"/>
      <c r="N169" s="252"/>
      <c r="O169" s="1488"/>
      <c r="P169" s="1488"/>
    </row>
    <row r="170" spans="1:16" s="4868" customFormat="1" ht="18.75" hidden="1" customHeight="1">
      <c r="A170" s="1643"/>
      <c r="B170" s="1643"/>
      <c r="C170" s="285" t="s">
        <v>1152</v>
      </c>
      <c r="D170" s="5526"/>
      <c r="E170" s="5331"/>
      <c r="F170" s="5470"/>
      <c r="G170" s="5498"/>
      <c r="H170" s="1372"/>
      <c r="I170" s="554" t="s">
        <v>1151</v>
      </c>
      <c r="J170" s="478"/>
      <c r="K170" s="1372"/>
      <c r="L170" s="136"/>
      <c r="M170" s="259"/>
      <c r="N170" s="252"/>
      <c r="O170" s="1488"/>
      <c r="P170" s="1488"/>
    </row>
    <row r="171" spans="1:16" s="4868" customFormat="1" ht="0.75" hidden="1" customHeight="1">
      <c r="A171" s="1643"/>
      <c r="B171" s="1643"/>
      <c r="C171" s="285" t="s">
        <v>1159</v>
      </c>
      <c r="D171" s="5526"/>
      <c r="E171" s="5331"/>
      <c r="F171" s="5470"/>
      <c r="G171" s="316"/>
      <c r="H171" s="1372"/>
      <c r="I171" s="554"/>
      <c r="J171" s="478"/>
      <c r="K171" s="1372"/>
      <c r="L171" s="136"/>
      <c r="M171" s="259"/>
      <c r="N171" s="252"/>
      <c r="O171" s="1488"/>
      <c r="P171" s="1488"/>
    </row>
    <row r="172" spans="1:16" s="4868" customFormat="1" ht="18.75" hidden="1" customHeight="1">
      <c r="A172" s="1643" t="s">
        <v>250</v>
      </c>
      <c r="B172" s="1643" t="s">
        <v>251</v>
      </c>
      <c r="C172" s="285"/>
      <c r="D172" s="5526"/>
      <c r="E172" s="5331"/>
      <c r="F172" s="5470" t="str">
        <f>INDEX(PT_DIFFERENTIATION_VTAR,MATCH(A172,PT_DIFFERENTIATION_VTAR_ID,0))</f>
        <v>Тариф на транспортировку воды</v>
      </c>
      <c r="G172" s="5498" t="str">
        <f>INDEX(PT_DIFFERENTIATION_NTAR,MATCH(B172,PT_DIFFERENTIATION_NTAR_ID,0))</f>
        <v/>
      </c>
      <c r="H172" s="1724"/>
      <c r="I172" s="1602"/>
      <c r="J172" s="1636"/>
      <c r="K172" s="1641"/>
      <c r="L172" s="1724" t="s">
        <v>384</v>
      </c>
      <c r="M172" s="259"/>
      <c r="N172" s="252"/>
      <c r="O172" s="1488"/>
      <c r="P172" s="1488"/>
    </row>
    <row r="173" spans="1:16" s="4868" customFormat="1" ht="18.75" hidden="1" customHeight="1">
      <c r="A173" s="1643"/>
      <c r="B173" s="1643"/>
      <c r="C173" s="285" t="s">
        <v>1152</v>
      </c>
      <c r="D173" s="5526"/>
      <c r="E173" s="5331"/>
      <c r="F173" s="5470"/>
      <c r="G173" s="5498"/>
      <c r="H173" s="1372"/>
      <c r="I173" s="554" t="s">
        <v>1151</v>
      </c>
      <c r="J173" s="478"/>
      <c r="K173" s="1372"/>
      <c r="L173" s="136"/>
      <c r="M173" s="259"/>
      <c r="N173" s="252"/>
      <c r="O173" s="1488"/>
      <c r="P173" s="1488"/>
    </row>
    <row r="174" spans="1:16" s="4868" customFormat="1" ht="0.75" hidden="1" customHeight="1">
      <c r="A174" s="1643"/>
      <c r="B174" s="1643"/>
      <c r="C174" s="285" t="s">
        <v>1159</v>
      </c>
      <c r="D174" s="5526"/>
      <c r="E174" s="5331"/>
      <c r="F174" s="5470"/>
      <c r="G174" s="316"/>
      <c r="H174" s="1372"/>
      <c r="I174" s="554"/>
      <c r="J174" s="478"/>
      <c r="K174" s="1372"/>
      <c r="L174" s="136"/>
      <c r="M174" s="259"/>
      <c r="N174" s="252"/>
      <c r="O174" s="1488"/>
      <c r="P174" s="1488"/>
    </row>
    <row r="175" spans="1:16" s="4868" customFormat="1" ht="18.75" hidden="1" customHeight="1">
      <c r="A175" s="1643" t="s">
        <v>255</v>
      </c>
      <c r="B175" s="1643" t="s">
        <v>256</v>
      </c>
      <c r="C175" s="285"/>
      <c r="D175" s="5526"/>
      <c r="E175" s="5331"/>
      <c r="F175" s="5470" t="str">
        <f>INDEX(PT_DIFFERENTIATION_VTAR,MATCH(A175,PT_DIFFERENTIATION_VTAR_ID,0))</f>
        <v>Тариф на подвоз воды</v>
      </c>
      <c r="G175" s="5498" t="str">
        <f>INDEX(PT_DIFFERENTIATION_NTAR,MATCH(B175,PT_DIFFERENTIATION_NTAR_ID,0))</f>
        <v/>
      </c>
      <c r="H175" s="1724"/>
      <c r="I175" s="1602"/>
      <c r="J175" s="1636"/>
      <c r="K175" s="1641"/>
      <c r="L175" s="1724" t="s">
        <v>384</v>
      </c>
      <c r="M175" s="259"/>
      <c r="N175" s="252"/>
      <c r="O175" s="1488"/>
      <c r="P175" s="1488"/>
    </row>
    <row r="176" spans="1:16" s="4868" customFormat="1" ht="18.75" hidden="1" customHeight="1">
      <c r="A176" s="1643"/>
      <c r="B176" s="1643"/>
      <c r="C176" s="285" t="s">
        <v>1152</v>
      </c>
      <c r="D176" s="5526"/>
      <c r="E176" s="5331"/>
      <c r="F176" s="5470"/>
      <c r="G176" s="5498"/>
      <c r="H176" s="1372"/>
      <c r="I176" s="554" t="s">
        <v>1151</v>
      </c>
      <c r="J176" s="478"/>
      <c r="K176" s="1372"/>
      <c r="L176" s="136"/>
      <c r="M176" s="259"/>
      <c r="N176" s="252"/>
      <c r="O176" s="1488"/>
      <c r="P176" s="1488"/>
    </row>
    <row r="177" spans="1:16" s="4868" customFormat="1" ht="0.75" hidden="1" customHeight="1">
      <c r="A177" s="1643"/>
      <c r="B177" s="1643"/>
      <c r="C177" s="285" t="s">
        <v>1159</v>
      </c>
      <c r="D177" s="5526"/>
      <c r="E177" s="5331"/>
      <c r="F177" s="5470"/>
      <c r="G177" s="316"/>
      <c r="H177" s="1372"/>
      <c r="I177" s="554"/>
      <c r="J177" s="478"/>
      <c r="K177" s="1372"/>
      <c r="L177" s="136"/>
      <c r="M177" s="259"/>
      <c r="N177" s="252"/>
      <c r="O177" s="1488"/>
      <c r="P177" s="1488"/>
    </row>
    <row r="178" spans="1:16" s="4868" customFormat="1" ht="18.75" hidden="1" customHeight="1">
      <c r="A178" s="1643" t="s">
        <v>260</v>
      </c>
      <c r="B178" s="1643" t="s">
        <v>261</v>
      </c>
      <c r="C178" s="285"/>
      <c r="D178" s="5526"/>
      <c r="E178" s="5331"/>
      <c r="F178" s="5470"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5498" t="str">
        <f>INDEX(PT_DIFFERENTIATION_NTAR,MATCH(B178,PT_DIFFERENTIATION_NTAR_ID,0))</f>
        <v/>
      </c>
      <c r="H178" s="1724"/>
      <c r="I178" s="1602"/>
      <c r="J178" s="1636"/>
      <c r="K178" s="1641"/>
      <c r="L178" s="1724" t="s">
        <v>384</v>
      </c>
      <c r="M178" s="259"/>
      <c r="N178" s="252"/>
      <c r="O178" s="1488"/>
      <c r="P178" s="1488"/>
    </row>
    <row r="179" spans="1:16" s="4868" customFormat="1" ht="18.75" hidden="1" customHeight="1">
      <c r="A179" s="1643"/>
      <c r="B179" s="1643"/>
      <c r="C179" s="285" t="s">
        <v>1152</v>
      </c>
      <c r="D179" s="5526"/>
      <c r="E179" s="5331"/>
      <c r="F179" s="5470"/>
      <c r="G179" s="5498"/>
      <c r="H179" s="1372"/>
      <c r="I179" s="554" t="s">
        <v>1151</v>
      </c>
      <c r="J179" s="478"/>
      <c r="K179" s="1372"/>
      <c r="L179" s="136"/>
      <c r="M179" s="259"/>
      <c r="N179" s="252"/>
      <c r="O179" s="1488"/>
      <c r="P179" s="1488"/>
    </row>
    <row r="180" spans="1:16" s="4868" customFormat="1" ht="0.75" hidden="1" customHeight="1">
      <c r="A180" s="1643"/>
      <c r="B180" s="1643"/>
      <c r="C180" s="285" t="s">
        <v>1159</v>
      </c>
      <c r="D180" s="5526"/>
      <c r="E180" s="5331"/>
      <c r="F180" s="5470"/>
      <c r="G180" s="316"/>
      <c r="H180" s="1372"/>
      <c r="I180" s="554"/>
      <c r="J180" s="478"/>
      <c r="K180" s="1372"/>
      <c r="L180" s="136"/>
      <c r="M180" s="259"/>
      <c r="N180" s="252"/>
      <c r="O180" s="1488"/>
      <c r="P180" s="1488"/>
    </row>
    <row r="181" spans="1:16" s="4868" customFormat="1" ht="18.75" hidden="1" customHeight="1">
      <c r="A181" s="1643" t="s">
        <v>267</v>
      </c>
      <c r="B181" s="1643" t="s">
        <v>268</v>
      </c>
      <c r="C181" s="285"/>
      <c r="D181" s="5526"/>
      <c r="E181" s="5331"/>
      <c r="F181" s="5470" t="str">
        <f>INDEX(PT_DIFFERENTIATION_VTAR,MATCH(A181,PT_DIFFERENTIATION_VTAR_ID,0))</f>
        <v>Тариф на горячую воду (горячее водоснабжение)</v>
      </c>
      <c r="G181" s="5498" t="str">
        <f>INDEX(PT_DIFFERENTIATION_NTAR,MATCH(B181,PT_DIFFERENTIATION_NTAR_ID,0))</f>
        <v>Тариф на горячую воду в закрытых системах горячего водоснабжения</v>
      </c>
      <c r="H181" s="1724"/>
      <c r="I181" s="1602"/>
      <c r="J181" s="1636"/>
      <c r="K181" s="1641"/>
      <c r="L181" s="1724" t="s">
        <v>384</v>
      </c>
      <c r="M181" s="259"/>
      <c r="N181" s="252"/>
      <c r="O181" s="1488"/>
      <c r="P181" s="1488"/>
    </row>
    <row r="182" spans="1:16" s="4868" customFormat="1" ht="18.75" hidden="1" customHeight="1">
      <c r="A182" s="1643"/>
      <c r="B182" s="1643"/>
      <c r="C182" s="285" t="s">
        <v>1152</v>
      </c>
      <c r="D182" s="5526"/>
      <c r="E182" s="5331"/>
      <c r="F182" s="5470"/>
      <c r="G182" s="5498"/>
      <c r="H182" s="1372"/>
      <c r="I182" s="554" t="s">
        <v>1151</v>
      </c>
      <c r="J182" s="478"/>
      <c r="K182" s="1372"/>
      <c r="L182" s="136"/>
      <c r="M182" s="259"/>
      <c r="N182" s="252"/>
      <c r="O182" s="1488"/>
      <c r="P182" s="1488"/>
    </row>
    <row r="183" spans="1:16" s="4868" customFormat="1" ht="0.75" hidden="1" customHeight="1">
      <c r="A183" s="1643"/>
      <c r="B183" s="1643"/>
      <c r="C183" s="285" t="s">
        <v>1159</v>
      </c>
      <c r="D183" s="5526"/>
      <c r="E183" s="5331"/>
      <c r="F183" s="5470"/>
      <c r="G183" s="316"/>
      <c r="H183" s="1372"/>
      <c r="I183" s="554"/>
      <c r="J183" s="478"/>
      <c r="K183" s="1372"/>
      <c r="L183" s="136"/>
      <c r="M183" s="259"/>
      <c r="N183" s="252"/>
      <c r="O183" s="1488"/>
      <c r="P183" s="1488"/>
    </row>
    <row r="184" spans="1:16" s="4868" customFormat="1" ht="18.75" hidden="1" customHeight="1">
      <c r="A184" s="1643" t="s">
        <v>333</v>
      </c>
      <c r="B184" s="1643" t="s">
        <v>334</v>
      </c>
      <c r="C184" s="285"/>
      <c r="D184" s="5526"/>
      <c r="E184" s="5331"/>
      <c r="F184" s="5470" t="str">
        <f>INDEX(PT_DIFFERENTIATION_VTAR,MATCH(A184,PT_DIFFERENTIATION_VTAR_ID,0))</f>
        <v>Тариф на транспортировку горячей воды</v>
      </c>
      <c r="G184" s="5498" t="str">
        <f>INDEX(PT_DIFFERENTIATION_NTAR,MATCH(B184,PT_DIFFERENTIATION_NTAR_ID,0))</f>
        <v/>
      </c>
      <c r="H184" s="1724"/>
      <c r="I184" s="1602"/>
      <c r="J184" s="1636"/>
      <c r="K184" s="1641"/>
      <c r="L184" s="1724" t="s">
        <v>384</v>
      </c>
      <c r="M184" s="259"/>
      <c r="N184" s="252"/>
      <c r="O184" s="1488"/>
      <c r="P184" s="1488"/>
    </row>
    <row r="185" spans="1:16" s="4868" customFormat="1" ht="18.75" hidden="1" customHeight="1">
      <c r="A185" s="1643"/>
      <c r="B185" s="1643"/>
      <c r="C185" s="285" t="s">
        <v>1152</v>
      </c>
      <c r="D185" s="5526"/>
      <c r="E185" s="5331"/>
      <c r="F185" s="5470"/>
      <c r="G185" s="5498"/>
      <c r="H185" s="1372"/>
      <c r="I185" s="554" t="s">
        <v>1151</v>
      </c>
      <c r="J185" s="478"/>
      <c r="K185" s="1372"/>
      <c r="L185" s="136"/>
      <c r="M185" s="259"/>
      <c r="N185" s="252"/>
      <c r="O185" s="1488"/>
      <c r="P185" s="1488"/>
    </row>
    <row r="186" spans="1:16" s="4868" customFormat="1" ht="0.75" hidden="1" customHeight="1">
      <c r="A186" s="1643"/>
      <c r="B186" s="1643"/>
      <c r="C186" s="285" t="s">
        <v>1159</v>
      </c>
      <c r="D186" s="5526"/>
      <c r="E186" s="5331"/>
      <c r="F186" s="5470"/>
      <c r="G186" s="316"/>
      <c r="H186" s="1372"/>
      <c r="I186" s="554"/>
      <c r="J186" s="478"/>
      <c r="K186" s="1372"/>
      <c r="L186" s="136"/>
      <c r="M186" s="259"/>
      <c r="N186" s="252"/>
      <c r="O186" s="1488"/>
      <c r="P186" s="1488"/>
    </row>
    <row r="187" spans="1:16" s="4868" customFormat="1" ht="18.75" hidden="1" customHeight="1">
      <c r="A187" s="1643" t="s">
        <v>338</v>
      </c>
      <c r="B187" s="1643" t="s">
        <v>339</v>
      </c>
      <c r="C187" s="285"/>
      <c r="D187" s="5526"/>
      <c r="E187" s="5331"/>
      <c r="F187" s="5470" t="str">
        <f>INDEX(PT_DIFFERENTIATION_VTAR,MATCH(A187,PT_DIFFERENTIATION_VTAR_ID,0))</f>
        <v>Тариф на подключение (технологическое присоединение) к централизованной системе горячего водоснабжения</v>
      </c>
      <c r="G187" s="5498" t="str">
        <f>INDEX(PT_DIFFERENTIATION_NTAR,MATCH(B187,PT_DIFFERENTIATION_NTAR_ID,0))</f>
        <v/>
      </c>
      <c r="H187" s="1724"/>
      <c r="I187" s="1602"/>
      <c r="J187" s="1636"/>
      <c r="K187" s="1641"/>
      <c r="L187" s="1724" t="s">
        <v>384</v>
      </c>
      <c r="M187" s="259"/>
      <c r="N187" s="252"/>
      <c r="O187" s="1488"/>
      <c r="P187" s="1488"/>
    </row>
    <row r="188" spans="1:16" s="4868" customFormat="1" ht="18.75" hidden="1" customHeight="1">
      <c r="A188" s="1643"/>
      <c r="B188" s="1643"/>
      <c r="C188" s="285" t="s">
        <v>1152</v>
      </c>
      <c r="D188" s="5526"/>
      <c r="E188" s="5331"/>
      <c r="F188" s="5470"/>
      <c r="G188" s="5498"/>
      <c r="H188" s="1372"/>
      <c r="I188" s="554" t="s">
        <v>1151</v>
      </c>
      <c r="J188" s="478"/>
      <c r="K188" s="1372"/>
      <c r="L188" s="136"/>
      <c r="M188" s="259"/>
      <c r="N188" s="252"/>
      <c r="O188" s="1488"/>
      <c r="P188" s="1488"/>
    </row>
    <row r="189" spans="1:16" s="4868" customFormat="1" ht="0.75" hidden="1" customHeight="1">
      <c r="A189" s="1643"/>
      <c r="B189" s="1643"/>
      <c r="C189" s="285" t="s">
        <v>1159</v>
      </c>
      <c r="D189" s="5526"/>
      <c r="E189" s="5331"/>
      <c r="F189" s="5470"/>
      <c r="G189" s="316"/>
      <c r="H189" s="1372"/>
      <c r="I189" s="554"/>
      <c r="J189" s="478"/>
      <c r="K189" s="1372"/>
      <c r="L189" s="136"/>
      <c r="M189" s="259"/>
      <c r="N189" s="252"/>
      <c r="O189" s="1488"/>
      <c r="P189" s="1488"/>
    </row>
    <row r="190" spans="1:16" s="4868" customFormat="1" ht="18.75" hidden="1" customHeight="1">
      <c r="A190" s="1643" t="s">
        <v>343</v>
      </c>
      <c r="B190" s="1643" t="s">
        <v>344</v>
      </c>
      <c r="C190" s="285"/>
      <c r="D190" s="5526"/>
      <c r="E190" s="5331"/>
      <c r="F190" s="5470" t="str">
        <f>INDEX(PT_DIFFERENTIATION_VTAR,MATCH(A190,PT_DIFFERENTIATION_VTAR_ID,0))</f>
        <v>Тариф на водоотведение</v>
      </c>
      <c r="G190" s="5498" t="str">
        <f>INDEX(PT_DIFFERENTIATION_NTAR,MATCH(B190,PT_DIFFERENTIATION_NTAR_ID,0))</f>
        <v/>
      </c>
      <c r="H190" s="1724"/>
      <c r="I190" s="1602"/>
      <c r="J190" s="1636"/>
      <c r="K190" s="1641"/>
      <c r="L190" s="1724" t="s">
        <v>384</v>
      </c>
      <c r="M190" s="259"/>
      <c r="N190" s="252"/>
      <c r="O190" s="1488"/>
      <c r="P190" s="1488"/>
    </row>
    <row r="191" spans="1:16" s="4868" customFormat="1" ht="18.75" hidden="1" customHeight="1">
      <c r="A191" s="1643"/>
      <c r="B191" s="1643"/>
      <c r="C191" s="285" t="s">
        <v>1152</v>
      </c>
      <c r="D191" s="5526"/>
      <c r="E191" s="5331"/>
      <c r="F191" s="5470"/>
      <c r="G191" s="5498"/>
      <c r="H191" s="1372"/>
      <c r="I191" s="554" t="s">
        <v>1151</v>
      </c>
      <c r="J191" s="478"/>
      <c r="K191" s="1372"/>
      <c r="L191" s="136"/>
      <c r="M191" s="259"/>
      <c r="N191" s="252"/>
      <c r="O191" s="1488"/>
      <c r="P191" s="1488"/>
    </row>
    <row r="192" spans="1:16" s="4868" customFormat="1" ht="0.75" hidden="1" customHeight="1">
      <c r="A192" s="1643"/>
      <c r="B192" s="1643"/>
      <c r="C192" s="285" t="s">
        <v>1159</v>
      </c>
      <c r="D192" s="5526"/>
      <c r="E192" s="5331"/>
      <c r="F192" s="5470"/>
      <c r="G192" s="316"/>
      <c r="H192" s="1372"/>
      <c r="I192" s="554"/>
      <c r="J192" s="478"/>
      <c r="K192" s="1372"/>
      <c r="L192" s="136"/>
      <c r="M192" s="259"/>
      <c r="N192" s="252"/>
      <c r="O192" s="1488"/>
      <c r="P192" s="1488"/>
    </row>
    <row r="193" spans="1:16" s="4868" customFormat="1" ht="18.75" hidden="1" customHeight="1">
      <c r="A193" s="1643" t="s">
        <v>348</v>
      </c>
      <c r="B193" s="1643" t="s">
        <v>349</v>
      </c>
      <c r="C193" s="285"/>
      <c r="D193" s="5526"/>
      <c r="E193" s="5331"/>
      <c r="F193" s="5470" t="str">
        <f>INDEX(PT_DIFFERENTIATION_VTAR,MATCH(A193,PT_DIFFERENTIATION_VTAR_ID,0))</f>
        <v>Тариф на транспортировку сточных вод</v>
      </c>
      <c r="G193" s="5498" t="str">
        <f>INDEX(PT_DIFFERENTIATION_NTAR,MATCH(B193,PT_DIFFERENTIATION_NTAR_ID,0))</f>
        <v/>
      </c>
      <c r="H193" s="1724"/>
      <c r="I193" s="1602"/>
      <c r="J193" s="1636"/>
      <c r="K193" s="1641"/>
      <c r="L193" s="1724" t="s">
        <v>384</v>
      </c>
      <c r="M193" s="259"/>
      <c r="N193" s="252"/>
      <c r="O193" s="1488"/>
      <c r="P193" s="1488"/>
    </row>
    <row r="194" spans="1:16" s="4868" customFormat="1" ht="18.75" hidden="1" customHeight="1">
      <c r="A194" s="1643"/>
      <c r="B194" s="1643"/>
      <c r="C194" s="285" t="s">
        <v>1152</v>
      </c>
      <c r="D194" s="5526"/>
      <c r="E194" s="5331"/>
      <c r="F194" s="5470"/>
      <c r="G194" s="5498"/>
      <c r="H194" s="1372"/>
      <c r="I194" s="554" t="s">
        <v>1151</v>
      </c>
      <c r="J194" s="478"/>
      <c r="K194" s="1372"/>
      <c r="L194" s="136"/>
      <c r="M194" s="259"/>
      <c r="N194" s="252"/>
      <c r="O194" s="1488"/>
      <c r="P194" s="1488"/>
    </row>
    <row r="195" spans="1:16" s="4868" customFormat="1" ht="0.75" hidden="1" customHeight="1">
      <c r="A195" s="1643"/>
      <c r="B195" s="1643"/>
      <c r="C195" s="285" t="s">
        <v>1159</v>
      </c>
      <c r="D195" s="5526"/>
      <c r="E195" s="5331"/>
      <c r="F195" s="5470"/>
      <c r="G195" s="316"/>
      <c r="H195" s="1372"/>
      <c r="I195" s="554"/>
      <c r="J195" s="478"/>
      <c r="K195" s="1372"/>
      <c r="L195" s="136"/>
      <c r="M195" s="259"/>
      <c r="N195" s="252"/>
      <c r="O195" s="1488"/>
      <c r="P195" s="1488"/>
    </row>
    <row r="196" spans="1:16" s="4868" customFormat="1" ht="18.75" hidden="1" customHeight="1">
      <c r="A196" s="1643" t="s">
        <v>353</v>
      </c>
      <c r="B196" s="1643" t="s">
        <v>354</v>
      </c>
      <c r="C196" s="285"/>
      <c r="D196" s="5526"/>
      <c r="E196" s="5331"/>
      <c r="F196" s="5470" t="str">
        <f>INDEX(PT_DIFFERENTIATION_VTAR,MATCH(A196,PT_DIFFERENTIATION_VTAR_ID,0))</f>
        <v>Тариф на подключение (технологическое присоединение) к централизованной системе водоотведения</v>
      </c>
      <c r="G196" s="5498" t="str">
        <f>INDEX(PT_DIFFERENTIATION_NTAR,MATCH(B196,PT_DIFFERENTIATION_NTAR_ID,0))</f>
        <v/>
      </c>
      <c r="H196" s="1724"/>
      <c r="I196" s="1602"/>
      <c r="J196" s="1636"/>
      <c r="K196" s="1641"/>
      <c r="L196" s="1724" t="s">
        <v>384</v>
      </c>
      <c r="M196" s="259"/>
      <c r="N196" s="252"/>
      <c r="O196" s="1488"/>
      <c r="P196" s="1488"/>
    </row>
    <row r="197" spans="1:16" s="4868" customFormat="1" ht="18.75" hidden="1" customHeight="1">
      <c r="A197" s="1643"/>
      <c r="B197" s="1643"/>
      <c r="C197" s="285" t="s">
        <v>1152</v>
      </c>
      <c r="D197" s="5526"/>
      <c r="E197" s="5331"/>
      <c r="F197" s="5470"/>
      <c r="G197" s="5498"/>
      <c r="H197" s="1372"/>
      <c r="I197" s="554" t="s">
        <v>1151</v>
      </c>
      <c r="J197" s="478"/>
      <c r="K197" s="1372"/>
      <c r="L197" s="136"/>
      <c r="M197" s="259"/>
      <c r="N197" s="252"/>
      <c r="O197" s="1488"/>
      <c r="P197" s="1488"/>
    </row>
    <row r="198" spans="1:16" s="4868" customFormat="1" ht="0.75" customHeight="1">
      <c r="A198" s="1643"/>
      <c r="B198" s="1643"/>
      <c r="C198" s="285" t="s">
        <v>1159</v>
      </c>
      <c r="D198" s="5526"/>
      <c r="E198" s="5331"/>
      <c r="F198" s="5470"/>
      <c r="G198" s="316"/>
      <c r="H198" s="1372"/>
      <c r="I198" s="554"/>
      <c r="J198" s="478"/>
      <c r="K198" s="1372"/>
      <c r="L198" s="136"/>
      <c r="M198" s="259"/>
      <c r="N198" s="252"/>
      <c r="O198" s="1488"/>
      <c r="P198" s="1488"/>
    </row>
    <row r="199" spans="1:16" ht="26.25" customHeight="1">
      <c r="A199" s="1643"/>
      <c r="B199" s="1643"/>
      <c r="D199" s="292"/>
      <c r="E199" s="73" t="s">
        <v>114</v>
      </c>
      <c r="F199" s="552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5525"/>
      <c r="H199" s="5525"/>
      <c r="I199" s="5525"/>
      <c r="J199" s="5525"/>
      <c r="K199" s="5525"/>
      <c r="L199" s="5525"/>
      <c r="M199" s="215"/>
      <c r="N199" s="252"/>
    </row>
    <row r="200" spans="1:16" s="4868" customFormat="1" ht="60.75" hidden="1" customHeight="1">
      <c r="A200" s="1643" t="s">
        <v>172</v>
      </c>
      <c r="B200" s="1643" t="s">
        <v>173</v>
      </c>
      <c r="C200" s="285"/>
      <c r="D200" s="5526"/>
      <c r="E200" s="5331"/>
      <c r="F200" s="5470"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5498" t="str">
        <f>INDEX(PT_DIFFERENTIATION_NTAR,MATCH(B200,PT_DIFFERENTIATION_NTAR_ID,0))</f>
        <v/>
      </c>
      <c r="H200" s="1724"/>
      <c r="I200" s="1602"/>
      <c r="J200" s="1636"/>
      <c r="K200" s="1641"/>
      <c r="L200" s="1724" t="s">
        <v>384</v>
      </c>
      <c r="M200" s="52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0" s="252"/>
      <c r="O200" s="1488"/>
      <c r="P200" s="1488"/>
    </row>
    <row r="201" spans="1:16" s="4868" customFormat="1" ht="18.75" hidden="1" customHeight="1">
      <c r="A201" s="1643"/>
      <c r="B201" s="1643"/>
      <c r="C201" s="285" t="s">
        <v>1152</v>
      </c>
      <c r="D201" s="5526"/>
      <c r="E201" s="5331"/>
      <c r="F201" s="5470"/>
      <c r="G201" s="5498"/>
      <c r="H201" s="1372"/>
      <c r="I201" s="554" t="s">
        <v>1151</v>
      </c>
      <c r="J201" s="478"/>
      <c r="K201" s="1372"/>
      <c r="L201" s="136"/>
      <c r="M201" s="5285"/>
      <c r="N201" s="252"/>
      <c r="O201" s="1488"/>
      <c r="P201" s="1488"/>
    </row>
    <row r="202" spans="1:16" s="4868" customFormat="1" ht="0.75" hidden="1" customHeight="1">
      <c r="A202" s="1643"/>
      <c r="B202" s="1643"/>
      <c r="C202" s="285" t="s">
        <v>1159</v>
      </c>
      <c r="D202" s="5526"/>
      <c r="E202" s="5331"/>
      <c r="F202" s="5470"/>
      <c r="G202" s="316"/>
      <c r="H202" s="1372"/>
      <c r="I202" s="554"/>
      <c r="J202" s="478"/>
      <c r="K202" s="1372"/>
      <c r="L202" s="136"/>
      <c r="M202" s="5285"/>
      <c r="N202" s="252"/>
      <c r="O202" s="1488"/>
      <c r="P202" s="1488"/>
    </row>
    <row r="203" spans="1:16" s="4868" customFormat="1" ht="45" hidden="1" customHeight="1">
      <c r="A203" s="1643" t="s">
        <v>178</v>
      </c>
      <c r="B203" s="1643" t="s">
        <v>179</v>
      </c>
      <c r="C203" s="285"/>
      <c r="D203" s="5526"/>
      <c r="E203" s="5331"/>
      <c r="F203" s="5470"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5498" t="str">
        <f>INDEX(PT_DIFFERENTIATION_NTAR,MATCH(B203,PT_DIFFERENTIATION_NTAR_ID,0))</f>
        <v/>
      </c>
      <c r="H203" s="1724"/>
      <c r="I203" s="1602"/>
      <c r="J203" s="1636"/>
      <c r="K203" s="1641"/>
      <c r="L203" s="1724" t="s">
        <v>384</v>
      </c>
      <c r="M203" s="5286"/>
      <c r="N203" s="252"/>
      <c r="O203" s="1488"/>
      <c r="P203" s="1488"/>
    </row>
    <row r="204" spans="1:16" s="4868" customFormat="1" ht="18.75" hidden="1" customHeight="1">
      <c r="A204" s="1643"/>
      <c r="B204" s="1643"/>
      <c r="C204" s="285" t="s">
        <v>1152</v>
      </c>
      <c r="D204" s="5526"/>
      <c r="E204" s="5331"/>
      <c r="F204" s="5470"/>
      <c r="G204" s="5498"/>
      <c r="H204" s="1372"/>
      <c r="I204" s="554" t="s">
        <v>1151</v>
      </c>
      <c r="J204" s="478"/>
      <c r="K204" s="1372"/>
      <c r="L204" s="136"/>
      <c r="M204" s="1723"/>
      <c r="N204" s="252"/>
      <c r="O204" s="1488"/>
      <c r="P204" s="1488"/>
    </row>
    <row r="205" spans="1:16" s="4868" customFormat="1" ht="0.75" hidden="1" customHeight="1">
      <c r="A205" s="1643"/>
      <c r="B205" s="1643"/>
      <c r="C205" s="285" t="s">
        <v>1159</v>
      </c>
      <c r="D205" s="5526"/>
      <c r="E205" s="5331"/>
      <c r="F205" s="5470"/>
      <c r="G205" s="316"/>
      <c r="H205" s="1372"/>
      <c r="I205" s="554"/>
      <c r="J205" s="478"/>
      <c r="K205" s="1372"/>
      <c r="L205" s="136"/>
      <c r="M205" s="259"/>
      <c r="N205" s="252"/>
      <c r="O205" s="1488"/>
      <c r="P205" s="1488"/>
    </row>
    <row r="206" spans="1:16" s="4868" customFormat="1" ht="45" hidden="1" customHeight="1">
      <c r="A206" s="1643" t="s">
        <v>184</v>
      </c>
      <c r="B206" s="1643" t="s">
        <v>185</v>
      </c>
      <c r="C206" s="285"/>
      <c r="D206" s="5526"/>
      <c r="E206" s="5331"/>
      <c r="F206" s="5470"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5498" t="str">
        <f>INDEX(PT_DIFFERENTIATION_NTAR,MATCH(B206,PT_DIFFERENTIATION_NTAR_ID,0))</f>
        <v/>
      </c>
      <c r="H206" s="1724"/>
      <c r="I206" s="1602"/>
      <c r="J206" s="1636"/>
      <c r="K206" s="1641"/>
      <c r="L206" s="1724" t="s">
        <v>384</v>
      </c>
      <c r="M206" s="259"/>
      <c r="N206" s="252"/>
      <c r="O206" s="1488"/>
      <c r="P206" s="1488"/>
    </row>
    <row r="207" spans="1:16" s="4868" customFormat="1" ht="18.75" hidden="1" customHeight="1">
      <c r="A207" s="1643"/>
      <c r="B207" s="1643"/>
      <c r="C207" s="285" t="s">
        <v>1152</v>
      </c>
      <c r="D207" s="5526"/>
      <c r="E207" s="5331"/>
      <c r="F207" s="5470"/>
      <c r="G207" s="5498"/>
      <c r="H207" s="1372"/>
      <c r="I207" s="554" t="s">
        <v>1151</v>
      </c>
      <c r="J207" s="478"/>
      <c r="K207" s="1372"/>
      <c r="L207" s="136"/>
      <c r="M207" s="259"/>
      <c r="N207" s="252"/>
      <c r="O207" s="1488"/>
      <c r="P207" s="1488"/>
    </row>
    <row r="208" spans="1:16" s="4868" customFormat="1" ht="0.75" hidden="1" customHeight="1">
      <c r="A208" s="1643"/>
      <c r="B208" s="1643"/>
      <c r="C208" s="285" t="s">
        <v>1159</v>
      </c>
      <c r="D208" s="5526"/>
      <c r="E208" s="5331"/>
      <c r="F208" s="5470"/>
      <c r="G208" s="316"/>
      <c r="H208" s="1372"/>
      <c r="I208" s="554"/>
      <c r="J208" s="478"/>
      <c r="K208" s="1372"/>
      <c r="L208" s="136"/>
      <c r="M208" s="259"/>
      <c r="N208" s="252"/>
      <c r="O208" s="1488"/>
      <c r="P208" s="1488"/>
    </row>
    <row r="209" spans="1:16" s="4868" customFormat="1" ht="45" hidden="1" customHeight="1">
      <c r="A209" s="1643" t="s">
        <v>190</v>
      </c>
      <c r="B209" s="1643" t="s">
        <v>191</v>
      </c>
      <c r="C209" s="285"/>
      <c r="D209" s="5526"/>
      <c r="E209" s="5331"/>
      <c r="F209" s="5470"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5498" t="str">
        <f>INDEX(PT_DIFFERENTIATION_NTAR,MATCH(B209,PT_DIFFERENTIATION_NTAR_ID,0))</f>
        <v/>
      </c>
      <c r="H209" s="1724"/>
      <c r="I209" s="1602"/>
      <c r="J209" s="1636"/>
      <c r="K209" s="1641"/>
      <c r="L209" s="1724" t="s">
        <v>384</v>
      </c>
      <c r="M209" s="259"/>
      <c r="N209" s="252"/>
      <c r="O209" s="1488"/>
      <c r="P209" s="1488"/>
    </row>
    <row r="210" spans="1:16" s="4868" customFormat="1" ht="18.75" hidden="1" customHeight="1">
      <c r="A210" s="1643"/>
      <c r="B210" s="1643"/>
      <c r="C210" s="285" t="s">
        <v>1152</v>
      </c>
      <c r="D210" s="5526"/>
      <c r="E210" s="5331"/>
      <c r="F210" s="5470"/>
      <c r="G210" s="5498"/>
      <c r="H210" s="1372"/>
      <c r="I210" s="554" t="s">
        <v>1151</v>
      </c>
      <c r="J210" s="478"/>
      <c r="K210" s="1372"/>
      <c r="L210" s="136"/>
      <c r="M210" s="259"/>
      <c r="N210" s="252"/>
      <c r="O210" s="1488"/>
      <c r="P210" s="1488"/>
    </row>
    <row r="211" spans="1:16" s="4868" customFormat="1" ht="0.75" hidden="1" customHeight="1">
      <c r="A211" s="1643"/>
      <c r="B211" s="1643"/>
      <c r="C211" s="285" t="s">
        <v>1159</v>
      </c>
      <c r="D211" s="5526"/>
      <c r="E211" s="5331"/>
      <c r="F211" s="5470"/>
      <c r="G211" s="316"/>
      <c r="H211" s="1372"/>
      <c r="I211" s="554"/>
      <c r="J211" s="478"/>
      <c r="K211" s="1372"/>
      <c r="L211" s="136"/>
      <c r="M211" s="259"/>
      <c r="N211" s="252"/>
      <c r="O211" s="1488"/>
      <c r="P211" s="1488"/>
    </row>
    <row r="212" spans="1:16" s="4868" customFormat="1" ht="18.75" hidden="1" customHeight="1">
      <c r="A212" s="1643" t="s">
        <v>196</v>
      </c>
      <c r="B212" s="1643" t="s">
        <v>197</v>
      </c>
      <c r="C212" s="285"/>
      <c r="D212" s="5526"/>
      <c r="E212" s="5331"/>
      <c r="F212" s="5470" t="str">
        <f>INDEX(PT_DIFFERENTIATION_VTAR,MATCH(A212,PT_DIFFERENTIATION_VTAR_ID,0))</f>
        <v>Тарифы на услуги по передаче тепловой энергии</v>
      </c>
      <c r="G212" s="5498" t="str">
        <f>INDEX(PT_DIFFERENTIATION_NTAR,MATCH(B212,PT_DIFFERENTIATION_NTAR_ID,0))</f>
        <v/>
      </c>
      <c r="H212" s="1724"/>
      <c r="I212" s="1602"/>
      <c r="J212" s="1636"/>
      <c r="K212" s="1641"/>
      <c r="L212" s="1724" t="s">
        <v>384</v>
      </c>
      <c r="M212" s="259"/>
      <c r="N212" s="252"/>
      <c r="O212" s="1488"/>
      <c r="P212" s="1488"/>
    </row>
    <row r="213" spans="1:16" s="4868" customFormat="1" ht="18.75" hidden="1" customHeight="1">
      <c r="A213" s="1643"/>
      <c r="B213" s="1643"/>
      <c r="C213" s="285" t="s">
        <v>1152</v>
      </c>
      <c r="D213" s="5526"/>
      <c r="E213" s="5331"/>
      <c r="F213" s="5470"/>
      <c r="G213" s="5498"/>
      <c r="H213" s="1372"/>
      <c r="I213" s="554" t="s">
        <v>1151</v>
      </c>
      <c r="J213" s="478"/>
      <c r="K213" s="1372"/>
      <c r="L213" s="136"/>
      <c r="M213" s="259"/>
      <c r="N213" s="252"/>
      <c r="O213" s="1488"/>
      <c r="P213" s="1488"/>
    </row>
    <row r="214" spans="1:16" s="4868" customFormat="1" ht="0.75" hidden="1" customHeight="1">
      <c r="A214" s="1643"/>
      <c r="B214" s="1643"/>
      <c r="C214" s="285" t="s">
        <v>1159</v>
      </c>
      <c r="D214" s="5526"/>
      <c r="E214" s="5331"/>
      <c r="F214" s="5470"/>
      <c r="G214" s="316"/>
      <c r="H214" s="1372"/>
      <c r="I214" s="554"/>
      <c r="J214" s="478"/>
      <c r="K214" s="1372"/>
      <c r="L214" s="136"/>
      <c r="M214" s="259"/>
      <c r="N214" s="252"/>
      <c r="O214" s="1488"/>
      <c r="P214" s="1488"/>
    </row>
    <row r="215" spans="1:16" s="4868" customFormat="1" ht="18.75" hidden="1" customHeight="1">
      <c r="A215" s="1643" t="s">
        <v>202</v>
      </c>
      <c r="B215" s="1643" t="s">
        <v>203</v>
      </c>
      <c r="C215" s="285"/>
      <c r="D215" s="5526"/>
      <c r="E215" s="5331"/>
      <c r="F215" s="5470" t="str">
        <f>INDEX(PT_DIFFERENTIATION_VTAR,MATCH(A215,PT_DIFFERENTIATION_VTAR_ID,0))</f>
        <v>Тарифы на услуги по передаче теплоносителя</v>
      </c>
      <c r="G215" s="5498" t="str">
        <f>INDEX(PT_DIFFERENTIATION_NTAR,MATCH(B215,PT_DIFFERENTIATION_NTAR_ID,0))</f>
        <v/>
      </c>
      <c r="H215" s="1724"/>
      <c r="I215" s="1602"/>
      <c r="J215" s="1636"/>
      <c r="K215" s="1641"/>
      <c r="L215" s="1724" t="s">
        <v>384</v>
      </c>
      <c r="M215" s="259"/>
      <c r="N215" s="252"/>
      <c r="O215" s="1488"/>
      <c r="P215" s="1488"/>
    </row>
    <row r="216" spans="1:16" s="4868" customFormat="1" ht="18.75" hidden="1" customHeight="1">
      <c r="A216" s="1643"/>
      <c r="B216" s="1643"/>
      <c r="C216" s="285" t="s">
        <v>1152</v>
      </c>
      <c r="D216" s="5526"/>
      <c r="E216" s="5331"/>
      <c r="F216" s="5470"/>
      <c r="G216" s="5498"/>
      <c r="H216" s="1372"/>
      <c r="I216" s="554" t="s">
        <v>1151</v>
      </c>
      <c r="J216" s="478"/>
      <c r="K216" s="1372"/>
      <c r="L216" s="136"/>
      <c r="M216" s="259"/>
      <c r="N216" s="252"/>
      <c r="O216" s="1488"/>
      <c r="P216" s="1488"/>
    </row>
    <row r="217" spans="1:16" s="4868" customFormat="1" ht="0.75" hidden="1" customHeight="1">
      <c r="A217" s="1643"/>
      <c r="B217" s="1643"/>
      <c r="C217" s="285" t="s">
        <v>1159</v>
      </c>
      <c r="D217" s="5526"/>
      <c r="E217" s="5331"/>
      <c r="F217" s="5470"/>
      <c r="G217" s="316"/>
      <c r="H217" s="1372"/>
      <c r="I217" s="554"/>
      <c r="J217" s="478"/>
      <c r="K217" s="1372"/>
      <c r="L217" s="136"/>
      <c r="M217" s="259"/>
      <c r="N217" s="252"/>
      <c r="O217" s="1488"/>
      <c r="P217" s="1488"/>
    </row>
    <row r="218" spans="1:16" s="4868" customFormat="1" ht="18.75" hidden="1" customHeight="1">
      <c r="A218" s="1643" t="s">
        <v>208</v>
      </c>
      <c r="B218" s="1643" t="s">
        <v>209</v>
      </c>
      <c r="C218" s="285"/>
      <c r="D218" s="5526"/>
      <c r="E218" s="5331"/>
      <c r="F218" s="5470" t="str">
        <f>INDEX(PT_DIFFERENTIATION_VTAR,MATCH(A218,PT_DIFFERENTIATION_VTAR_ID,0))</f>
        <v>Плата за услуги по поддержанию резервной тепловой мощности при отсутствии потребления тепловой энергии</v>
      </c>
      <c r="G218" s="5498" t="str">
        <f>INDEX(PT_DIFFERENTIATION_NTAR,MATCH(B218,PT_DIFFERENTIATION_NTAR_ID,0))</f>
        <v/>
      </c>
      <c r="H218" s="1724"/>
      <c r="I218" s="1602"/>
      <c r="J218" s="1636"/>
      <c r="K218" s="1641"/>
      <c r="L218" s="1724" t="s">
        <v>384</v>
      </c>
      <c r="M218" s="259"/>
      <c r="N218" s="252"/>
      <c r="O218" s="1488"/>
      <c r="P218" s="1488"/>
    </row>
    <row r="219" spans="1:16" s="4868" customFormat="1" ht="18.75" hidden="1" customHeight="1">
      <c r="A219" s="1643"/>
      <c r="B219" s="1643"/>
      <c r="C219" s="285" t="s">
        <v>1152</v>
      </c>
      <c r="D219" s="5526"/>
      <c r="E219" s="5331"/>
      <c r="F219" s="5470"/>
      <c r="G219" s="5498"/>
      <c r="H219" s="1372"/>
      <c r="I219" s="554" t="s">
        <v>1151</v>
      </c>
      <c r="J219" s="478"/>
      <c r="K219" s="1372"/>
      <c r="L219" s="136"/>
      <c r="M219" s="259"/>
      <c r="N219" s="252"/>
      <c r="O219" s="1488"/>
      <c r="P219" s="1488"/>
    </row>
    <row r="220" spans="1:16" s="4868" customFormat="1" ht="0.75" hidden="1" customHeight="1">
      <c r="A220" s="1643"/>
      <c r="B220" s="1643"/>
      <c r="C220" s="285" t="s">
        <v>1159</v>
      </c>
      <c r="D220" s="5526"/>
      <c r="E220" s="5331"/>
      <c r="F220" s="5470"/>
      <c r="G220" s="316"/>
      <c r="H220" s="1372"/>
      <c r="I220" s="554"/>
      <c r="J220" s="478"/>
      <c r="K220" s="1372"/>
      <c r="L220" s="136"/>
      <c r="M220" s="259"/>
      <c r="N220" s="252"/>
      <c r="O220" s="1488"/>
      <c r="P220" s="1488"/>
    </row>
    <row r="221" spans="1:16" s="4868" customFormat="1" ht="18.75" hidden="1" customHeight="1">
      <c r="A221" s="1643" t="s">
        <v>214</v>
      </c>
      <c r="B221" s="1643" t="s">
        <v>215</v>
      </c>
      <c r="C221" s="285"/>
      <c r="D221" s="5526"/>
      <c r="E221" s="5331"/>
      <c r="F221" s="5470" t="str">
        <f>INDEX(PT_DIFFERENTIATION_VTAR,MATCH(A221,PT_DIFFERENTIATION_VTAR_ID,0))</f>
        <v>Плата за подключение (технологическое присоединение) к системе теплоснабжения</v>
      </c>
      <c r="G221" s="5498" t="str">
        <f>INDEX(PT_DIFFERENTIATION_NTAR,MATCH(B221,PT_DIFFERENTIATION_NTAR_ID,0))</f>
        <v/>
      </c>
      <c r="H221" s="1724"/>
      <c r="I221" s="1602"/>
      <c r="J221" s="1636"/>
      <c r="K221" s="1641"/>
      <c r="L221" s="1724" t="s">
        <v>384</v>
      </c>
      <c r="M221" s="259"/>
      <c r="N221" s="252"/>
      <c r="O221" s="1488"/>
      <c r="P221" s="1488"/>
    </row>
    <row r="222" spans="1:16" s="4868" customFormat="1" ht="18.75" hidden="1" customHeight="1">
      <c r="A222" s="1643"/>
      <c r="B222" s="1643"/>
      <c r="C222" s="285" t="s">
        <v>1152</v>
      </c>
      <c r="D222" s="5526"/>
      <c r="E222" s="5331"/>
      <c r="F222" s="5470"/>
      <c r="G222" s="5498"/>
      <c r="H222" s="1372"/>
      <c r="I222" s="554" t="s">
        <v>1151</v>
      </c>
      <c r="J222" s="478"/>
      <c r="K222" s="1372"/>
      <c r="L222" s="136"/>
      <c r="M222" s="259"/>
      <c r="N222" s="252"/>
      <c r="O222" s="1488"/>
      <c r="P222" s="1488"/>
    </row>
    <row r="223" spans="1:16" s="4868" customFormat="1" ht="0.75" hidden="1" customHeight="1">
      <c r="A223" s="1643"/>
      <c r="B223" s="1643"/>
      <c r="C223" s="285" t="s">
        <v>1159</v>
      </c>
      <c r="D223" s="5526"/>
      <c r="E223" s="5331"/>
      <c r="F223" s="5470"/>
      <c r="G223" s="316"/>
      <c r="H223" s="1372"/>
      <c r="I223" s="554"/>
      <c r="J223" s="478"/>
      <c r="K223" s="1372"/>
      <c r="L223" s="136"/>
      <c r="M223" s="259"/>
      <c r="N223" s="252"/>
      <c r="O223" s="1488"/>
      <c r="P223" s="1488"/>
    </row>
    <row r="224" spans="1:16" s="4868" customFormat="1" ht="18.75" hidden="1" customHeight="1">
      <c r="A224" s="1643" t="s">
        <v>240</v>
      </c>
      <c r="B224" s="1643" t="s">
        <v>241</v>
      </c>
      <c r="C224" s="285"/>
      <c r="D224" s="5526"/>
      <c r="E224" s="5331"/>
      <c r="F224" s="5470" t="str">
        <f>INDEX(PT_DIFFERENTIATION_VTAR,MATCH(A224,PT_DIFFERENTIATION_VTAR_ID,0))</f>
        <v>Тариф на питьевую воду (питьевое водоснабжение)</v>
      </c>
      <c r="G224" s="5498" t="str">
        <f>INDEX(PT_DIFFERENTIATION_NTAR,MATCH(B224,PT_DIFFERENTIATION_NTAR_ID,0))</f>
        <v/>
      </c>
      <c r="H224" s="1724"/>
      <c r="I224" s="1602"/>
      <c r="J224" s="1636"/>
      <c r="K224" s="1641"/>
      <c r="L224" s="1724" t="s">
        <v>384</v>
      </c>
      <c r="M224" s="259"/>
      <c r="N224" s="252"/>
      <c r="O224" s="1488"/>
      <c r="P224" s="1488"/>
    </row>
    <row r="225" spans="1:16" s="4868" customFormat="1" ht="18.75" hidden="1" customHeight="1">
      <c r="A225" s="1643"/>
      <c r="B225" s="1643"/>
      <c r="C225" s="285" t="s">
        <v>1152</v>
      </c>
      <c r="D225" s="5526"/>
      <c r="E225" s="5331"/>
      <c r="F225" s="5470"/>
      <c r="G225" s="5498"/>
      <c r="H225" s="1372"/>
      <c r="I225" s="554" t="s">
        <v>1151</v>
      </c>
      <c r="J225" s="478"/>
      <c r="K225" s="1372"/>
      <c r="L225" s="136"/>
      <c r="M225" s="259"/>
      <c r="N225" s="252"/>
      <c r="O225" s="1488"/>
      <c r="P225" s="1488"/>
    </row>
    <row r="226" spans="1:16" s="4868" customFormat="1" ht="0.75" hidden="1" customHeight="1">
      <c r="A226" s="1643"/>
      <c r="B226" s="1643"/>
      <c r="C226" s="285" t="s">
        <v>1159</v>
      </c>
      <c r="D226" s="5526"/>
      <c r="E226" s="5331"/>
      <c r="F226" s="5470"/>
      <c r="G226" s="316"/>
      <c r="H226" s="1372"/>
      <c r="I226" s="554"/>
      <c r="J226" s="478"/>
      <c r="K226" s="1372"/>
      <c r="L226" s="136"/>
      <c r="M226" s="259"/>
      <c r="N226" s="252"/>
      <c r="O226" s="1488"/>
      <c r="P226" s="1488"/>
    </row>
    <row r="227" spans="1:16" s="4868" customFormat="1" ht="18.75" hidden="1" customHeight="1">
      <c r="A227" s="1643" t="s">
        <v>245</v>
      </c>
      <c r="B227" s="1643" t="s">
        <v>246</v>
      </c>
      <c r="C227" s="285"/>
      <c r="D227" s="5526"/>
      <c r="E227" s="5331"/>
      <c r="F227" s="5470" t="str">
        <f>INDEX(PT_DIFFERENTIATION_VTAR,MATCH(A227,PT_DIFFERENTIATION_VTAR_ID,0))</f>
        <v>Тариф на техническую воду</v>
      </c>
      <c r="G227" s="5498" t="str">
        <f>INDEX(PT_DIFFERENTIATION_NTAR,MATCH(B227,PT_DIFFERENTIATION_NTAR_ID,0))</f>
        <v/>
      </c>
      <c r="H227" s="1724"/>
      <c r="I227" s="1602"/>
      <c r="J227" s="1636"/>
      <c r="K227" s="1641"/>
      <c r="L227" s="1724" t="s">
        <v>384</v>
      </c>
      <c r="M227" s="259"/>
      <c r="N227" s="252"/>
      <c r="O227" s="1488"/>
      <c r="P227" s="1488"/>
    </row>
    <row r="228" spans="1:16" s="4868" customFormat="1" ht="18.75" hidden="1" customHeight="1">
      <c r="A228" s="1643"/>
      <c r="B228" s="1643"/>
      <c r="C228" s="285" t="s">
        <v>1152</v>
      </c>
      <c r="D228" s="5526"/>
      <c r="E228" s="5331"/>
      <c r="F228" s="5470"/>
      <c r="G228" s="5498"/>
      <c r="H228" s="1372"/>
      <c r="I228" s="554" t="s">
        <v>1151</v>
      </c>
      <c r="J228" s="478"/>
      <c r="K228" s="1372"/>
      <c r="L228" s="136"/>
      <c r="M228" s="259"/>
      <c r="N228" s="252"/>
      <c r="O228" s="1488"/>
      <c r="P228" s="1488"/>
    </row>
    <row r="229" spans="1:16" s="4868" customFormat="1" ht="0.75" hidden="1" customHeight="1">
      <c r="A229" s="1643"/>
      <c r="B229" s="1643"/>
      <c r="C229" s="285" t="s">
        <v>1159</v>
      </c>
      <c r="D229" s="5526"/>
      <c r="E229" s="5331"/>
      <c r="F229" s="5470"/>
      <c r="G229" s="316"/>
      <c r="H229" s="1372"/>
      <c r="I229" s="554"/>
      <c r="J229" s="478"/>
      <c r="K229" s="1372"/>
      <c r="L229" s="136"/>
      <c r="M229" s="259"/>
      <c r="N229" s="252"/>
      <c r="O229" s="1488"/>
      <c r="P229" s="1488"/>
    </row>
    <row r="230" spans="1:16" s="4868" customFormat="1" ht="18.75" hidden="1" customHeight="1">
      <c r="A230" s="1643" t="s">
        <v>250</v>
      </c>
      <c r="B230" s="1643" t="s">
        <v>251</v>
      </c>
      <c r="C230" s="285"/>
      <c r="D230" s="5526"/>
      <c r="E230" s="5331"/>
      <c r="F230" s="5470" t="str">
        <f>INDEX(PT_DIFFERENTIATION_VTAR,MATCH(A230,PT_DIFFERENTIATION_VTAR_ID,0))</f>
        <v>Тариф на транспортировку воды</v>
      </c>
      <c r="G230" s="5498" t="str">
        <f>INDEX(PT_DIFFERENTIATION_NTAR,MATCH(B230,PT_DIFFERENTIATION_NTAR_ID,0))</f>
        <v/>
      </c>
      <c r="H230" s="1724"/>
      <c r="I230" s="1602"/>
      <c r="J230" s="1636"/>
      <c r="K230" s="1641"/>
      <c r="L230" s="1724" t="s">
        <v>384</v>
      </c>
      <c r="M230" s="259"/>
      <c r="N230" s="252"/>
      <c r="O230" s="1488"/>
      <c r="P230" s="1488"/>
    </row>
    <row r="231" spans="1:16" s="4868" customFormat="1" ht="18.75" hidden="1" customHeight="1">
      <c r="A231" s="1643"/>
      <c r="B231" s="1643"/>
      <c r="C231" s="285" t="s">
        <v>1152</v>
      </c>
      <c r="D231" s="5526"/>
      <c r="E231" s="5331"/>
      <c r="F231" s="5470"/>
      <c r="G231" s="5498"/>
      <c r="H231" s="1372"/>
      <c r="I231" s="554" t="s">
        <v>1151</v>
      </c>
      <c r="J231" s="478"/>
      <c r="K231" s="1372"/>
      <c r="L231" s="136"/>
      <c r="M231" s="259"/>
      <c r="N231" s="252"/>
      <c r="O231" s="1488"/>
      <c r="P231" s="1488"/>
    </row>
    <row r="232" spans="1:16" s="4868" customFormat="1" ht="0.75" hidden="1" customHeight="1">
      <c r="A232" s="1643"/>
      <c r="B232" s="1643"/>
      <c r="C232" s="285" t="s">
        <v>1159</v>
      </c>
      <c r="D232" s="5526"/>
      <c r="E232" s="5331"/>
      <c r="F232" s="5470"/>
      <c r="G232" s="316"/>
      <c r="H232" s="1372"/>
      <c r="I232" s="554"/>
      <c r="J232" s="478"/>
      <c r="K232" s="1372"/>
      <c r="L232" s="136"/>
      <c r="M232" s="259"/>
      <c r="N232" s="252"/>
      <c r="O232" s="1488"/>
      <c r="P232" s="1488"/>
    </row>
    <row r="233" spans="1:16" s="4868" customFormat="1" ht="18.75" hidden="1" customHeight="1">
      <c r="A233" s="1643" t="s">
        <v>255</v>
      </c>
      <c r="B233" s="1643" t="s">
        <v>256</v>
      </c>
      <c r="C233" s="285"/>
      <c r="D233" s="5526"/>
      <c r="E233" s="5331"/>
      <c r="F233" s="5470" t="str">
        <f>INDEX(PT_DIFFERENTIATION_VTAR,MATCH(A233,PT_DIFFERENTIATION_VTAR_ID,0))</f>
        <v>Тариф на подвоз воды</v>
      </c>
      <c r="G233" s="5498" t="str">
        <f>INDEX(PT_DIFFERENTIATION_NTAR,MATCH(B233,PT_DIFFERENTIATION_NTAR_ID,0))</f>
        <v/>
      </c>
      <c r="H233" s="1724"/>
      <c r="I233" s="1602"/>
      <c r="J233" s="1636"/>
      <c r="K233" s="1641"/>
      <c r="L233" s="1724" t="s">
        <v>384</v>
      </c>
      <c r="M233" s="259"/>
      <c r="N233" s="252"/>
      <c r="O233" s="1488"/>
      <c r="P233" s="1488"/>
    </row>
    <row r="234" spans="1:16" s="4868" customFormat="1" ht="18.75" hidden="1" customHeight="1">
      <c r="A234" s="1643"/>
      <c r="B234" s="1643"/>
      <c r="C234" s="285" t="s">
        <v>1152</v>
      </c>
      <c r="D234" s="5526"/>
      <c r="E234" s="5331"/>
      <c r="F234" s="5470"/>
      <c r="G234" s="5498"/>
      <c r="H234" s="1372"/>
      <c r="I234" s="554" t="s">
        <v>1151</v>
      </c>
      <c r="J234" s="478"/>
      <c r="K234" s="1372"/>
      <c r="L234" s="136"/>
      <c r="M234" s="259"/>
      <c r="N234" s="252"/>
      <c r="O234" s="1488"/>
      <c r="P234" s="1488"/>
    </row>
    <row r="235" spans="1:16" s="4868" customFormat="1" ht="0.75" hidden="1" customHeight="1">
      <c r="A235" s="1643"/>
      <c r="B235" s="1643"/>
      <c r="C235" s="285" t="s">
        <v>1159</v>
      </c>
      <c r="D235" s="5526"/>
      <c r="E235" s="5331"/>
      <c r="F235" s="5470"/>
      <c r="G235" s="316"/>
      <c r="H235" s="1372"/>
      <c r="I235" s="554"/>
      <c r="J235" s="478"/>
      <c r="K235" s="1372"/>
      <c r="L235" s="136"/>
      <c r="M235" s="259"/>
      <c r="N235" s="252"/>
      <c r="O235" s="1488"/>
      <c r="P235" s="1488"/>
    </row>
    <row r="236" spans="1:16" s="4868" customFormat="1" ht="18.75" hidden="1" customHeight="1">
      <c r="A236" s="1643" t="s">
        <v>260</v>
      </c>
      <c r="B236" s="1643" t="s">
        <v>261</v>
      </c>
      <c r="C236" s="285"/>
      <c r="D236" s="5526"/>
      <c r="E236" s="5331"/>
      <c r="F236" s="5470"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5498" t="str">
        <f>INDEX(PT_DIFFERENTIATION_NTAR,MATCH(B236,PT_DIFFERENTIATION_NTAR_ID,0))</f>
        <v/>
      </c>
      <c r="H236" s="1724"/>
      <c r="I236" s="1602"/>
      <c r="J236" s="1636"/>
      <c r="K236" s="1641"/>
      <c r="L236" s="1724" t="s">
        <v>384</v>
      </c>
      <c r="M236" s="259"/>
      <c r="N236" s="252"/>
      <c r="O236" s="1488"/>
      <c r="P236" s="1488"/>
    </row>
    <row r="237" spans="1:16" s="4868" customFormat="1" ht="18.75" hidden="1" customHeight="1">
      <c r="A237" s="1643"/>
      <c r="B237" s="1643"/>
      <c r="C237" s="285" t="s">
        <v>1152</v>
      </c>
      <c r="D237" s="5526"/>
      <c r="E237" s="5331"/>
      <c r="F237" s="5470"/>
      <c r="G237" s="5498"/>
      <c r="H237" s="1372"/>
      <c r="I237" s="554" t="s">
        <v>1151</v>
      </c>
      <c r="J237" s="478"/>
      <c r="K237" s="1372"/>
      <c r="L237" s="136"/>
      <c r="M237" s="259"/>
      <c r="N237" s="252"/>
      <c r="O237" s="1488"/>
      <c r="P237" s="1488"/>
    </row>
    <row r="238" spans="1:16" s="4868" customFormat="1" ht="0.75" hidden="1" customHeight="1">
      <c r="A238" s="1643"/>
      <c r="B238" s="1643"/>
      <c r="C238" s="285" t="s">
        <v>1159</v>
      </c>
      <c r="D238" s="5526"/>
      <c r="E238" s="5331"/>
      <c r="F238" s="5470"/>
      <c r="G238" s="316"/>
      <c r="H238" s="1372"/>
      <c r="I238" s="554"/>
      <c r="J238" s="478"/>
      <c r="K238" s="1372"/>
      <c r="L238" s="136"/>
      <c r="M238" s="259"/>
      <c r="N238" s="252"/>
      <c r="O238" s="1488"/>
      <c r="P238" s="1488"/>
    </row>
    <row r="239" spans="1:16" s="4868" customFormat="1" ht="18.75" hidden="1" customHeight="1">
      <c r="A239" s="1643" t="s">
        <v>267</v>
      </c>
      <c r="B239" s="1643" t="s">
        <v>268</v>
      </c>
      <c r="C239" s="285"/>
      <c r="D239" s="5526"/>
      <c r="E239" s="5331"/>
      <c r="F239" s="5470" t="str">
        <f>INDEX(PT_DIFFERENTIATION_VTAR,MATCH(A239,PT_DIFFERENTIATION_VTAR_ID,0))</f>
        <v>Тариф на горячую воду (горячее водоснабжение)</v>
      </c>
      <c r="G239" s="5498" t="str">
        <f>INDEX(PT_DIFFERENTIATION_NTAR,MATCH(B239,PT_DIFFERENTIATION_NTAR_ID,0))</f>
        <v>Тариф на горячую воду в закрытых системах горячего водоснабжения</v>
      </c>
      <c r="H239" s="1724"/>
      <c r="I239" s="1602"/>
      <c r="J239" s="1636"/>
      <c r="K239" s="1641"/>
      <c r="L239" s="1724" t="s">
        <v>384</v>
      </c>
      <c r="M239" s="259"/>
      <c r="N239" s="252"/>
      <c r="O239" s="1488"/>
      <c r="P239" s="1488"/>
    </row>
    <row r="240" spans="1:16" s="4868" customFormat="1" ht="18.75" hidden="1" customHeight="1">
      <c r="A240" s="1643"/>
      <c r="B240" s="1643"/>
      <c r="C240" s="285" t="s">
        <v>1152</v>
      </c>
      <c r="D240" s="5526"/>
      <c r="E240" s="5331"/>
      <c r="F240" s="5470"/>
      <c r="G240" s="5498"/>
      <c r="H240" s="1372"/>
      <c r="I240" s="554" t="s">
        <v>1151</v>
      </c>
      <c r="J240" s="478"/>
      <c r="K240" s="1372"/>
      <c r="L240" s="136"/>
      <c r="M240" s="259"/>
      <c r="N240" s="252"/>
      <c r="O240" s="1488"/>
      <c r="P240" s="1488"/>
    </row>
    <row r="241" spans="1:16" s="4868" customFormat="1" ht="0.75" hidden="1" customHeight="1">
      <c r="A241" s="1643"/>
      <c r="B241" s="1643"/>
      <c r="C241" s="285" t="s">
        <v>1159</v>
      </c>
      <c r="D241" s="5526"/>
      <c r="E241" s="5331"/>
      <c r="F241" s="5470"/>
      <c r="G241" s="316"/>
      <c r="H241" s="1372"/>
      <c r="I241" s="554"/>
      <c r="J241" s="478"/>
      <c r="K241" s="1372"/>
      <c r="L241" s="136"/>
      <c r="M241" s="259"/>
      <c r="N241" s="252"/>
      <c r="O241" s="1488"/>
      <c r="P241" s="1488"/>
    </row>
    <row r="242" spans="1:16" s="4868" customFormat="1" ht="18.75" hidden="1" customHeight="1">
      <c r="A242" s="1643" t="s">
        <v>333</v>
      </c>
      <c r="B242" s="1643" t="s">
        <v>334</v>
      </c>
      <c r="C242" s="285"/>
      <c r="D242" s="5526"/>
      <c r="E242" s="5331"/>
      <c r="F242" s="5470" t="str">
        <f>INDEX(PT_DIFFERENTIATION_VTAR,MATCH(A242,PT_DIFFERENTIATION_VTAR_ID,0))</f>
        <v>Тариф на транспортировку горячей воды</v>
      </c>
      <c r="G242" s="5498" t="str">
        <f>INDEX(PT_DIFFERENTIATION_NTAR,MATCH(B242,PT_DIFFERENTIATION_NTAR_ID,0))</f>
        <v/>
      </c>
      <c r="H242" s="1724"/>
      <c r="I242" s="1602"/>
      <c r="J242" s="1636"/>
      <c r="K242" s="1641"/>
      <c r="L242" s="1724" t="s">
        <v>384</v>
      </c>
      <c r="M242" s="259"/>
      <c r="N242" s="252"/>
      <c r="O242" s="1488"/>
      <c r="P242" s="1488"/>
    </row>
    <row r="243" spans="1:16" s="4868" customFormat="1" ht="18.75" hidden="1" customHeight="1">
      <c r="A243" s="1643"/>
      <c r="B243" s="1643"/>
      <c r="C243" s="285" t="s">
        <v>1152</v>
      </c>
      <c r="D243" s="5526"/>
      <c r="E243" s="5331"/>
      <c r="F243" s="5470"/>
      <c r="G243" s="5498"/>
      <c r="H243" s="1372"/>
      <c r="I243" s="554" t="s">
        <v>1151</v>
      </c>
      <c r="J243" s="478"/>
      <c r="K243" s="1372"/>
      <c r="L243" s="136"/>
      <c r="M243" s="259"/>
      <c r="N243" s="252"/>
      <c r="O243" s="1488"/>
      <c r="P243" s="1488"/>
    </row>
    <row r="244" spans="1:16" s="4868" customFormat="1" ht="0.75" hidden="1" customHeight="1">
      <c r="A244" s="1643"/>
      <c r="B244" s="1643"/>
      <c r="C244" s="285" t="s">
        <v>1159</v>
      </c>
      <c r="D244" s="5526"/>
      <c r="E244" s="5331"/>
      <c r="F244" s="5470"/>
      <c r="G244" s="316"/>
      <c r="H244" s="1372"/>
      <c r="I244" s="554"/>
      <c r="J244" s="478"/>
      <c r="K244" s="1372"/>
      <c r="L244" s="136"/>
      <c r="M244" s="259"/>
      <c r="N244" s="252"/>
      <c r="O244" s="1488"/>
      <c r="P244" s="1488"/>
    </row>
    <row r="245" spans="1:16" s="4868" customFormat="1" ht="18.75" hidden="1" customHeight="1">
      <c r="A245" s="1643" t="s">
        <v>338</v>
      </c>
      <c r="B245" s="1643" t="s">
        <v>339</v>
      </c>
      <c r="C245" s="285"/>
      <c r="D245" s="5526"/>
      <c r="E245" s="5331"/>
      <c r="F245" s="5470" t="str">
        <f>INDEX(PT_DIFFERENTIATION_VTAR,MATCH(A245,PT_DIFFERENTIATION_VTAR_ID,0))</f>
        <v>Тариф на подключение (технологическое присоединение) к централизованной системе горячего водоснабжения</v>
      </c>
      <c r="G245" s="5498" t="str">
        <f>INDEX(PT_DIFFERENTIATION_NTAR,MATCH(B245,PT_DIFFERENTIATION_NTAR_ID,0))</f>
        <v/>
      </c>
      <c r="H245" s="1724"/>
      <c r="I245" s="1602"/>
      <c r="J245" s="1636"/>
      <c r="K245" s="1641"/>
      <c r="L245" s="1724" t="s">
        <v>384</v>
      </c>
      <c r="M245" s="259"/>
      <c r="N245" s="252"/>
      <c r="O245" s="1488"/>
      <c r="P245" s="1488"/>
    </row>
    <row r="246" spans="1:16" s="4868" customFormat="1" ht="18.75" hidden="1" customHeight="1">
      <c r="A246" s="1643"/>
      <c r="B246" s="1643"/>
      <c r="C246" s="285" t="s">
        <v>1152</v>
      </c>
      <c r="D246" s="5526"/>
      <c r="E246" s="5331"/>
      <c r="F246" s="5470"/>
      <c r="G246" s="5498"/>
      <c r="H246" s="1372"/>
      <c r="I246" s="554" t="s">
        <v>1151</v>
      </c>
      <c r="J246" s="478"/>
      <c r="K246" s="1372"/>
      <c r="L246" s="136"/>
      <c r="M246" s="259"/>
      <c r="N246" s="252"/>
      <c r="O246" s="1488"/>
      <c r="P246" s="1488"/>
    </row>
    <row r="247" spans="1:16" s="4868" customFormat="1" ht="0.75" hidden="1" customHeight="1">
      <c r="A247" s="1643"/>
      <c r="B247" s="1643"/>
      <c r="C247" s="285" t="s">
        <v>1159</v>
      </c>
      <c r="D247" s="5526"/>
      <c r="E247" s="5331"/>
      <c r="F247" s="5470"/>
      <c r="G247" s="316"/>
      <c r="H247" s="1372"/>
      <c r="I247" s="554"/>
      <c r="J247" s="478"/>
      <c r="K247" s="1372"/>
      <c r="L247" s="136"/>
      <c r="M247" s="259"/>
      <c r="N247" s="252"/>
      <c r="O247" s="1488"/>
      <c r="P247" s="1488"/>
    </row>
    <row r="248" spans="1:16" s="4868" customFormat="1" ht="18.75" hidden="1" customHeight="1">
      <c r="A248" s="1643" t="s">
        <v>343</v>
      </c>
      <c r="B248" s="1643" t="s">
        <v>344</v>
      </c>
      <c r="C248" s="285"/>
      <c r="D248" s="5526"/>
      <c r="E248" s="5331"/>
      <c r="F248" s="5470" t="str">
        <f>INDEX(PT_DIFFERENTIATION_VTAR,MATCH(A248,PT_DIFFERENTIATION_VTAR_ID,0))</f>
        <v>Тариф на водоотведение</v>
      </c>
      <c r="G248" s="5498" t="str">
        <f>INDEX(PT_DIFFERENTIATION_NTAR,MATCH(B248,PT_DIFFERENTIATION_NTAR_ID,0))</f>
        <v/>
      </c>
      <c r="H248" s="1724"/>
      <c r="I248" s="1602"/>
      <c r="J248" s="1636"/>
      <c r="K248" s="1641"/>
      <c r="L248" s="1724" t="s">
        <v>384</v>
      </c>
      <c r="M248" s="259"/>
      <c r="N248" s="252"/>
      <c r="O248" s="1488"/>
      <c r="P248" s="1488"/>
    </row>
    <row r="249" spans="1:16" s="4868" customFormat="1" ht="18.75" hidden="1" customHeight="1">
      <c r="A249" s="1643"/>
      <c r="B249" s="1643"/>
      <c r="C249" s="285" t="s">
        <v>1152</v>
      </c>
      <c r="D249" s="5526"/>
      <c r="E249" s="5331"/>
      <c r="F249" s="5470"/>
      <c r="G249" s="5498"/>
      <c r="H249" s="1372"/>
      <c r="I249" s="554" t="s">
        <v>1151</v>
      </c>
      <c r="J249" s="478"/>
      <c r="K249" s="1372"/>
      <c r="L249" s="136"/>
      <c r="M249" s="259"/>
      <c r="N249" s="252"/>
      <c r="O249" s="1488"/>
      <c r="P249" s="1488"/>
    </row>
    <row r="250" spans="1:16" s="4868" customFormat="1" ht="0.75" hidden="1" customHeight="1">
      <c r="A250" s="1643"/>
      <c r="B250" s="1643"/>
      <c r="C250" s="285" t="s">
        <v>1159</v>
      </c>
      <c r="D250" s="5526"/>
      <c r="E250" s="5331"/>
      <c r="F250" s="5470"/>
      <c r="G250" s="316"/>
      <c r="H250" s="1372"/>
      <c r="I250" s="554"/>
      <c r="J250" s="478"/>
      <c r="K250" s="1372"/>
      <c r="L250" s="136"/>
      <c r="M250" s="259"/>
      <c r="N250" s="252"/>
      <c r="O250" s="1488"/>
      <c r="P250" s="1488"/>
    </row>
    <row r="251" spans="1:16" s="4868" customFormat="1" ht="18.75" hidden="1" customHeight="1">
      <c r="A251" s="1643" t="s">
        <v>348</v>
      </c>
      <c r="B251" s="1643" t="s">
        <v>349</v>
      </c>
      <c r="C251" s="285"/>
      <c r="D251" s="5526"/>
      <c r="E251" s="5331"/>
      <c r="F251" s="5470" t="str">
        <f>INDEX(PT_DIFFERENTIATION_VTAR,MATCH(A251,PT_DIFFERENTIATION_VTAR_ID,0))</f>
        <v>Тариф на транспортировку сточных вод</v>
      </c>
      <c r="G251" s="5498" t="str">
        <f>INDEX(PT_DIFFERENTIATION_NTAR,MATCH(B251,PT_DIFFERENTIATION_NTAR_ID,0))</f>
        <v/>
      </c>
      <c r="H251" s="1724"/>
      <c r="I251" s="1602"/>
      <c r="J251" s="1636"/>
      <c r="K251" s="1641"/>
      <c r="L251" s="1724" t="s">
        <v>384</v>
      </c>
      <c r="M251" s="259"/>
      <c r="N251" s="252"/>
      <c r="O251" s="1488"/>
      <c r="P251" s="1488"/>
    </row>
    <row r="252" spans="1:16" s="4868" customFormat="1" ht="18.75" hidden="1" customHeight="1">
      <c r="A252" s="1643"/>
      <c r="B252" s="1643"/>
      <c r="C252" s="285" t="s">
        <v>1152</v>
      </c>
      <c r="D252" s="5526"/>
      <c r="E252" s="5331"/>
      <c r="F252" s="5470"/>
      <c r="G252" s="5498"/>
      <c r="H252" s="1372"/>
      <c r="I252" s="554" t="s">
        <v>1151</v>
      </c>
      <c r="J252" s="478"/>
      <c r="K252" s="1372"/>
      <c r="L252" s="136"/>
      <c r="M252" s="259"/>
      <c r="N252" s="252"/>
      <c r="O252" s="1488"/>
      <c r="P252" s="1488"/>
    </row>
    <row r="253" spans="1:16" s="4868" customFormat="1" ht="0.75" hidden="1" customHeight="1">
      <c r="A253" s="1643"/>
      <c r="B253" s="1643"/>
      <c r="C253" s="285" t="s">
        <v>1159</v>
      </c>
      <c r="D253" s="5526"/>
      <c r="E253" s="5331"/>
      <c r="F253" s="5470"/>
      <c r="G253" s="316"/>
      <c r="H253" s="1372"/>
      <c r="I253" s="554"/>
      <c r="J253" s="478"/>
      <c r="K253" s="1372"/>
      <c r="L253" s="136"/>
      <c r="M253" s="259"/>
      <c r="N253" s="252"/>
      <c r="O253" s="1488"/>
      <c r="P253" s="1488"/>
    </row>
    <row r="254" spans="1:16" s="4868" customFormat="1" ht="18.75" hidden="1" customHeight="1">
      <c r="A254" s="1643" t="s">
        <v>353</v>
      </c>
      <c r="B254" s="1643" t="s">
        <v>354</v>
      </c>
      <c r="C254" s="285"/>
      <c r="D254" s="5526"/>
      <c r="E254" s="5331"/>
      <c r="F254" s="5470" t="str">
        <f>INDEX(PT_DIFFERENTIATION_VTAR,MATCH(A254,PT_DIFFERENTIATION_VTAR_ID,0))</f>
        <v>Тариф на подключение (технологическое присоединение) к централизованной системе водоотведения</v>
      </c>
      <c r="G254" s="5498" t="str">
        <f>INDEX(PT_DIFFERENTIATION_NTAR,MATCH(B254,PT_DIFFERENTIATION_NTAR_ID,0))</f>
        <v/>
      </c>
      <c r="H254" s="1724"/>
      <c r="I254" s="1602"/>
      <c r="J254" s="1636"/>
      <c r="K254" s="1641"/>
      <c r="L254" s="1724" t="s">
        <v>384</v>
      </c>
      <c r="M254" s="259"/>
      <c r="N254" s="252"/>
      <c r="O254" s="1488"/>
      <c r="P254" s="1488"/>
    </row>
    <row r="255" spans="1:16" s="4868" customFormat="1" ht="18.75" hidden="1" customHeight="1">
      <c r="A255" s="1643"/>
      <c r="B255" s="1643"/>
      <c r="C255" s="285" t="s">
        <v>1152</v>
      </c>
      <c r="D255" s="5526"/>
      <c r="E255" s="5331"/>
      <c r="F255" s="5470"/>
      <c r="G255" s="5498"/>
      <c r="H255" s="1372"/>
      <c r="I255" s="554" t="s">
        <v>1151</v>
      </c>
      <c r="J255" s="478"/>
      <c r="K255" s="1372"/>
      <c r="L255" s="136"/>
      <c r="M255" s="259"/>
      <c r="N255" s="252"/>
      <c r="O255" s="1488"/>
      <c r="P255" s="1488"/>
    </row>
    <row r="256" spans="1:16" s="4868" customFormat="1" ht="0.75" customHeight="1">
      <c r="A256" s="1643"/>
      <c r="B256" s="1643"/>
      <c r="C256" s="285" t="s">
        <v>1159</v>
      </c>
      <c r="D256" s="5526"/>
      <c r="E256" s="5331"/>
      <c r="F256" s="5470"/>
      <c r="G256" s="316"/>
      <c r="H256" s="1372"/>
      <c r="I256" s="554"/>
      <c r="J256" s="478"/>
      <c r="K256" s="1372"/>
      <c r="L256" s="136"/>
      <c r="M256" s="259"/>
      <c r="N256" s="252"/>
      <c r="O256" s="1488"/>
      <c r="P256" s="1488"/>
    </row>
    <row r="257" spans="1:16" ht="25.5" customHeight="1">
      <c r="A257" s="1643"/>
      <c r="B257" s="1643"/>
      <c r="D257" s="292"/>
      <c r="E257" s="73" t="s">
        <v>89</v>
      </c>
      <c r="F257" s="552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5525"/>
      <c r="H257" s="5525"/>
      <c r="I257" s="5525"/>
      <c r="J257" s="5525"/>
      <c r="K257" s="5525"/>
      <c r="L257" s="5525"/>
      <c r="M257" s="215"/>
      <c r="N257" s="252"/>
    </row>
    <row r="258" spans="1:16" s="4868" customFormat="1" ht="60.75" hidden="1" customHeight="1">
      <c r="A258" s="1643" t="s">
        <v>172</v>
      </c>
      <c r="B258" s="1643" t="s">
        <v>173</v>
      </c>
      <c r="C258" s="285"/>
      <c r="D258" s="5526"/>
      <c r="E258" s="5331"/>
      <c r="F258" s="5470"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5498" t="str">
        <f>INDEX(PT_DIFFERENTIATION_NTAR,MATCH(B258,PT_DIFFERENTIATION_NTAR_ID,0))</f>
        <v/>
      </c>
      <c r="H258" s="1724"/>
      <c r="I258" s="1602"/>
      <c r="J258" s="1636"/>
      <c r="K258" s="1641"/>
      <c r="L258" s="1724" t="s">
        <v>384</v>
      </c>
      <c r="M258" s="528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2"/>
      <c r="O258" s="1488"/>
      <c r="P258" s="1488"/>
    </row>
    <row r="259" spans="1:16" s="4868" customFormat="1" ht="18.75" hidden="1" customHeight="1">
      <c r="A259" s="1643"/>
      <c r="B259" s="1643"/>
      <c r="C259" s="285" t="s">
        <v>1152</v>
      </c>
      <c r="D259" s="5526"/>
      <c r="E259" s="5331"/>
      <c r="F259" s="5470"/>
      <c r="G259" s="5498"/>
      <c r="H259" s="1372"/>
      <c r="I259" s="554" t="s">
        <v>1151</v>
      </c>
      <c r="J259" s="478"/>
      <c r="K259" s="1372"/>
      <c r="L259" s="136"/>
      <c r="M259" s="5285"/>
      <c r="N259" s="252"/>
      <c r="O259" s="1488"/>
      <c r="P259" s="1488"/>
    </row>
    <row r="260" spans="1:16" s="4868" customFormat="1" ht="0.75" hidden="1" customHeight="1">
      <c r="A260" s="1643"/>
      <c r="B260" s="1643"/>
      <c r="C260" s="285" t="s">
        <v>1159</v>
      </c>
      <c r="D260" s="5526"/>
      <c r="E260" s="5331"/>
      <c r="F260" s="5470"/>
      <c r="G260" s="316"/>
      <c r="H260" s="1372"/>
      <c r="I260" s="554"/>
      <c r="J260" s="478"/>
      <c r="K260" s="1372"/>
      <c r="L260" s="136"/>
      <c r="M260" s="5285"/>
      <c r="N260" s="252"/>
      <c r="O260" s="1488"/>
      <c r="P260" s="1488"/>
    </row>
    <row r="261" spans="1:16" s="4868" customFormat="1" ht="45" hidden="1" customHeight="1">
      <c r="A261" s="1643" t="s">
        <v>178</v>
      </c>
      <c r="B261" s="1643" t="s">
        <v>179</v>
      </c>
      <c r="C261" s="285"/>
      <c r="D261" s="5526"/>
      <c r="E261" s="5331"/>
      <c r="F261" s="5470"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5498" t="str">
        <f>INDEX(PT_DIFFERENTIATION_NTAR,MATCH(B261,PT_DIFFERENTIATION_NTAR_ID,0))</f>
        <v/>
      </c>
      <c r="H261" s="1724"/>
      <c r="I261" s="1602"/>
      <c r="J261" s="1636"/>
      <c r="K261" s="1641"/>
      <c r="L261" s="1724" t="s">
        <v>384</v>
      </c>
      <c r="M261" s="5286"/>
      <c r="N261" s="252"/>
      <c r="O261" s="1488"/>
      <c r="P261" s="1488"/>
    </row>
    <row r="262" spans="1:16" s="4868" customFormat="1" ht="18.75" hidden="1" customHeight="1">
      <c r="A262" s="1643"/>
      <c r="B262" s="1643"/>
      <c r="C262" s="285" t="s">
        <v>1152</v>
      </c>
      <c r="D262" s="5526"/>
      <c r="E262" s="5331"/>
      <c r="F262" s="5470"/>
      <c r="G262" s="5498"/>
      <c r="H262" s="1372"/>
      <c r="I262" s="554" t="s">
        <v>1151</v>
      </c>
      <c r="J262" s="478"/>
      <c r="K262" s="1372"/>
      <c r="L262" s="136"/>
      <c r="M262" s="1723"/>
      <c r="N262" s="252"/>
      <c r="O262" s="1488"/>
      <c r="P262" s="1488"/>
    </row>
    <row r="263" spans="1:16" s="4868" customFormat="1" ht="0.75" hidden="1" customHeight="1">
      <c r="A263" s="1643"/>
      <c r="B263" s="1643"/>
      <c r="C263" s="285" t="s">
        <v>1159</v>
      </c>
      <c r="D263" s="5526"/>
      <c r="E263" s="5331"/>
      <c r="F263" s="5470"/>
      <c r="G263" s="316"/>
      <c r="H263" s="1372"/>
      <c r="I263" s="554"/>
      <c r="J263" s="478"/>
      <c r="K263" s="1372"/>
      <c r="L263" s="136"/>
      <c r="M263" s="259"/>
      <c r="N263" s="252"/>
      <c r="O263" s="1488"/>
      <c r="P263" s="1488"/>
    </row>
    <row r="264" spans="1:16" s="4868" customFormat="1" ht="45" hidden="1" customHeight="1">
      <c r="A264" s="1643" t="s">
        <v>184</v>
      </c>
      <c r="B264" s="1643" t="s">
        <v>185</v>
      </c>
      <c r="C264" s="285"/>
      <c r="D264" s="5526"/>
      <c r="E264" s="5331"/>
      <c r="F264" s="5470"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5498" t="str">
        <f>INDEX(PT_DIFFERENTIATION_NTAR,MATCH(B264,PT_DIFFERENTIATION_NTAR_ID,0))</f>
        <v/>
      </c>
      <c r="H264" s="1724"/>
      <c r="I264" s="1602"/>
      <c r="J264" s="1636"/>
      <c r="K264" s="1641"/>
      <c r="L264" s="1724" t="s">
        <v>384</v>
      </c>
      <c r="M264" s="259"/>
      <c r="N264" s="252"/>
      <c r="O264" s="1488"/>
      <c r="P264" s="1488"/>
    </row>
    <row r="265" spans="1:16" s="4868" customFormat="1" ht="18.75" hidden="1" customHeight="1">
      <c r="A265" s="1643"/>
      <c r="B265" s="1643"/>
      <c r="C265" s="285" t="s">
        <v>1152</v>
      </c>
      <c r="D265" s="5526"/>
      <c r="E265" s="5331"/>
      <c r="F265" s="5470"/>
      <c r="G265" s="5498"/>
      <c r="H265" s="1372"/>
      <c r="I265" s="554" t="s">
        <v>1151</v>
      </c>
      <c r="J265" s="478"/>
      <c r="K265" s="1372"/>
      <c r="L265" s="136"/>
      <c r="M265" s="259"/>
      <c r="N265" s="252"/>
      <c r="O265" s="1488"/>
      <c r="P265" s="1488"/>
    </row>
    <row r="266" spans="1:16" s="4868" customFormat="1" ht="0.75" hidden="1" customHeight="1">
      <c r="A266" s="1643"/>
      <c r="B266" s="1643"/>
      <c r="C266" s="285" t="s">
        <v>1159</v>
      </c>
      <c r="D266" s="5526"/>
      <c r="E266" s="5331"/>
      <c r="F266" s="5470"/>
      <c r="G266" s="316"/>
      <c r="H266" s="1372"/>
      <c r="I266" s="554"/>
      <c r="J266" s="478"/>
      <c r="K266" s="1372"/>
      <c r="L266" s="136"/>
      <c r="M266" s="259"/>
      <c r="N266" s="252"/>
      <c r="O266" s="1488"/>
      <c r="P266" s="1488"/>
    </row>
    <row r="267" spans="1:16" s="4868" customFormat="1" ht="45" hidden="1" customHeight="1">
      <c r="A267" s="1643" t="s">
        <v>190</v>
      </c>
      <c r="B267" s="1643" t="s">
        <v>191</v>
      </c>
      <c r="C267" s="285"/>
      <c r="D267" s="5526"/>
      <c r="E267" s="5331"/>
      <c r="F267" s="5470"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5498" t="str">
        <f>INDEX(PT_DIFFERENTIATION_NTAR,MATCH(B267,PT_DIFFERENTIATION_NTAR_ID,0))</f>
        <v/>
      </c>
      <c r="H267" s="1724"/>
      <c r="I267" s="1602"/>
      <c r="J267" s="1636"/>
      <c r="K267" s="1641"/>
      <c r="L267" s="1724" t="s">
        <v>384</v>
      </c>
      <c r="M267" s="259"/>
      <c r="N267" s="252"/>
      <c r="O267" s="1488"/>
      <c r="P267" s="1488"/>
    </row>
    <row r="268" spans="1:16" s="4868" customFormat="1" ht="18.75" hidden="1" customHeight="1">
      <c r="A268" s="1643"/>
      <c r="B268" s="1643"/>
      <c r="C268" s="285" t="s">
        <v>1152</v>
      </c>
      <c r="D268" s="5526"/>
      <c r="E268" s="5331"/>
      <c r="F268" s="5470"/>
      <c r="G268" s="5498"/>
      <c r="H268" s="1372"/>
      <c r="I268" s="554" t="s">
        <v>1151</v>
      </c>
      <c r="J268" s="478"/>
      <c r="K268" s="1372"/>
      <c r="L268" s="136"/>
      <c r="M268" s="259"/>
      <c r="N268" s="252"/>
      <c r="O268" s="1488"/>
      <c r="P268" s="1488"/>
    </row>
    <row r="269" spans="1:16" s="4868" customFormat="1" ht="0.75" hidden="1" customHeight="1">
      <c r="A269" s="1643"/>
      <c r="B269" s="1643"/>
      <c r="C269" s="285" t="s">
        <v>1159</v>
      </c>
      <c r="D269" s="5526"/>
      <c r="E269" s="5331"/>
      <c r="F269" s="5470"/>
      <c r="G269" s="316"/>
      <c r="H269" s="1372"/>
      <c r="I269" s="554"/>
      <c r="J269" s="478"/>
      <c r="K269" s="1372"/>
      <c r="L269" s="136"/>
      <c r="M269" s="259"/>
      <c r="N269" s="252"/>
      <c r="O269" s="1488"/>
      <c r="P269" s="1488"/>
    </row>
    <row r="270" spans="1:16" s="4868" customFormat="1" ht="18.75" hidden="1" customHeight="1">
      <c r="A270" s="1643" t="s">
        <v>196</v>
      </c>
      <c r="B270" s="1643" t="s">
        <v>197</v>
      </c>
      <c r="C270" s="285"/>
      <c r="D270" s="5526"/>
      <c r="E270" s="5331"/>
      <c r="F270" s="5470" t="str">
        <f>INDEX(PT_DIFFERENTIATION_VTAR,MATCH(A270,PT_DIFFERENTIATION_VTAR_ID,0))</f>
        <v>Тарифы на услуги по передаче тепловой энергии</v>
      </c>
      <c r="G270" s="5498" t="str">
        <f>INDEX(PT_DIFFERENTIATION_NTAR,MATCH(B270,PT_DIFFERENTIATION_NTAR_ID,0))</f>
        <v/>
      </c>
      <c r="H270" s="1724"/>
      <c r="I270" s="1602"/>
      <c r="J270" s="1636"/>
      <c r="K270" s="1641"/>
      <c r="L270" s="1724" t="s">
        <v>384</v>
      </c>
      <c r="M270" s="259"/>
      <c r="N270" s="252"/>
      <c r="O270" s="1488"/>
      <c r="P270" s="1488"/>
    </row>
    <row r="271" spans="1:16" s="4868" customFormat="1" ht="18.75" hidden="1" customHeight="1">
      <c r="A271" s="1643"/>
      <c r="B271" s="1643"/>
      <c r="C271" s="285" t="s">
        <v>1152</v>
      </c>
      <c r="D271" s="5526"/>
      <c r="E271" s="5331"/>
      <c r="F271" s="5470"/>
      <c r="G271" s="5498"/>
      <c r="H271" s="1372"/>
      <c r="I271" s="554" t="s">
        <v>1151</v>
      </c>
      <c r="J271" s="478"/>
      <c r="K271" s="1372"/>
      <c r="L271" s="136"/>
      <c r="M271" s="259"/>
      <c r="N271" s="252"/>
      <c r="O271" s="1488"/>
      <c r="P271" s="1488"/>
    </row>
    <row r="272" spans="1:16" s="4868" customFormat="1" ht="0.75" hidden="1" customHeight="1">
      <c r="A272" s="1643"/>
      <c r="B272" s="1643"/>
      <c r="C272" s="285" t="s">
        <v>1159</v>
      </c>
      <c r="D272" s="5526"/>
      <c r="E272" s="5331"/>
      <c r="F272" s="5470"/>
      <c r="G272" s="316"/>
      <c r="H272" s="1372"/>
      <c r="I272" s="554"/>
      <c r="J272" s="478"/>
      <c r="K272" s="1372"/>
      <c r="L272" s="136"/>
      <c r="M272" s="259"/>
      <c r="N272" s="252"/>
      <c r="O272" s="1488"/>
      <c r="P272" s="1488"/>
    </row>
    <row r="273" spans="1:16" s="4868" customFormat="1" ht="18.75" hidden="1" customHeight="1">
      <c r="A273" s="1643" t="s">
        <v>202</v>
      </c>
      <c r="B273" s="1643" t="s">
        <v>203</v>
      </c>
      <c r="C273" s="285"/>
      <c r="D273" s="5526"/>
      <c r="E273" s="5331"/>
      <c r="F273" s="5470" t="str">
        <f>INDEX(PT_DIFFERENTIATION_VTAR,MATCH(A273,PT_DIFFERENTIATION_VTAR_ID,0))</f>
        <v>Тарифы на услуги по передаче теплоносителя</v>
      </c>
      <c r="G273" s="5498" t="str">
        <f>INDEX(PT_DIFFERENTIATION_NTAR,MATCH(B273,PT_DIFFERENTIATION_NTAR_ID,0))</f>
        <v/>
      </c>
      <c r="H273" s="1724"/>
      <c r="I273" s="1602"/>
      <c r="J273" s="1636"/>
      <c r="K273" s="1641"/>
      <c r="L273" s="1724" t="s">
        <v>384</v>
      </c>
      <c r="M273" s="259"/>
      <c r="N273" s="252"/>
      <c r="O273" s="1488"/>
      <c r="P273" s="1488"/>
    </row>
    <row r="274" spans="1:16" s="4868" customFormat="1" ht="18.75" hidden="1" customHeight="1">
      <c r="A274" s="1643"/>
      <c r="B274" s="1643"/>
      <c r="C274" s="285" t="s">
        <v>1152</v>
      </c>
      <c r="D274" s="5526"/>
      <c r="E274" s="5331"/>
      <c r="F274" s="5470"/>
      <c r="G274" s="5498"/>
      <c r="H274" s="1372"/>
      <c r="I274" s="554" t="s">
        <v>1151</v>
      </c>
      <c r="J274" s="478"/>
      <c r="K274" s="1372"/>
      <c r="L274" s="136"/>
      <c r="M274" s="259"/>
      <c r="N274" s="252"/>
      <c r="O274" s="1488"/>
      <c r="P274" s="1488"/>
    </row>
    <row r="275" spans="1:16" s="4868" customFormat="1" ht="0.75" hidden="1" customHeight="1">
      <c r="A275" s="1643"/>
      <c r="B275" s="1643"/>
      <c r="C275" s="285" t="s">
        <v>1159</v>
      </c>
      <c r="D275" s="5526"/>
      <c r="E275" s="5331"/>
      <c r="F275" s="5470"/>
      <c r="G275" s="316"/>
      <c r="H275" s="1372"/>
      <c r="I275" s="554"/>
      <c r="J275" s="478"/>
      <c r="K275" s="1372"/>
      <c r="L275" s="136"/>
      <c r="M275" s="259"/>
      <c r="N275" s="252"/>
      <c r="O275" s="1488"/>
      <c r="P275" s="1488"/>
    </row>
    <row r="276" spans="1:16" s="4868" customFormat="1" ht="18.75" hidden="1" customHeight="1">
      <c r="A276" s="1643" t="s">
        <v>208</v>
      </c>
      <c r="B276" s="1643" t="s">
        <v>209</v>
      </c>
      <c r="C276" s="285"/>
      <c r="D276" s="5526"/>
      <c r="E276" s="5331"/>
      <c r="F276" s="5470" t="str">
        <f>INDEX(PT_DIFFERENTIATION_VTAR,MATCH(A276,PT_DIFFERENTIATION_VTAR_ID,0))</f>
        <v>Плата за услуги по поддержанию резервной тепловой мощности при отсутствии потребления тепловой энергии</v>
      </c>
      <c r="G276" s="5498" t="str">
        <f>INDEX(PT_DIFFERENTIATION_NTAR,MATCH(B276,PT_DIFFERENTIATION_NTAR_ID,0))</f>
        <v/>
      </c>
      <c r="H276" s="1724"/>
      <c r="I276" s="1602"/>
      <c r="J276" s="1636"/>
      <c r="K276" s="1641"/>
      <c r="L276" s="1724" t="s">
        <v>384</v>
      </c>
      <c r="M276" s="259"/>
      <c r="N276" s="252"/>
      <c r="O276" s="1488"/>
      <c r="P276" s="1488"/>
    </row>
    <row r="277" spans="1:16" s="4868" customFormat="1" ht="18.75" hidden="1" customHeight="1">
      <c r="A277" s="1643"/>
      <c r="B277" s="1643"/>
      <c r="C277" s="285" t="s">
        <v>1152</v>
      </c>
      <c r="D277" s="5526"/>
      <c r="E277" s="5331"/>
      <c r="F277" s="5470"/>
      <c r="G277" s="5498"/>
      <c r="H277" s="1372"/>
      <c r="I277" s="554" t="s">
        <v>1151</v>
      </c>
      <c r="J277" s="478"/>
      <c r="K277" s="1372"/>
      <c r="L277" s="136"/>
      <c r="M277" s="259"/>
      <c r="N277" s="252"/>
      <c r="O277" s="1488"/>
      <c r="P277" s="1488"/>
    </row>
    <row r="278" spans="1:16" s="4868" customFormat="1" ht="0.75" hidden="1" customHeight="1">
      <c r="A278" s="1643"/>
      <c r="B278" s="1643"/>
      <c r="C278" s="285" t="s">
        <v>1159</v>
      </c>
      <c r="D278" s="5526"/>
      <c r="E278" s="5331"/>
      <c r="F278" s="5470"/>
      <c r="G278" s="316"/>
      <c r="H278" s="1372"/>
      <c r="I278" s="554"/>
      <c r="J278" s="478"/>
      <c r="K278" s="1372"/>
      <c r="L278" s="136"/>
      <c r="M278" s="259"/>
      <c r="N278" s="252"/>
      <c r="O278" s="1488"/>
      <c r="P278" s="1488"/>
    </row>
    <row r="279" spans="1:16" s="4868" customFormat="1" ht="18.75" hidden="1" customHeight="1">
      <c r="A279" s="1643" t="s">
        <v>214</v>
      </c>
      <c r="B279" s="1643" t="s">
        <v>215</v>
      </c>
      <c r="C279" s="285"/>
      <c r="D279" s="5526"/>
      <c r="E279" s="5331"/>
      <c r="F279" s="5470" t="str">
        <f>INDEX(PT_DIFFERENTIATION_VTAR,MATCH(A279,PT_DIFFERENTIATION_VTAR_ID,0))</f>
        <v>Плата за подключение (технологическое присоединение) к системе теплоснабжения</v>
      </c>
      <c r="G279" s="5498" t="str">
        <f>INDEX(PT_DIFFERENTIATION_NTAR,MATCH(B279,PT_DIFFERENTIATION_NTAR_ID,0))</f>
        <v/>
      </c>
      <c r="H279" s="1724"/>
      <c r="I279" s="1602"/>
      <c r="J279" s="1636"/>
      <c r="K279" s="1641"/>
      <c r="L279" s="1724" t="s">
        <v>384</v>
      </c>
      <c r="M279" s="259"/>
      <c r="N279" s="252"/>
      <c r="O279" s="1488"/>
      <c r="P279" s="1488"/>
    </row>
    <row r="280" spans="1:16" s="4868" customFormat="1" ht="18.75" hidden="1" customHeight="1">
      <c r="A280" s="1643"/>
      <c r="B280" s="1643"/>
      <c r="C280" s="285" t="s">
        <v>1152</v>
      </c>
      <c r="D280" s="5526"/>
      <c r="E280" s="5331"/>
      <c r="F280" s="5470"/>
      <c r="G280" s="5498"/>
      <c r="H280" s="1372"/>
      <c r="I280" s="554" t="s">
        <v>1151</v>
      </c>
      <c r="J280" s="478"/>
      <c r="K280" s="1372"/>
      <c r="L280" s="136"/>
      <c r="M280" s="259"/>
      <c r="N280" s="252"/>
      <c r="O280" s="1488"/>
      <c r="P280" s="1488"/>
    </row>
    <row r="281" spans="1:16" s="4868" customFormat="1" ht="0.75" hidden="1" customHeight="1">
      <c r="A281" s="1643"/>
      <c r="B281" s="1643"/>
      <c r="C281" s="285" t="s">
        <v>1159</v>
      </c>
      <c r="D281" s="5526"/>
      <c r="E281" s="5331"/>
      <c r="F281" s="5470"/>
      <c r="G281" s="316"/>
      <c r="H281" s="1372"/>
      <c r="I281" s="554"/>
      <c r="J281" s="478"/>
      <c r="K281" s="1372"/>
      <c r="L281" s="136"/>
      <c r="M281" s="259"/>
      <c r="N281" s="252"/>
      <c r="O281" s="1488"/>
      <c r="P281" s="1488"/>
    </row>
    <row r="282" spans="1:16" s="4868" customFormat="1" ht="18.75" hidden="1" customHeight="1">
      <c r="A282" s="1643" t="s">
        <v>240</v>
      </c>
      <c r="B282" s="1643" t="s">
        <v>241</v>
      </c>
      <c r="C282" s="285"/>
      <c r="D282" s="5526"/>
      <c r="E282" s="5331"/>
      <c r="F282" s="5470" t="str">
        <f>INDEX(PT_DIFFERENTIATION_VTAR,MATCH(A282,PT_DIFFERENTIATION_VTAR_ID,0))</f>
        <v>Тариф на питьевую воду (питьевое водоснабжение)</v>
      </c>
      <c r="G282" s="5498" t="str">
        <f>INDEX(PT_DIFFERENTIATION_NTAR,MATCH(B282,PT_DIFFERENTIATION_NTAR_ID,0))</f>
        <v/>
      </c>
      <c r="H282" s="1724"/>
      <c r="I282" s="1602"/>
      <c r="J282" s="1636"/>
      <c r="K282" s="1641"/>
      <c r="L282" s="1724" t="s">
        <v>384</v>
      </c>
      <c r="M282" s="259"/>
      <c r="N282" s="252"/>
      <c r="O282" s="1488"/>
      <c r="P282" s="1488"/>
    </row>
    <row r="283" spans="1:16" s="4868" customFormat="1" ht="18.75" hidden="1" customHeight="1">
      <c r="A283" s="1643"/>
      <c r="B283" s="1643"/>
      <c r="C283" s="285" t="s">
        <v>1152</v>
      </c>
      <c r="D283" s="5526"/>
      <c r="E283" s="5331"/>
      <c r="F283" s="5470"/>
      <c r="G283" s="5498"/>
      <c r="H283" s="1372"/>
      <c r="I283" s="554" t="s">
        <v>1151</v>
      </c>
      <c r="J283" s="478"/>
      <c r="K283" s="1372"/>
      <c r="L283" s="136"/>
      <c r="M283" s="259"/>
      <c r="N283" s="252"/>
      <c r="O283" s="1488"/>
      <c r="P283" s="1488"/>
    </row>
    <row r="284" spans="1:16" s="4868" customFormat="1" ht="0.75" hidden="1" customHeight="1">
      <c r="A284" s="1643"/>
      <c r="B284" s="1643"/>
      <c r="C284" s="285" t="s">
        <v>1159</v>
      </c>
      <c r="D284" s="5526"/>
      <c r="E284" s="5331"/>
      <c r="F284" s="5470"/>
      <c r="G284" s="316"/>
      <c r="H284" s="1372"/>
      <c r="I284" s="554"/>
      <c r="J284" s="478"/>
      <c r="K284" s="1372"/>
      <c r="L284" s="136"/>
      <c r="M284" s="259"/>
      <c r="N284" s="252"/>
      <c r="O284" s="1488"/>
      <c r="P284" s="1488"/>
    </row>
    <row r="285" spans="1:16" s="4868" customFormat="1" ht="18.75" hidden="1" customHeight="1">
      <c r="A285" s="1643" t="s">
        <v>245</v>
      </c>
      <c r="B285" s="1643" t="s">
        <v>246</v>
      </c>
      <c r="C285" s="285"/>
      <c r="D285" s="5526"/>
      <c r="E285" s="5331"/>
      <c r="F285" s="5470" t="str">
        <f>INDEX(PT_DIFFERENTIATION_VTAR,MATCH(A285,PT_DIFFERENTIATION_VTAR_ID,0))</f>
        <v>Тариф на техническую воду</v>
      </c>
      <c r="G285" s="5498" t="str">
        <f>INDEX(PT_DIFFERENTIATION_NTAR,MATCH(B285,PT_DIFFERENTIATION_NTAR_ID,0))</f>
        <v/>
      </c>
      <c r="H285" s="1724"/>
      <c r="I285" s="1602"/>
      <c r="J285" s="1636"/>
      <c r="K285" s="1641"/>
      <c r="L285" s="1724" t="s">
        <v>384</v>
      </c>
      <c r="M285" s="259"/>
      <c r="N285" s="252"/>
      <c r="O285" s="1488"/>
      <c r="P285" s="1488"/>
    </row>
    <row r="286" spans="1:16" s="4868" customFormat="1" ht="18.75" hidden="1" customHeight="1">
      <c r="A286" s="1643"/>
      <c r="B286" s="1643"/>
      <c r="C286" s="285" t="s">
        <v>1152</v>
      </c>
      <c r="D286" s="5526"/>
      <c r="E286" s="5331"/>
      <c r="F286" s="5470"/>
      <c r="G286" s="5498"/>
      <c r="H286" s="1372"/>
      <c r="I286" s="554" t="s">
        <v>1151</v>
      </c>
      <c r="J286" s="478"/>
      <c r="K286" s="1372"/>
      <c r="L286" s="136"/>
      <c r="M286" s="259"/>
      <c r="N286" s="252"/>
      <c r="O286" s="1488"/>
      <c r="P286" s="1488"/>
    </row>
    <row r="287" spans="1:16" s="4868" customFormat="1" ht="0.75" hidden="1" customHeight="1">
      <c r="A287" s="1643"/>
      <c r="B287" s="1643"/>
      <c r="C287" s="285" t="s">
        <v>1159</v>
      </c>
      <c r="D287" s="5526"/>
      <c r="E287" s="5331"/>
      <c r="F287" s="5470"/>
      <c r="G287" s="316"/>
      <c r="H287" s="1372"/>
      <c r="I287" s="554"/>
      <c r="J287" s="478"/>
      <c r="K287" s="1372"/>
      <c r="L287" s="136"/>
      <c r="M287" s="259"/>
      <c r="N287" s="252"/>
      <c r="O287" s="1488"/>
      <c r="P287" s="1488"/>
    </row>
    <row r="288" spans="1:16" s="4868" customFormat="1" ht="18.75" hidden="1" customHeight="1">
      <c r="A288" s="1643" t="s">
        <v>250</v>
      </c>
      <c r="B288" s="1643" t="s">
        <v>251</v>
      </c>
      <c r="C288" s="285"/>
      <c r="D288" s="5526"/>
      <c r="E288" s="5331"/>
      <c r="F288" s="5470" t="str">
        <f>INDEX(PT_DIFFERENTIATION_VTAR,MATCH(A288,PT_DIFFERENTIATION_VTAR_ID,0))</f>
        <v>Тариф на транспортировку воды</v>
      </c>
      <c r="G288" s="5498" t="str">
        <f>INDEX(PT_DIFFERENTIATION_NTAR,MATCH(B288,PT_DIFFERENTIATION_NTAR_ID,0))</f>
        <v/>
      </c>
      <c r="H288" s="1724"/>
      <c r="I288" s="1602"/>
      <c r="J288" s="1636"/>
      <c r="K288" s="1641"/>
      <c r="L288" s="1724" t="s">
        <v>384</v>
      </c>
      <c r="M288" s="259"/>
      <c r="N288" s="252"/>
      <c r="O288" s="1488"/>
      <c r="P288" s="1488"/>
    </row>
    <row r="289" spans="1:16" s="4868" customFormat="1" ht="18.75" hidden="1" customHeight="1">
      <c r="A289" s="1643"/>
      <c r="B289" s="1643"/>
      <c r="C289" s="285" t="s">
        <v>1152</v>
      </c>
      <c r="D289" s="5526"/>
      <c r="E289" s="5331"/>
      <c r="F289" s="5470"/>
      <c r="G289" s="5498"/>
      <c r="H289" s="1372"/>
      <c r="I289" s="554" t="s">
        <v>1151</v>
      </c>
      <c r="J289" s="478"/>
      <c r="K289" s="1372"/>
      <c r="L289" s="136"/>
      <c r="M289" s="259"/>
      <c r="N289" s="252"/>
      <c r="O289" s="1488"/>
      <c r="P289" s="1488"/>
    </row>
    <row r="290" spans="1:16" s="4868" customFormat="1" ht="0.75" hidden="1" customHeight="1">
      <c r="A290" s="1643"/>
      <c r="B290" s="1643"/>
      <c r="C290" s="285" t="s">
        <v>1159</v>
      </c>
      <c r="D290" s="5526"/>
      <c r="E290" s="5331"/>
      <c r="F290" s="5470"/>
      <c r="G290" s="316"/>
      <c r="H290" s="1372"/>
      <c r="I290" s="554"/>
      <c r="J290" s="478"/>
      <c r="K290" s="1372"/>
      <c r="L290" s="136"/>
      <c r="M290" s="259"/>
      <c r="N290" s="252"/>
      <c r="O290" s="1488"/>
      <c r="P290" s="1488"/>
    </row>
    <row r="291" spans="1:16" s="4868" customFormat="1" ht="18.75" hidden="1" customHeight="1">
      <c r="A291" s="1643" t="s">
        <v>255</v>
      </c>
      <c r="B291" s="1643" t="s">
        <v>256</v>
      </c>
      <c r="C291" s="285"/>
      <c r="D291" s="5526"/>
      <c r="E291" s="5331"/>
      <c r="F291" s="5470" t="str">
        <f>INDEX(PT_DIFFERENTIATION_VTAR,MATCH(A291,PT_DIFFERENTIATION_VTAR_ID,0))</f>
        <v>Тариф на подвоз воды</v>
      </c>
      <c r="G291" s="5498" t="str">
        <f>INDEX(PT_DIFFERENTIATION_NTAR,MATCH(B291,PT_DIFFERENTIATION_NTAR_ID,0))</f>
        <v/>
      </c>
      <c r="H291" s="1724"/>
      <c r="I291" s="1602"/>
      <c r="J291" s="1636"/>
      <c r="K291" s="1641"/>
      <c r="L291" s="1724" t="s">
        <v>384</v>
      </c>
      <c r="M291" s="259"/>
      <c r="N291" s="252"/>
      <c r="O291" s="1488"/>
      <c r="P291" s="1488"/>
    </row>
    <row r="292" spans="1:16" s="4868" customFormat="1" ht="18.75" hidden="1" customHeight="1">
      <c r="A292" s="1643"/>
      <c r="B292" s="1643"/>
      <c r="C292" s="285" t="s">
        <v>1152</v>
      </c>
      <c r="D292" s="5526"/>
      <c r="E292" s="5331"/>
      <c r="F292" s="5470"/>
      <c r="G292" s="5498"/>
      <c r="H292" s="1372"/>
      <c r="I292" s="554" t="s">
        <v>1151</v>
      </c>
      <c r="J292" s="478"/>
      <c r="K292" s="1372"/>
      <c r="L292" s="136"/>
      <c r="M292" s="259"/>
      <c r="N292" s="252"/>
      <c r="O292" s="1488"/>
      <c r="P292" s="1488"/>
    </row>
    <row r="293" spans="1:16" s="4868" customFormat="1" ht="0.75" hidden="1" customHeight="1">
      <c r="A293" s="1643"/>
      <c r="B293" s="1643"/>
      <c r="C293" s="285" t="s">
        <v>1159</v>
      </c>
      <c r="D293" s="5526"/>
      <c r="E293" s="5331"/>
      <c r="F293" s="5470"/>
      <c r="G293" s="316"/>
      <c r="H293" s="1372"/>
      <c r="I293" s="554"/>
      <c r="J293" s="478"/>
      <c r="K293" s="1372"/>
      <c r="L293" s="136"/>
      <c r="M293" s="259"/>
      <c r="N293" s="252"/>
      <c r="O293" s="1488"/>
      <c r="P293" s="1488"/>
    </row>
    <row r="294" spans="1:16" s="4868" customFormat="1" ht="18.75" hidden="1" customHeight="1">
      <c r="A294" s="1643" t="s">
        <v>260</v>
      </c>
      <c r="B294" s="1643" t="s">
        <v>261</v>
      </c>
      <c r="C294" s="285"/>
      <c r="D294" s="5526"/>
      <c r="E294" s="5331"/>
      <c r="F294" s="5470"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5498" t="str">
        <f>INDEX(PT_DIFFERENTIATION_NTAR,MATCH(B294,PT_DIFFERENTIATION_NTAR_ID,0))</f>
        <v/>
      </c>
      <c r="H294" s="1724"/>
      <c r="I294" s="1602"/>
      <c r="J294" s="1636"/>
      <c r="K294" s="1641"/>
      <c r="L294" s="1724" t="s">
        <v>384</v>
      </c>
      <c r="M294" s="259"/>
      <c r="N294" s="252"/>
      <c r="O294" s="1488"/>
      <c r="P294" s="1488"/>
    </row>
    <row r="295" spans="1:16" s="4868" customFormat="1" ht="18.75" hidden="1" customHeight="1">
      <c r="A295" s="1643"/>
      <c r="B295" s="1643"/>
      <c r="C295" s="285" t="s">
        <v>1152</v>
      </c>
      <c r="D295" s="5526"/>
      <c r="E295" s="5331"/>
      <c r="F295" s="5470"/>
      <c r="G295" s="5498"/>
      <c r="H295" s="1372"/>
      <c r="I295" s="554" t="s">
        <v>1151</v>
      </c>
      <c r="J295" s="478"/>
      <c r="K295" s="1372"/>
      <c r="L295" s="136"/>
      <c r="M295" s="259"/>
      <c r="N295" s="252"/>
      <c r="O295" s="1488"/>
      <c r="P295" s="1488"/>
    </row>
    <row r="296" spans="1:16" s="4868" customFormat="1" ht="0.75" hidden="1" customHeight="1">
      <c r="A296" s="1643"/>
      <c r="B296" s="1643"/>
      <c r="C296" s="285" t="s">
        <v>1159</v>
      </c>
      <c r="D296" s="5526"/>
      <c r="E296" s="5331"/>
      <c r="F296" s="5470"/>
      <c r="G296" s="316"/>
      <c r="H296" s="1372"/>
      <c r="I296" s="554"/>
      <c r="J296" s="478"/>
      <c r="K296" s="1372"/>
      <c r="L296" s="136"/>
      <c r="M296" s="259"/>
      <c r="N296" s="252"/>
      <c r="O296" s="1488"/>
      <c r="P296" s="1488"/>
    </row>
    <row r="297" spans="1:16" s="4868" customFormat="1" ht="18.75" hidden="1" customHeight="1">
      <c r="A297" s="1643" t="s">
        <v>267</v>
      </c>
      <c r="B297" s="1643" t="s">
        <v>268</v>
      </c>
      <c r="C297" s="285"/>
      <c r="D297" s="5526"/>
      <c r="E297" s="5331"/>
      <c r="F297" s="5470" t="str">
        <f>INDEX(PT_DIFFERENTIATION_VTAR,MATCH(A297,PT_DIFFERENTIATION_VTAR_ID,0))</f>
        <v>Тариф на горячую воду (горячее водоснабжение)</v>
      </c>
      <c r="G297" s="5498" t="str">
        <f>INDEX(PT_DIFFERENTIATION_NTAR,MATCH(B297,PT_DIFFERENTIATION_NTAR_ID,0))</f>
        <v>Тариф на горячую воду в закрытых системах горячего водоснабжения</v>
      </c>
      <c r="H297" s="1724"/>
      <c r="I297" s="1602"/>
      <c r="J297" s="1636"/>
      <c r="K297" s="1641"/>
      <c r="L297" s="1724" t="s">
        <v>384</v>
      </c>
      <c r="M297" s="259"/>
      <c r="N297" s="252"/>
      <c r="O297" s="1488"/>
      <c r="P297" s="1488"/>
    </row>
    <row r="298" spans="1:16" s="4868" customFormat="1" ht="18.75" hidden="1" customHeight="1">
      <c r="A298" s="1643"/>
      <c r="B298" s="1643"/>
      <c r="C298" s="285" t="s">
        <v>1152</v>
      </c>
      <c r="D298" s="5526"/>
      <c r="E298" s="5331"/>
      <c r="F298" s="5470"/>
      <c r="G298" s="5498"/>
      <c r="H298" s="1372"/>
      <c r="I298" s="554" t="s">
        <v>1151</v>
      </c>
      <c r="J298" s="478"/>
      <c r="K298" s="1372"/>
      <c r="L298" s="136"/>
      <c r="M298" s="259"/>
      <c r="N298" s="252"/>
      <c r="O298" s="1488"/>
      <c r="P298" s="1488"/>
    </row>
    <row r="299" spans="1:16" s="4868" customFormat="1" ht="0.75" hidden="1" customHeight="1">
      <c r="A299" s="1643"/>
      <c r="B299" s="1643"/>
      <c r="C299" s="285" t="s">
        <v>1159</v>
      </c>
      <c r="D299" s="5526"/>
      <c r="E299" s="5331"/>
      <c r="F299" s="5470"/>
      <c r="G299" s="316"/>
      <c r="H299" s="1372"/>
      <c r="I299" s="554"/>
      <c r="J299" s="478"/>
      <c r="K299" s="1372"/>
      <c r="L299" s="136"/>
      <c r="M299" s="259"/>
      <c r="N299" s="252"/>
      <c r="O299" s="1488"/>
      <c r="P299" s="1488"/>
    </row>
    <row r="300" spans="1:16" s="4868" customFormat="1" ht="18.75" hidden="1" customHeight="1">
      <c r="A300" s="1643" t="s">
        <v>333</v>
      </c>
      <c r="B300" s="1643" t="s">
        <v>334</v>
      </c>
      <c r="C300" s="285"/>
      <c r="D300" s="5526"/>
      <c r="E300" s="5331"/>
      <c r="F300" s="5470" t="str">
        <f>INDEX(PT_DIFFERENTIATION_VTAR,MATCH(A300,PT_DIFFERENTIATION_VTAR_ID,0))</f>
        <v>Тариф на транспортировку горячей воды</v>
      </c>
      <c r="G300" s="5498" t="str">
        <f>INDEX(PT_DIFFERENTIATION_NTAR,MATCH(B300,PT_DIFFERENTIATION_NTAR_ID,0))</f>
        <v/>
      </c>
      <c r="H300" s="1724"/>
      <c r="I300" s="1602"/>
      <c r="J300" s="1636"/>
      <c r="K300" s="1641"/>
      <c r="L300" s="1724" t="s">
        <v>384</v>
      </c>
      <c r="M300" s="259"/>
      <c r="N300" s="252"/>
      <c r="O300" s="1488"/>
      <c r="P300" s="1488"/>
    </row>
    <row r="301" spans="1:16" s="4868" customFormat="1" ht="18.75" hidden="1" customHeight="1">
      <c r="A301" s="1643"/>
      <c r="B301" s="1643"/>
      <c r="C301" s="285" t="s">
        <v>1152</v>
      </c>
      <c r="D301" s="5526"/>
      <c r="E301" s="5331"/>
      <c r="F301" s="5470"/>
      <c r="G301" s="5498"/>
      <c r="H301" s="1372"/>
      <c r="I301" s="554" t="s">
        <v>1151</v>
      </c>
      <c r="J301" s="478"/>
      <c r="K301" s="1372"/>
      <c r="L301" s="136"/>
      <c r="M301" s="259"/>
      <c r="N301" s="252"/>
      <c r="O301" s="1488"/>
      <c r="P301" s="1488"/>
    </row>
    <row r="302" spans="1:16" s="4868" customFormat="1" ht="0.75" hidden="1" customHeight="1">
      <c r="A302" s="1643"/>
      <c r="B302" s="1643"/>
      <c r="C302" s="285" t="s">
        <v>1159</v>
      </c>
      <c r="D302" s="5526"/>
      <c r="E302" s="5331"/>
      <c r="F302" s="5470"/>
      <c r="G302" s="316"/>
      <c r="H302" s="1372"/>
      <c r="I302" s="554"/>
      <c r="J302" s="478"/>
      <c r="K302" s="1372"/>
      <c r="L302" s="136"/>
      <c r="M302" s="259"/>
      <c r="N302" s="252"/>
      <c r="O302" s="1488"/>
      <c r="P302" s="1488"/>
    </row>
    <row r="303" spans="1:16" s="4868" customFormat="1" ht="18.75" hidden="1" customHeight="1">
      <c r="A303" s="1643" t="s">
        <v>338</v>
      </c>
      <c r="B303" s="1643" t="s">
        <v>339</v>
      </c>
      <c r="C303" s="285"/>
      <c r="D303" s="5526"/>
      <c r="E303" s="5331"/>
      <c r="F303" s="5470" t="str">
        <f>INDEX(PT_DIFFERENTIATION_VTAR,MATCH(A303,PT_DIFFERENTIATION_VTAR_ID,0))</f>
        <v>Тариф на подключение (технологическое присоединение) к централизованной системе горячего водоснабжения</v>
      </c>
      <c r="G303" s="5498" t="str">
        <f>INDEX(PT_DIFFERENTIATION_NTAR,MATCH(B303,PT_DIFFERENTIATION_NTAR_ID,0))</f>
        <v/>
      </c>
      <c r="H303" s="1724"/>
      <c r="I303" s="1602"/>
      <c r="J303" s="1636"/>
      <c r="K303" s="1641"/>
      <c r="L303" s="1724" t="s">
        <v>384</v>
      </c>
      <c r="M303" s="259"/>
      <c r="N303" s="252"/>
      <c r="O303" s="1488"/>
      <c r="P303" s="1488"/>
    </row>
    <row r="304" spans="1:16" s="4868" customFormat="1" ht="18.75" hidden="1" customHeight="1">
      <c r="A304" s="1643"/>
      <c r="B304" s="1643"/>
      <c r="C304" s="285" t="s">
        <v>1152</v>
      </c>
      <c r="D304" s="5526"/>
      <c r="E304" s="5331"/>
      <c r="F304" s="5470"/>
      <c r="G304" s="5498"/>
      <c r="H304" s="1372"/>
      <c r="I304" s="554" t="s">
        <v>1151</v>
      </c>
      <c r="J304" s="478"/>
      <c r="K304" s="1372"/>
      <c r="L304" s="136"/>
      <c r="M304" s="259"/>
      <c r="N304" s="252"/>
      <c r="O304" s="1488"/>
      <c r="P304" s="1488"/>
    </row>
    <row r="305" spans="1:16" s="4868" customFormat="1" ht="0.75" hidden="1" customHeight="1">
      <c r="A305" s="1643"/>
      <c r="B305" s="1643"/>
      <c r="C305" s="285" t="s">
        <v>1159</v>
      </c>
      <c r="D305" s="5526"/>
      <c r="E305" s="5331"/>
      <c r="F305" s="5470"/>
      <c r="G305" s="316"/>
      <c r="H305" s="1372"/>
      <c r="I305" s="554"/>
      <c r="J305" s="478"/>
      <c r="K305" s="1372"/>
      <c r="L305" s="136"/>
      <c r="M305" s="259"/>
      <c r="N305" s="252"/>
      <c r="O305" s="1488"/>
      <c r="P305" s="1488"/>
    </row>
    <row r="306" spans="1:16" s="4868" customFormat="1" ht="18.75" hidden="1" customHeight="1">
      <c r="A306" s="1643" t="s">
        <v>343</v>
      </c>
      <c r="B306" s="1643" t="s">
        <v>344</v>
      </c>
      <c r="C306" s="285"/>
      <c r="D306" s="5526"/>
      <c r="E306" s="5331"/>
      <c r="F306" s="5470" t="str">
        <f>INDEX(PT_DIFFERENTIATION_VTAR,MATCH(A306,PT_DIFFERENTIATION_VTAR_ID,0))</f>
        <v>Тариф на водоотведение</v>
      </c>
      <c r="G306" s="5498" t="str">
        <f>INDEX(PT_DIFFERENTIATION_NTAR,MATCH(B306,PT_DIFFERENTIATION_NTAR_ID,0))</f>
        <v/>
      </c>
      <c r="H306" s="1724"/>
      <c r="I306" s="1602"/>
      <c r="J306" s="1636"/>
      <c r="K306" s="1641"/>
      <c r="L306" s="1724" t="s">
        <v>384</v>
      </c>
      <c r="M306" s="259"/>
      <c r="N306" s="252"/>
      <c r="O306" s="1488"/>
      <c r="P306" s="1488"/>
    </row>
    <row r="307" spans="1:16" s="4868" customFormat="1" ht="18.75" hidden="1" customHeight="1">
      <c r="A307" s="1643"/>
      <c r="B307" s="1643"/>
      <c r="C307" s="285" t="s">
        <v>1152</v>
      </c>
      <c r="D307" s="5526"/>
      <c r="E307" s="5331"/>
      <c r="F307" s="5470"/>
      <c r="G307" s="5498"/>
      <c r="H307" s="1372"/>
      <c r="I307" s="554" t="s">
        <v>1151</v>
      </c>
      <c r="J307" s="478"/>
      <c r="K307" s="1372"/>
      <c r="L307" s="136"/>
      <c r="M307" s="259"/>
      <c r="N307" s="252"/>
      <c r="O307" s="1488"/>
      <c r="P307" s="1488"/>
    </row>
    <row r="308" spans="1:16" s="4868" customFormat="1" ht="0.75" hidden="1" customHeight="1">
      <c r="A308" s="1643"/>
      <c r="B308" s="1643"/>
      <c r="C308" s="285" t="s">
        <v>1159</v>
      </c>
      <c r="D308" s="5526"/>
      <c r="E308" s="5331"/>
      <c r="F308" s="5470"/>
      <c r="G308" s="316"/>
      <c r="H308" s="1372"/>
      <c r="I308" s="554"/>
      <c r="J308" s="478"/>
      <c r="K308" s="1372"/>
      <c r="L308" s="136"/>
      <c r="M308" s="259"/>
      <c r="N308" s="252"/>
      <c r="O308" s="1488"/>
      <c r="P308" s="1488"/>
    </row>
    <row r="309" spans="1:16" s="4868" customFormat="1" ht="18.75" hidden="1" customHeight="1">
      <c r="A309" s="1643" t="s">
        <v>348</v>
      </c>
      <c r="B309" s="1643" t="s">
        <v>349</v>
      </c>
      <c r="C309" s="285"/>
      <c r="D309" s="5526"/>
      <c r="E309" s="5331"/>
      <c r="F309" s="5470" t="str">
        <f>INDEX(PT_DIFFERENTIATION_VTAR,MATCH(A309,PT_DIFFERENTIATION_VTAR_ID,0))</f>
        <v>Тариф на транспортировку сточных вод</v>
      </c>
      <c r="G309" s="5498" t="str">
        <f>INDEX(PT_DIFFERENTIATION_NTAR,MATCH(B309,PT_DIFFERENTIATION_NTAR_ID,0))</f>
        <v/>
      </c>
      <c r="H309" s="1724"/>
      <c r="I309" s="1602"/>
      <c r="J309" s="1636"/>
      <c r="K309" s="1641"/>
      <c r="L309" s="1724" t="s">
        <v>384</v>
      </c>
      <c r="M309" s="259"/>
      <c r="N309" s="252"/>
      <c r="O309" s="1488"/>
      <c r="P309" s="1488"/>
    </row>
    <row r="310" spans="1:16" s="4868" customFormat="1" ht="18.75" hidden="1" customHeight="1">
      <c r="A310" s="1643"/>
      <c r="B310" s="1643"/>
      <c r="C310" s="285" t="s">
        <v>1152</v>
      </c>
      <c r="D310" s="5526"/>
      <c r="E310" s="5331"/>
      <c r="F310" s="5470"/>
      <c r="G310" s="5498"/>
      <c r="H310" s="1372"/>
      <c r="I310" s="554" t="s">
        <v>1151</v>
      </c>
      <c r="J310" s="478"/>
      <c r="K310" s="1372"/>
      <c r="L310" s="136"/>
      <c r="M310" s="259"/>
      <c r="N310" s="252"/>
      <c r="O310" s="1488"/>
      <c r="P310" s="1488"/>
    </row>
    <row r="311" spans="1:16" s="4868" customFormat="1" ht="0.75" hidden="1" customHeight="1">
      <c r="A311" s="1643"/>
      <c r="B311" s="1643"/>
      <c r="C311" s="285" t="s">
        <v>1159</v>
      </c>
      <c r="D311" s="5526"/>
      <c r="E311" s="5331"/>
      <c r="F311" s="5470"/>
      <c r="G311" s="316"/>
      <c r="H311" s="1372"/>
      <c r="I311" s="554"/>
      <c r="J311" s="478"/>
      <c r="K311" s="1372"/>
      <c r="L311" s="136"/>
      <c r="M311" s="259"/>
      <c r="N311" s="252"/>
      <c r="O311" s="1488"/>
      <c r="P311" s="1488"/>
    </row>
    <row r="312" spans="1:16" s="4868" customFormat="1" ht="18.75" hidden="1" customHeight="1">
      <c r="A312" s="1643" t="s">
        <v>353</v>
      </c>
      <c r="B312" s="1643" t="s">
        <v>354</v>
      </c>
      <c r="C312" s="285"/>
      <c r="D312" s="5526"/>
      <c r="E312" s="5331"/>
      <c r="F312" s="5470" t="str">
        <f>INDEX(PT_DIFFERENTIATION_VTAR,MATCH(A312,PT_DIFFERENTIATION_VTAR_ID,0))</f>
        <v>Тариф на подключение (технологическое присоединение) к централизованной системе водоотведения</v>
      </c>
      <c r="G312" s="5498" t="str">
        <f>INDEX(PT_DIFFERENTIATION_NTAR,MATCH(B312,PT_DIFFERENTIATION_NTAR_ID,0))</f>
        <v/>
      </c>
      <c r="H312" s="1724"/>
      <c r="I312" s="1602"/>
      <c r="J312" s="1636"/>
      <c r="K312" s="1641"/>
      <c r="L312" s="1724" t="s">
        <v>384</v>
      </c>
      <c r="M312" s="259"/>
      <c r="N312" s="252"/>
      <c r="O312" s="1488"/>
      <c r="P312" s="1488"/>
    </row>
    <row r="313" spans="1:16" s="4868" customFormat="1" ht="18.75" hidden="1" customHeight="1">
      <c r="A313" s="1643"/>
      <c r="B313" s="1643"/>
      <c r="C313" s="285" t="s">
        <v>1152</v>
      </c>
      <c r="D313" s="5526"/>
      <c r="E313" s="5331"/>
      <c r="F313" s="5470"/>
      <c r="G313" s="5498"/>
      <c r="H313" s="1372"/>
      <c r="I313" s="554" t="s">
        <v>1151</v>
      </c>
      <c r="J313" s="478"/>
      <c r="K313" s="1372"/>
      <c r="L313" s="136"/>
      <c r="M313" s="259"/>
      <c r="N313" s="252"/>
      <c r="O313" s="1488"/>
      <c r="P313" s="1488"/>
    </row>
    <row r="314" spans="1:16" s="4868" customFormat="1" ht="0.75" customHeight="1">
      <c r="A314" s="1643"/>
      <c r="B314" s="1643"/>
      <c r="C314" s="285" t="s">
        <v>1159</v>
      </c>
      <c r="D314" s="5526"/>
      <c r="E314" s="5331"/>
      <c r="F314" s="5470"/>
      <c r="G314" s="316"/>
      <c r="H314" s="1372"/>
      <c r="I314" s="554"/>
      <c r="J314" s="478"/>
      <c r="K314" s="1372"/>
      <c r="L314" s="136"/>
      <c r="M314" s="259"/>
      <c r="N314" s="252"/>
      <c r="O314" s="1488"/>
      <c r="P314" s="1488"/>
    </row>
    <row r="315" spans="1:16" s="5147" customFormat="1" ht="3" customHeight="1">
      <c r="A315" s="1643"/>
      <c r="B315" s="1643"/>
      <c r="C315" s="1644"/>
      <c r="E315" s="318"/>
      <c r="F315" s="318"/>
      <c r="G315" s="318"/>
      <c r="H315" s="318"/>
      <c r="I315" s="318"/>
      <c r="J315" s="318"/>
      <c r="K315" s="318"/>
      <c r="L315" s="318"/>
      <c r="M315" s="318"/>
      <c r="O315" s="118"/>
      <c r="P315" s="118"/>
    </row>
    <row r="316" spans="1:16" ht="24.75" customHeight="1">
      <c r="E316" s="124"/>
      <c r="F316" s="5396"/>
      <c r="G316" s="5396"/>
      <c r="H316" s="5396"/>
      <c r="I316" s="5396"/>
      <c r="J316" s="5396"/>
      <c r="K316" s="5396"/>
      <c r="L316" s="5396"/>
      <c r="M316" s="5396"/>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5152" hidden="1" customWidth="1"/>
    <col min="2" max="2" width="9.140625" style="5145" hidden="1" customWidth="1"/>
    <col min="3" max="3" width="3.7109375" style="4860" customWidth="1"/>
    <col min="4" max="4" width="6.28515625" style="5150" customWidth="1"/>
    <col min="5" max="5" width="53.85546875" style="5150" customWidth="1"/>
    <col min="6" max="7" width="35.7109375" style="5150" customWidth="1"/>
    <col min="8" max="8" width="89.5703125" style="5150" customWidth="1"/>
    <col min="9" max="9" width="10.5703125" style="5150"/>
    <col min="10" max="11" width="10.5703125" style="5151"/>
    <col min="12" max="17" width="10.5703125" style="5150"/>
  </cols>
  <sheetData>
    <row r="1" spans="1:17" ht="14.25" hidden="1" customHeight="1">
      <c r="N1" s="175"/>
      <c r="O1" s="175"/>
      <c r="Q1" s="175"/>
    </row>
    <row r="2" spans="1:17" s="4868" customFormat="1" ht="18.75" hidden="1" customHeight="1">
      <c r="A2" s="36"/>
      <c r="B2" s="1042"/>
      <c r="C2" s="1593" t="s">
        <v>101</v>
      </c>
      <c r="D2" s="1537"/>
      <c r="E2" s="1546"/>
      <c r="F2" s="177"/>
      <c r="G2" s="1043"/>
      <c r="H2" s="290"/>
      <c r="I2" s="1488"/>
      <c r="J2" s="1488"/>
    </row>
    <row r="3" spans="1:17" ht="14.25" hidden="1" customHeight="1"/>
    <row r="4" spans="1:17" ht="6" customHeight="1">
      <c r="C4" s="292"/>
      <c r="D4" s="280"/>
      <c r="E4" s="280"/>
      <c r="F4" s="280"/>
      <c r="G4" s="21"/>
      <c r="H4" s="21"/>
    </row>
    <row r="5" spans="1:17" ht="33" customHeight="1">
      <c r="C5" s="292"/>
      <c r="D5" s="5274"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5275"/>
      <c r="F5" s="5275"/>
      <c r="G5" s="5276"/>
      <c r="H5" s="186"/>
    </row>
    <row r="6" spans="1:17" s="4868" customFormat="1" ht="17.25" customHeight="1">
      <c r="A6" s="1533"/>
      <c r="B6" s="1042"/>
      <c r="C6" s="292"/>
      <c r="D6" s="5341" t="str">
        <f>IF(org=0,"Не определено",org)</f>
        <v>ООО «Газпром теплоэнерго МО»</v>
      </c>
      <c r="E6" s="5342"/>
      <c r="F6" s="5342"/>
      <c r="G6" s="5343"/>
      <c r="H6" s="186"/>
      <c r="J6" s="1488"/>
      <c r="K6" s="1488"/>
    </row>
    <row r="7" spans="1:17" ht="14.25" customHeight="1">
      <c r="C7" s="292"/>
      <c r="D7" s="280"/>
      <c r="E7" s="305"/>
      <c r="F7" s="305"/>
      <c r="G7" s="651"/>
      <c r="H7" s="115"/>
    </row>
    <row r="8" spans="1:17" ht="14.25" customHeight="1">
      <c r="C8" s="292"/>
      <c r="D8" s="5336" t="s">
        <v>378</v>
      </c>
      <c r="E8" s="5336"/>
      <c r="F8" s="5336"/>
      <c r="G8" s="5336"/>
      <c r="H8" s="5524" t="s">
        <v>379</v>
      </c>
    </row>
    <row r="9" spans="1:17" ht="14.25" customHeight="1">
      <c r="C9" s="292"/>
      <c r="D9" s="302" t="s">
        <v>85</v>
      </c>
      <c r="E9" s="41" t="s">
        <v>380</v>
      </c>
      <c r="F9" s="41" t="s">
        <v>381</v>
      </c>
      <c r="G9" s="41" t="s">
        <v>468</v>
      </c>
      <c r="H9" s="5524"/>
    </row>
    <row r="10" spans="1:17" ht="14.25" customHeight="1">
      <c r="A10" s="260"/>
      <c r="C10" s="292"/>
      <c r="D10" s="73" t="s">
        <v>129</v>
      </c>
      <c r="E10" s="174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77"/>
      <c r="G10" s="135"/>
      <c r="H10" s="5284" t="s">
        <v>1160</v>
      </c>
    </row>
    <row r="11" spans="1:17" ht="14.25" customHeight="1">
      <c r="A11" s="260"/>
      <c r="C11" s="292"/>
      <c r="D11" s="73" t="s">
        <v>100</v>
      </c>
      <c r="E11" s="174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77"/>
      <c r="G11" s="135"/>
      <c r="H11" s="5285"/>
    </row>
    <row r="12" spans="1:17" ht="14.25" customHeight="1">
      <c r="A12" s="36"/>
      <c r="C12" s="303"/>
      <c r="D12" s="73" t="s">
        <v>87</v>
      </c>
      <c r="E12" s="304" t="str">
        <f>"Сведения о планировании закупочных процедур"&amp;IF(TEMPLATE_SPHERE="TKO"," &lt;1&gt;","")</f>
        <v>Сведения о планировании закупочных процедур</v>
      </c>
      <c r="F12" s="177"/>
      <c r="G12" s="135"/>
      <c r="H12" s="528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7"/>
      <c r="K12" s="290"/>
    </row>
    <row r="13" spans="1:17" ht="14.25" customHeight="1">
      <c r="A13" s="36"/>
      <c r="C13" s="303"/>
      <c r="D13" s="73" t="s">
        <v>88</v>
      </c>
      <c r="E13" s="304" t="str">
        <f>"Сведения о результатах проведения закупочных процедур"&amp;IF(TEMPLATE_SPHERE="TKO"," &lt;1&gt;","")</f>
        <v>Сведения о результатах проведения закупочных процедур</v>
      </c>
      <c r="F13" s="177"/>
      <c r="G13" s="135"/>
      <c r="H13" s="5285"/>
      <c r="I13" s="267"/>
      <c r="K13" s="290"/>
    </row>
    <row r="14" spans="1:17" ht="14.25" customHeight="1">
      <c r="A14" s="260"/>
      <c r="C14" s="292"/>
      <c r="D14" s="264"/>
      <c r="E14" s="311" t="s">
        <v>400</v>
      </c>
      <c r="F14" s="266"/>
      <c r="G14" s="123"/>
      <c r="H14" s="5286"/>
    </row>
    <row r="15" spans="1:17" s="4868" customFormat="1" ht="14.25" customHeight="1">
      <c r="A15" s="260"/>
      <c r="B15" s="1042"/>
      <c r="C15" s="292"/>
      <c r="D15" s="312"/>
      <c r="E15" s="1541"/>
      <c r="F15" s="1542"/>
      <c r="G15" s="1543"/>
      <c r="H15" s="1544"/>
      <c r="J15" s="1488"/>
      <c r="K15" s="1488"/>
    </row>
    <row r="16" spans="1:17" ht="14.25" customHeight="1">
      <c r="D16" s="1545"/>
      <c r="E16" s="5396"/>
      <c r="F16" s="5396"/>
      <c r="G16" s="5396"/>
      <c r="H16" s="5396"/>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4841" hidden="1" customWidth="1"/>
    <col min="2" max="2" width="9.140625" style="4844" hidden="1" customWidth="1"/>
    <col min="3" max="3" width="4.7109375" style="5125" customWidth="1"/>
    <col min="4" max="4" width="6.28515625" style="4844" customWidth="1"/>
    <col min="5" max="5" width="47.85546875" style="4844" customWidth="1"/>
    <col min="6" max="6" width="9.5703125" style="4844" customWidth="1"/>
    <col min="7" max="7" width="25.7109375" style="4796" hidden="1" customWidth="1"/>
    <col min="8" max="8" width="34" style="4796" hidden="1" customWidth="1"/>
    <col min="9" max="9" width="25.7109375" style="4844" customWidth="1"/>
    <col min="10" max="10" width="34" style="4844" customWidth="1"/>
    <col min="11" max="11" width="50.85546875" style="4797" customWidth="1"/>
    <col min="12" max="20" width="10.5703125" style="4844"/>
    <col min="21" max="21" width="10.5703125" style="5126"/>
  </cols>
  <sheetData>
    <row r="1" spans="1:21" s="4797" customFormat="1" ht="15" hidden="1" customHeight="1">
      <c r="C1" s="575"/>
      <c r="G1" s="333">
        <v>4</v>
      </c>
      <c r="I1" s="333">
        <v>4</v>
      </c>
      <c r="U1" s="335"/>
    </row>
    <row r="2" spans="1:21" s="5120" customFormat="1" ht="15" hidden="1" customHeight="1">
      <c r="A2" s="279"/>
      <c r="C2" s="99"/>
      <c r="D2" s="263"/>
      <c r="E2" s="576"/>
      <c r="F2" s="430"/>
      <c r="G2" s="519"/>
      <c r="H2" s="519"/>
      <c r="I2" s="519"/>
      <c r="J2" s="519"/>
      <c r="U2" s="577"/>
    </row>
    <row r="3" spans="1:21" s="4797" customFormat="1" ht="15" hidden="1" customHeight="1">
      <c r="C3" s="575"/>
      <c r="U3" s="335"/>
    </row>
    <row r="4" spans="1:21" ht="15" customHeight="1">
      <c r="C4" s="99"/>
      <c r="D4" s="417"/>
      <c r="E4" s="417"/>
      <c r="F4" s="417"/>
      <c r="G4" s="417"/>
      <c r="H4" s="417"/>
      <c r="I4" s="417"/>
      <c r="J4" s="417"/>
    </row>
    <row r="5" spans="1:21" ht="63" customHeight="1">
      <c r="C5" s="99"/>
      <c r="D5" s="5360" t="s">
        <v>1161</v>
      </c>
      <c r="E5" s="5360"/>
      <c r="F5" s="5360"/>
      <c r="G5" s="5360"/>
      <c r="H5" s="5360"/>
      <c r="I5" s="5360"/>
      <c r="J5" s="5360"/>
    </row>
    <row r="6" spans="1:21" ht="15" customHeight="1">
      <c r="C6" s="99"/>
      <c r="D6" s="5308" t="str">
        <f>IF(org=0,"Не определено",org)</f>
        <v>ООО «Газпром теплоэнерго МО»</v>
      </c>
      <c r="E6" s="5308"/>
      <c r="F6" s="5308"/>
      <c r="G6" s="5308"/>
      <c r="H6" s="5308"/>
      <c r="I6" s="5308"/>
      <c r="J6" s="5308"/>
      <c r="K6" s="444"/>
    </row>
    <row r="7" spans="1:21" ht="15" customHeight="1">
      <c r="C7" s="99"/>
      <c r="D7" s="651"/>
      <c r="E7" s="417"/>
      <c r="F7" s="417"/>
      <c r="G7" s="444">
        <v>22</v>
      </c>
      <c r="I7" s="444">
        <v>1</v>
      </c>
      <c r="J7" s="651"/>
    </row>
    <row r="8" spans="1:21" s="4796" customFormat="1" ht="0.75" customHeight="1">
      <c r="A8" s="658"/>
      <c r="C8" s="99"/>
      <c r="D8" s="417"/>
      <c r="E8" s="417"/>
      <c r="F8" s="417"/>
      <c r="G8" s="444"/>
      <c r="H8" s="651"/>
      <c r="I8" s="444" t="s">
        <v>135</v>
      </c>
      <c r="J8" s="651"/>
      <c r="K8" s="333"/>
      <c r="U8" s="578"/>
    </row>
    <row r="9" spans="1:21" ht="15" customHeight="1">
      <c r="C9" s="99"/>
      <c r="D9" s="612"/>
      <c r="E9" s="5456" t="s">
        <v>125</v>
      </c>
      <c r="F9" s="5457"/>
      <c r="G9" s="5477" t="str">
        <f>IF(G8="","",INDEX(DIFFERENTIATION_UNMERGE_VD,MATCH(G8,DIFFERENTIATION_ID_DIFF,0)))</f>
        <v/>
      </c>
      <c r="H9" s="5478"/>
      <c r="I9" s="5477">
        <f>IF(I8="","",INDEX(DIFFERENTIATION_UNMERGE_VD,MATCH(I8,DIFFERENTIATION_ID_DIFF,0)))</f>
        <v>0</v>
      </c>
      <c r="J9" s="5478"/>
      <c r="K9" s="5307" t="s">
        <v>379</v>
      </c>
    </row>
    <row r="10" spans="1:21" s="4796" customFormat="1" ht="15" customHeight="1">
      <c r="A10" s="658"/>
      <c r="C10" s="99"/>
      <c r="D10" s="612"/>
      <c r="E10" s="5456" t="s">
        <v>653</v>
      </c>
      <c r="F10" s="5457"/>
      <c r="G10" s="5477" t="str">
        <f>IF(G8="","",INDEX(DIFFERENTIATION_UNMERGE_AREA,MATCH(G8,DIFFERENTIATION_ID_DIFF,0)))</f>
        <v/>
      </c>
      <c r="H10" s="5478"/>
      <c r="I10" s="5477" t="str">
        <f>IF(I8="","",INDEX(DIFFERENTIATION_UNMERGE_AREA,MATCH(I8,DIFFERENTIATION_ID_DIFF,0)))</f>
        <v/>
      </c>
      <c r="J10" s="5478"/>
      <c r="K10" s="5326"/>
      <c r="U10" s="578"/>
    </row>
    <row r="11" spans="1:21" s="4796" customFormat="1" ht="15" customHeight="1">
      <c r="A11" s="658"/>
      <c r="C11" s="99"/>
      <c r="D11" s="612"/>
      <c r="E11" s="5456" t="s">
        <v>654</v>
      </c>
      <c r="F11" s="5457"/>
      <c r="G11" s="5477" t="str">
        <f>IF(G8="","",INDEX(DIFFERENTIATION_UNMERGE_SYSTEM,MATCH(G8,DIFFERENTIATION_ID_DIFF,0)))</f>
        <v/>
      </c>
      <c r="H11" s="5478"/>
      <c r="I11" s="5477" t="str">
        <f>IF(I8="","",INDEX(DIFFERENTIATION_UNMERGE_SYSTEM,MATCH(I8,DIFFERENTIATION_ID_DIFF,0)))</f>
        <v>без дифференциации</v>
      </c>
      <c r="J11" s="5478"/>
      <c r="K11" s="5326"/>
      <c r="U11" s="578"/>
    </row>
    <row r="12" spans="1:21" s="4796" customFormat="1" ht="15" customHeight="1">
      <c r="A12" s="658"/>
      <c r="C12" s="99"/>
      <c r="D12" s="5458" t="s">
        <v>378</v>
      </c>
      <c r="E12" s="5459"/>
      <c r="F12" s="5459"/>
      <c r="G12" s="782"/>
      <c r="H12" s="782"/>
      <c r="I12" s="782"/>
      <c r="J12" s="782"/>
      <c r="K12" s="5326"/>
      <c r="U12" s="578"/>
    </row>
    <row r="13" spans="1:21" ht="33.75" customHeight="1">
      <c r="C13" s="99"/>
      <c r="D13" s="704" t="s">
        <v>85</v>
      </c>
      <c r="E13" s="706" t="s">
        <v>380</v>
      </c>
      <c r="F13" s="706" t="s">
        <v>655</v>
      </c>
      <c r="G13" s="707" t="s">
        <v>381</v>
      </c>
      <c r="H13" s="706" t="s">
        <v>468</v>
      </c>
      <c r="I13" s="707" t="s">
        <v>381</v>
      </c>
      <c r="J13" s="706" t="s">
        <v>468</v>
      </c>
      <c r="K13" s="5355"/>
    </row>
    <row r="14" spans="1:21" ht="15" hidden="1" customHeight="1">
      <c r="C14" s="99"/>
      <c r="D14" s="498" t="s">
        <v>129</v>
      </c>
      <c r="E14" s="498" t="s">
        <v>100</v>
      </c>
      <c r="F14" s="498" t="s">
        <v>87</v>
      </c>
      <c r="G14" s="562" t="str">
        <f>G1&amp;".1"</f>
        <v>4.1</v>
      </c>
      <c r="H14" s="562"/>
      <c r="I14" s="562" t="str">
        <f>I1&amp;".1"</f>
        <v>4.1</v>
      </c>
      <c r="J14" s="562"/>
      <c r="K14" s="207"/>
    </row>
    <row r="15" spans="1:21" ht="22.5" hidden="1" customHeight="1">
      <c r="A15" s="413"/>
      <c r="C15" s="434"/>
      <c r="D15" s="429">
        <v>1</v>
      </c>
      <c r="E15" s="580" t="s">
        <v>812</v>
      </c>
      <c r="F15" s="429" t="s">
        <v>813</v>
      </c>
      <c r="G15" s="581"/>
      <c r="H15" s="581"/>
      <c r="I15" s="581"/>
      <c r="J15" s="581"/>
      <c r="K15" s="207" t="s">
        <v>814</v>
      </c>
    </row>
    <row r="16" spans="1:21" ht="22.5" hidden="1" customHeight="1">
      <c r="A16" s="413"/>
      <c r="C16" s="434"/>
      <c r="D16" s="429">
        <v>2</v>
      </c>
      <c r="E16" s="198" t="s">
        <v>815</v>
      </c>
      <c r="F16" s="429" t="s">
        <v>816</v>
      </c>
      <c r="G16" s="581"/>
      <c r="H16" s="581"/>
      <c r="I16" s="581"/>
      <c r="J16" s="581"/>
      <c r="K16" s="207" t="s">
        <v>817</v>
      </c>
    </row>
    <row r="17" spans="1:11" ht="123.75" hidden="1" customHeight="1">
      <c r="A17" s="413"/>
      <c r="C17" s="434"/>
      <c r="D17" s="429">
        <v>3</v>
      </c>
      <c r="E17" s="198" t="s">
        <v>1162</v>
      </c>
      <c r="F17" s="429" t="s">
        <v>384</v>
      </c>
      <c r="G17" s="581"/>
      <c r="H17" s="581"/>
      <c r="I17" s="581"/>
      <c r="J17" s="581"/>
      <c r="K17" s="207" t="s">
        <v>1163</v>
      </c>
    </row>
    <row r="18" spans="1:11" ht="45" customHeight="1">
      <c r="A18" s="413"/>
      <c r="C18" s="434"/>
      <c r="D18" s="429">
        <v>3</v>
      </c>
      <c r="E18" s="198" t="s">
        <v>818</v>
      </c>
      <c r="F18" s="429" t="s">
        <v>384</v>
      </c>
      <c r="G18" s="708" t="s">
        <v>384</v>
      </c>
      <c r="H18" s="709" t="s">
        <v>384</v>
      </c>
      <c r="I18" s="429" t="s">
        <v>384</v>
      </c>
      <c r="J18" s="485" t="s">
        <v>384</v>
      </c>
      <c r="K18" s="207" t="s">
        <v>1164</v>
      </c>
    </row>
    <row r="19" spans="1:11" ht="33.75" customHeight="1">
      <c r="A19" s="413"/>
      <c r="C19" s="434"/>
      <c r="D19" s="446" t="s">
        <v>402</v>
      </c>
      <c r="E19" s="466" t="s">
        <v>820</v>
      </c>
      <c r="F19" s="429" t="s">
        <v>821</v>
      </c>
      <c r="G19" s="716"/>
      <c r="H19" s="39"/>
      <c r="I19" s="716"/>
      <c r="J19" s="717"/>
      <c r="K19" s="582"/>
    </row>
    <row r="20" spans="1:11" ht="33.75" customHeight="1">
      <c r="A20" s="413"/>
      <c r="C20" s="434"/>
      <c r="D20" s="1751" t="s">
        <v>410</v>
      </c>
      <c r="E20" s="466" t="s">
        <v>822</v>
      </c>
      <c r="F20" s="429" t="s">
        <v>823</v>
      </c>
      <c r="G20" s="716"/>
      <c r="H20" s="39"/>
      <c r="I20" s="716"/>
      <c r="J20" s="39"/>
      <c r="K20" s="582"/>
    </row>
    <row r="21" spans="1:11" ht="45" customHeight="1">
      <c r="A21" s="413"/>
      <c r="C21" s="434"/>
      <c r="D21" s="1751" t="s">
        <v>412</v>
      </c>
      <c r="E21" s="466" t="s">
        <v>824</v>
      </c>
      <c r="F21" s="429" t="s">
        <v>660</v>
      </c>
      <c r="G21" s="583"/>
      <c r="H21" s="39"/>
      <c r="I21" s="583"/>
      <c r="J21" s="39"/>
      <c r="K21" s="582"/>
    </row>
    <row r="22" spans="1:11" ht="67.5" hidden="1" customHeight="1">
      <c r="A22" s="413"/>
      <c r="C22" s="434"/>
      <c r="D22" s="429">
        <v>5</v>
      </c>
      <c r="E22" s="198" t="s">
        <v>1165</v>
      </c>
      <c r="F22" s="429" t="s">
        <v>647</v>
      </c>
      <c r="G22" s="584"/>
      <c r="H22" s="585"/>
      <c r="I22" s="584"/>
      <c r="J22" s="585"/>
      <c r="K22" s="207" t="s">
        <v>1166</v>
      </c>
    </row>
    <row r="23" spans="1:11" ht="33.75" hidden="1" customHeight="1">
      <c r="C23" s="364"/>
      <c r="D23" s="429">
        <v>6</v>
      </c>
      <c r="E23" s="198" t="s">
        <v>1167</v>
      </c>
      <c r="F23" s="429" t="s">
        <v>1168</v>
      </c>
      <c r="G23" s="584"/>
      <c r="H23" s="584"/>
      <c r="I23" s="584"/>
      <c r="J23" s="584"/>
      <c r="K23" s="207" t="s">
        <v>1169</v>
      </c>
    </row>
    <row r="29" spans="1:11" ht="15" customHeight="1">
      <c r="J29" s="718"/>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5154" customWidth="1"/>
    <col min="2" max="2" width="11" style="5155" customWidth="1"/>
    <col min="3" max="3" width="9.140625" style="5155"/>
    <col min="4" max="4" width="26.5703125" style="5155" customWidth="1"/>
    <col min="5" max="5" width="27.7109375" style="5156" customWidth="1"/>
    <col min="6" max="6" width="23.5703125" style="5156" customWidth="1"/>
    <col min="7" max="7" width="31.42578125" style="5156" customWidth="1"/>
    <col min="8" max="8" width="40.85546875" style="5156" customWidth="1"/>
    <col min="9" max="9" width="14.5703125" style="5156" customWidth="1"/>
    <col min="10" max="10" width="26.85546875" style="5156" customWidth="1"/>
    <col min="11" max="11" width="50" style="5156" customWidth="1"/>
    <col min="12" max="12" width="52.42578125" style="5156" customWidth="1"/>
    <col min="13" max="13" width="10.7109375" style="5156" customWidth="1"/>
    <col min="14" max="14" width="55.140625" style="5156" customWidth="1"/>
    <col min="15" max="15" width="31.85546875" style="5156" customWidth="1"/>
    <col min="16" max="16" width="23.85546875" style="5156" customWidth="1"/>
    <col min="17" max="17" width="46.5703125" style="5156" customWidth="1"/>
    <col min="18" max="18" width="24" style="5156" customWidth="1"/>
    <col min="19" max="19" width="20.5703125" style="5156" customWidth="1"/>
    <col min="20" max="20" width="22" style="5156" customWidth="1"/>
    <col min="21" max="22" width="26.42578125" style="5156" customWidth="1"/>
    <col min="23" max="23" width="8.28515625" style="5156" hidden="1" customWidth="1"/>
    <col min="24" max="24" width="59.7109375" style="5156" customWidth="1"/>
    <col min="25" max="25" width="49.140625" style="5156" customWidth="1"/>
    <col min="26" max="26" width="11.140625" style="5156" customWidth="1"/>
    <col min="27" max="30" width="29" style="5156" customWidth="1"/>
    <col min="31" max="31" width="9.140625" style="5156"/>
    <col min="32" max="32" width="34.7109375" style="5156" customWidth="1"/>
    <col min="33" max="33" width="9.140625" style="5156"/>
    <col min="34" max="35" width="34.42578125" style="5156" customWidth="1"/>
    <col min="36" max="36" width="9.140625" style="5156"/>
    <col min="37" max="37" width="24.5703125" style="5156" customWidth="1"/>
    <col min="38" max="38" width="9.140625" style="5156"/>
    <col min="39" max="39" width="26.140625" style="5156" customWidth="1"/>
    <col min="40" max="40" width="1.7109375" style="5156" customWidth="1"/>
    <col min="41" max="41" width="9.140625" style="5156"/>
    <col min="42" max="43" width="47.85546875" style="5156" customWidth="1"/>
    <col min="44" max="44" width="1.7109375" style="5156" customWidth="1"/>
    <col min="45" max="45" width="21.42578125" style="5156" customWidth="1"/>
    <col min="46" max="46" width="1.7109375" style="5156" customWidth="1"/>
    <col min="47" max="47" width="31.28515625" style="5156" customWidth="1"/>
    <col min="48" max="48" width="1.7109375" style="5156" customWidth="1"/>
    <col min="49" max="50" width="9.140625" style="5157"/>
    <col min="51" max="51" width="3.7109375" style="5156" customWidth="1"/>
    <col min="52" max="52" width="60.85546875" style="5156" customWidth="1"/>
    <col min="53" max="53" width="49.28515625" style="5156" customWidth="1"/>
    <col min="54" max="54" width="35.140625" style="5156" customWidth="1"/>
    <col min="55" max="55" width="9.140625" style="5156"/>
    <col min="56" max="56" width="1.7109375" style="5156" customWidth="1"/>
    <col min="57" max="57" width="12.5703125" style="5158" customWidth="1"/>
    <col min="58" max="58" width="14.28515625" style="5158" customWidth="1"/>
    <col min="59" max="59" width="30.7109375" style="5156" customWidth="1"/>
    <col min="60" max="60" width="40.7109375" style="5159" customWidth="1"/>
    <col min="61" max="61" width="15" style="5159" customWidth="1"/>
    <col min="62" max="62" width="40.7109375" style="5159" customWidth="1"/>
    <col min="63" max="63" width="2.7109375" style="5159" customWidth="1"/>
    <col min="64" max="64" width="44.7109375" style="5159" customWidth="1"/>
    <col min="65" max="65" width="2.7109375" style="5159" customWidth="1"/>
    <col min="66" max="66" width="40.7109375" style="5159" customWidth="1"/>
    <col min="67" max="68" width="9.140625" style="5156"/>
    <col min="69" max="69" width="18.140625" style="5156" customWidth="1"/>
    <col min="70" max="70" width="57.85546875" style="5156" customWidth="1"/>
    <col min="71" max="71" width="1.7109375" style="5160" customWidth="1"/>
    <col min="72" max="72" width="22.5703125" style="5156" customWidth="1"/>
    <col min="73" max="73" width="57.85546875" style="5156" customWidth="1"/>
    <col min="74" max="74" width="1.7109375" style="5156" customWidth="1"/>
    <col min="75" max="75" width="22.5703125" style="5156" customWidth="1"/>
    <col min="76" max="76" width="57.85546875" style="5156" customWidth="1"/>
    <col min="77" max="77" width="1.7109375" style="5156" customWidth="1"/>
    <col min="78" max="78" width="22.5703125" style="5156" customWidth="1"/>
    <col min="79" max="79" width="57.85546875" style="5156" customWidth="1"/>
    <col min="80" max="81" width="9.140625" style="5156"/>
    <col min="82" max="82" width="49.5703125" style="5156" customWidth="1"/>
  </cols>
  <sheetData>
    <row r="1" spans="1:79" s="5153" customFormat="1" ht="11.25" customHeight="1">
      <c r="A1" s="954" t="s">
        <v>1170</v>
      </c>
      <c r="B1" s="954" t="s">
        <v>1171</v>
      </c>
      <c r="C1" s="954" t="s">
        <v>1172</v>
      </c>
      <c r="D1" s="954" t="s">
        <v>1173</v>
      </c>
      <c r="E1" s="954" t="s">
        <v>1174</v>
      </c>
      <c r="F1" s="954" t="s">
        <v>1175</v>
      </c>
      <c r="G1" s="954" t="s">
        <v>1176</v>
      </c>
      <c r="H1" s="954" t="s">
        <v>1177</v>
      </c>
      <c r="I1" s="954" t="s">
        <v>1178</v>
      </c>
      <c r="J1" s="954" t="s">
        <v>1179</v>
      </c>
      <c r="K1" s="954" t="s">
        <v>1180</v>
      </c>
      <c r="L1" s="954" t="s">
        <v>1181</v>
      </c>
      <c r="M1" s="954"/>
      <c r="N1" s="954" t="s">
        <v>1182</v>
      </c>
      <c r="O1" s="954" t="s">
        <v>1183</v>
      </c>
      <c r="P1" s="954" t="s">
        <v>1184</v>
      </c>
      <c r="Q1" s="954" t="s">
        <v>1185</v>
      </c>
      <c r="R1" s="954" t="s">
        <v>1186</v>
      </c>
      <c r="S1" s="954" t="s">
        <v>1187</v>
      </c>
      <c r="T1" s="954" t="s">
        <v>1188</v>
      </c>
      <c r="U1" s="954" t="s">
        <v>1189</v>
      </c>
      <c r="V1" s="954"/>
      <c r="W1" s="696" t="s">
        <v>1190</v>
      </c>
      <c r="X1" s="954" t="s">
        <v>1191</v>
      </c>
      <c r="Y1" s="954" t="s">
        <v>1192</v>
      </c>
      <c r="Z1" s="954"/>
      <c r="AA1" s="954" t="s">
        <v>1193</v>
      </c>
      <c r="AB1" s="954"/>
      <c r="AC1" s="954" t="s">
        <v>1194</v>
      </c>
      <c r="AD1" s="954"/>
      <c r="AF1" s="954" t="s">
        <v>1195</v>
      </c>
      <c r="AH1" s="954" t="s">
        <v>1196</v>
      </c>
      <c r="AI1" s="954" t="s">
        <v>1197</v>
      </c>
      <c r="AK1" s="954" t="s">
        <v>1198</v>
      </c>
      <c r="AM1" s="954" t="s">
        <v>1199</v>
      </c>
      <c r="AP1" s="954" t="s">
        <v>1200</v>
      </c>
      <c r="AQ1" s="954" t="s">
        <v>1201</v>
      </c>
      <c r="AS1" s="954" t="s">
        <v>1202</v>
      </c>
      <c r="AU1" s="954" t="s">
        <v>1203</v>
      </c>
      <c r="AW1" s="954" t="s">
        <v>1204</v>
      </c>
      <c r="AX1" s="954" t="s">
        <v>1205</v>
      </c>
      <c r="AZ1" s="1034" t="s">
        <v>1206</v>
      </c>
      <c r="BB1" s="954" t="s">
        <v>1207</v>
      </c>
      <c r="BC1" s="954"/>
      <c r="BE1" s="954" t="s">
        <v>1208</v>
      </c>
      <c r="BF1" s="954" t="s">
        <v>1209</v>
      </c>
      <c r="BH1" s="956" t="s">
        <v>811</v>
      </c>
      <c r="BI1" s="957"/>
      <c r="BJ1" s="958" t="s">
        <v>1210</v>
      </c>
      <c r="BK1" s="957"/>
      <c r="BL1" s="959" t="s">
        <v>912</v>
      </c>
      <c r="BM1" s="957"/>
      <c r="BN1" s="960" t="s">
        <v>1211</v>
      </c>
      <c r="BS1" s="1304"/>
    </row>
    <row r="2" spans="1:79" ht="11.25" customHeight="1">
      <c r="A2" s="961" t="s">
        <v>1212</v>
      </c>
      <c r="B2" s="962">
        <v>2000</v>
      </c>
      <c r="C2" s="962">
        <v>2022</v>
      </c>
      <c r="D2" s="962" t="s">
        <v>64</v>
      </c>
      <c r="E2" s="963" t="s">
        <v>1213</v>
      </c>
      <c r="F2" s="963" t="s">
        <v>1214</v>
      </c>
      <c r="G2" s="963" t="s">
        <v>1215</v>
      </c>
      <c r="H2" s="964" t="s">
        <v>52</v>
      </c>
      <c r="I2" s="963" t="s">
        <v>129</v>
      </c>
      <c r="J2" s="963" t="s">
        <v>1216</v>
      </c>
      <c r="K2" s="965" t="s">
        <v>1217</v>
      </c>
      <c r="L2" s="966"/>
      <c r="M2" s="965">
        <v>1</v>
      </c>
      <c r="N2" s="1044" t="s">
        <v>1218</v>
      </c>
      <c r="O2" s="964" t="s">
        <v>1219</v>
      </c>
      <c r="P2" s="967" t="s">
        <v>33</v>
      </c>
      <c r="Q2" s="968" t="s">
        <v>1220</v>
      </c>
      <c r="R2" s="70" t="s">
        <v>1221</v>
      </c>
      <c r="S2" s="70" t="s">
        <v>1222</v>
      </c>
      <c r="T2" s="969" t="s">
        <v>1223</v>
      </c>
      <c r="U2" s="966" t="s">
        <v>1224</v>
      </c>
      <c r="V2" s="970">
        <v>1</v>
      </c>
      <c r="W2" s="971"/>
      <c r="X2" s="971" t="s">
        <v>1225</v>
      </c>
      <c r="Y2" s="962" t="s">
        <v>1226</v>
      </c>
      <c r="Z2" s="972"/>
      <c r="AA2" s="962" t="s">
        <v>1227</v>
      </c>
      <c r="AB2" s="973" t="s">
        <v>1227</v>
      </c>
      <c r="AC2" s="962" t="s">
        <v>1228</v>
      </c>
      <c r="AD2" s="973" t="s">
        <v>1228</v>
      </c>
      <c r="AF2" s="964" t="s">
        <v>1224</v>
      </c>
      <c r="AH2" s="963" t="s">
        <v>1229</v>
      </c>
      <c r="AI2" s="963" t="s">
        <v>1229</v>
      </c>
      <c r="AK2" s="963" t="s">
        <v>1230</v>
      </c>
      <c r="AM2" s="963" t="s">
        <v>1231</v>
      </c>
      <c r="AP2" s="974" t="s">
        <v>1225</v>
      </c>
      <c r="AQ2" s="975" t="s">
        <v>1225</v>
      </c>
      <c r="AS2" s="962" t="s">
        <v>1232</v>
      </c>
      <c r="AU2" s="1005" t="s">
        <v>1233</v>
      </c>
      <c r="AW2" s="1005" t="s">
        <v>1234</v>
      </c>
      <c r="AX2" s="1005" t="s">
        <v>1234</v>
      </c>
      <c r="AZ2" s="1005" t="s">
        <v>1235</v>
      </c>
      <c r="BB2" s="1005" t="s">
        <v>1236</v>
      </c>
      <c r="BC2" s="1005" t="s">
        <v>1237</v>
      </c>
      <c r="BE2" s="1005">
        <v>2000</v>
      </c>
      <c r="BF2" s="1005" t="s">
        <v>1238</v>
      </c>
    </row>
    <row r="3" spans="1:79" ht="11.25" customHeight="1">
      <c r="A3" s="961" t="s">
        <v>1239</v>
      </c>
      <c r="B3" s="962">
        <v>2001</v>
      </c>
      <c r="C3" s="962">
        <v>2023</v>
      </c>
      <c r="D3" s="962" t="s">
        <v>54</v>
      </c>
      <c r="E3" s="963" t="s">
        <v>1240</v>
      </c>
      <c r="F3" s="963" t="s">
        <v>1241</v>
      </c>
      <c r="G3" s="963" t="s">
        <v>1242</v>
      </c>
      <c r="H3" s="964" t="s">
        <v>1243</v>
      </c>
      <c r="I3" s="963" t="s">
        <v>100</v>
      </c>
      <c r="J3" s="963" t="s">
        <v>645</v>
      </c>
      <c r="K3" s="965" t="s">
        <v>1244</v>
      </c>
      <c r="L3" s="966">
        <f>IFERROR(MATCH(K3,OFFER_METHOD,0),0)</f>
        <v>0</v>
      </c>
      <c r="M3" s="965">
        <v>2</v>
      </c>
      <c r="N3" s="1044" t="s">
        <v>1245</v>
      </c>
      <c r="O3" s="964" t="s">
        <v>1246</v>
      </c>
      <c r="P3" s="967" t="s">
        <v>1247</v>
      </c>
      <c r="Q3" s="968" t="s">
        <v>1248</v>
      </c>
      <c r="R3" s="70" t="s">
        <v>1249</v>
      </c>
      <c r="S3" s="70" t="s">
        <v>1250</v>
      </c>
      <c r="T3" s="969" t="s">
        <v>1251</v>
      </c>
      <c r="U3" s="966" t="s">
        <v>1252</v>
      </c>
      <c r="V3" s="970">
        <v>2</v>
      </c>
      <c r="W3" s="971"/>
      <c r="X3" s="971" t="s">
        <v>1253</v>
      </c>
      <c r="Y3" s="962" t="s">
        <v>1226</v>
      </c>
      <c r="Z3" s="972"/>
      <c r="AA3" s="962" t="s">
        <v>1254</v>
      </c>
      <c r="AB3" s="973" t="s">
        <v>1254</v>
      </c>
      <c r="AC3" s="962" t="s">
        <v>1255</v>
      </c>
      <c r="AD3" s="973" t="s">
        <v>1255</v>
      </c>
      <c r="AF3" s="964" t="s">
        <v>1252</v>
      </c>
      <c r="AH3" s="963" t="s">
        <v>1256</v>
      </c>
      <c r="AI3" s="963" t="s">
        <v>1257</v>
      </c>
      <c r="AK3" s="963" t="s">
        <v>1258</v>
      </c>
      <c r="AM3" s="963" t="s">
        <v>1259</v>
      </c>
      <c r="AP3" s="974" t="s">
        <v>1260</v>
      </c>
      <c r="AQ3" s="975" t="s">
        <v>1260</v>
      </c>
      <c r="AS3" s="962" t="s">
        <v>1261</v>
      </c>
      <c r="AU3" s="1005" t="s">
        <v>1262</v>
      </c>
      <c r="AW3" s="1005" t="s">
        <v>1263</v>
      </c>
      <c r="AX3" s="1005" t="s">
        <v>1263</v>
      </c>
      <c r="AZ3" s="1005" t="s">
        <v>1264</v>
      </c>
      <c r="BB3" s="1005" t="s">
        <v>1265</v>
      </c>
      <c r="BC3" s="1005" t="s">
        <v>1237</v>
      </c>
      <c r="BE3" s="1005">
        <v>2001</v>
      </c>
      <c r="BF3" s="1005" t="s">
        <v>1266</v>
      </c>
      <c r="BH3" s="954" t="s">
        <v>1267</v>
      </c>
      <c r="BJ3" s="954" t="s">
        <v>1268</v>
      </c>
      <c r="BL3" s="954" t="s">
        <v>1269</v>
      </c>
      <c r="BN3" s="954" t="s">
        <v>1270</v>
      </c>
      <c r="BR3" s="954" t="s">
        <v>1271</v>
      </c>
      <c r="BS3" s="1305"/>
      <c r="BT3" s="957"/>
      <c r="BU3" s="954" t="s">
        <v>1272</v>
      </c>
      <c r="BV3" s="957"/>
      <c r="BW3" s="1554"/>
      <c r="BX3" s="1556" t="s">
        <v>1273</v>
      </c>
      <c r="CA3" s="954" t="s">
        <v>1274</v>
      </c>
    </row>
    <row r="4" spans="1:79" ht="11.25" customHeight="1">
      <c r="A4" s="961" t="s">
        <v>1275</v>
      </c>
      <c r="B4" s="962">
        <v>2002</v>
      </c>
      <c r="C4" s="962">
        <v>2024</v>
      </c>
      <c r="E4" s="963" t="s">
        <v>1276</v>
      </c>
      <c r="F4" s="963" t="s">
        <v>1277</v>
      </c>
      <c r="H4" s="964" t="s">
        <v>1278</v>
      </c>
      <c r="I4" s="963" t="s">
        <v>87</v>
      </c>
      <c r="J4" s="963" t="s">
        <v>1279</v>
      </c>
      <c r="K4" s="965" t="s">
        <v>1280</v>
      </c>
      <c r="L4" s="966">
        <f>IFERROR(MATCH(K4,OFFER_METHOD,0),0)</f>
        <v>0</v>
      </c>
      <c r="M4" s="965">
        <v>3</v>
      </c>
      <c r="N4" s="1044" t="s">
        <v>1281</v>
      </c>
      <c r="O4" s="963" t="s">
        <v>1282</v>
      </c>
      <c r="Q4" s="968" t="s">
        <v>1283</v>
      </c>
      <c r="R4" s="70" t="s">
        <v>1284</v>
      </c>
      <c r="S4" s="70" t="s">
        <v>1285</v>
      </c>
      <c r="T4" s="969" t="s">
        <v>1286</v>
      </c>
      <c r="U4" s="966" t="s">
        <v>1287</v>
      </c>
      <c r="V4" s="970">
        <v>3</v>
      </c>
      <c r="W4" s="971"/>
      <c r="X4" s="971" t="s">
        <v>1288</v>
      </c>
      <c r="Y4" s="962" t="s">
        <v>1226</v>
      </c>
      <c r="Z4" s="977"/>
      <c r="AC4" s="962" t="s">
        <v>1289</v>
      </c>
      <c r="AD4" s="973" t="s">
        <v>1289</v>
      </c>
      <c r="AF4" s="964" t="s">
        <v>1287</v>
      </c>
      <c r="AH4" s="964" t="s">
        <v>1290</v>
      </c>
      <c r="AK4" s="963" t="s">
        <v>1291</v>
      </c>
      <c r="AM4" s="963" t="s">
        <v>1292</v>
      </c>
      <c r="AP4" s="974" t="s">
        <v>1253</v>
      </c>
      <c r="AQ4" s="975" t="s">
        <v>1253</v>
      </c>
      <c r="AS4" s="962" t="s">
        <v>1293</v>
      </c>
      <c r="AU4" s="1005" t="s">
        <v>1294</v>
      </c>
      <c r="AW4" s="1005" t="s">
        <v>1295</v>
      </c>
      <c r="AX4" s="1005" t="s">
        <v>1295</v>
      </c>
      <c r="AZ4" s="1005" t="s">
        <v>1296</v>
      </c>
      <c r="BB4" s="1005" t="s">
        <v>1297</v>
      </c>
      <c r="BC4" s="1005" t="s">
        <v>1298</v>
      </c>
      <c r="BE4" s="1005">
        <v>2002</v>
      </c>
      <c r="BF4" s="1005" t="s">
        <v>1299</v>
      </c>
      <c r="BH4" s="955" t="s">
        <v>1300</v>
      </c>
      <c r="BJ4" s="955" t="s">
        <v>1300</v>
      </c>
      <c r="BL4" s="955" t="s">
        <v>1300</v>
      </c>
      <c r="BN4" s="955" t="s">
        <v>1300</v>
      </c>
      <c r="BQ4" s="1309" t="s">
        <v>1301</v>
      </c>
      <c r="BR4" s="1041" t="s">
        <v>1302</v>
      </c>
      <c r="BS4" s="194"/>
      <c r="BT4" s="1309" t="s">
        <v>1303</v>
      </c>
      <c r="BU4" s="1041" t="s">
        <v>1304</v>
      </c>
      <c r="BV4" s="957"/>
      <c r="BW4" s="1561" t="s">
        <v>1305</v>
      </c>
      <c r="BX4" s="1555" t="s">
        <v>1306</v>
      </c>
      <c r="BZ4" s="1309" t="s">
        <v>1307</v>
      </c>
      <c r="CA4" s="1041" t="s">
        <v>1308</v>
      </c>
    </row>
    <row r="5" spans="1:79" ht="11.25" customHeight="1">
      <c r="A5" s="961" t="s">
        <v>1309</v>
      </c>
      <c r="B5" s="962">
        <v>2003</v>
      </c>
      <c r="C5" s="962">
        <v>2025</v>
      </c>
      <c r="E5" s="963" t="s">
        <v>1310</v>
      </c>
      <c r="F5" s="963" t="s">
        <v>1311</v>
      </c>
      <c r="H5" s="964" t="s">
        <v>1312</v>
      </c>
      <c r="I5" s="963" t="s">
        <v>88</v>
      </c>
      <c r="K5" s="965" t="s">
        <v>1313</v>
      </c>
      <c r="L5" s="966">
        <f>IFERROR(MATCH(K5,OFFER_METHOD,0),0)</f>
        <v>0</v>
      </c>
      <c r="M5" s="965">
        <v>4</v>
      </c>
      <c r="N5" s="978" t="s">
        <v>1314</v>
      </c>
      <c r="O5" s="963" t="s">
        <v>1315</v>
      </c>
      <c r="Q5" s="968" t="s">
        <v>1316</v>
      </c>
      <c r="R5" s="70" t="s">
        <v>619</v>
      </c>
      <c r="T5" s="964" t="s">
        <v>1317</v>
      </c>
      <c r="U5" s="966" t="s">
        <v>1318</v>
      </c>
      <c r="V5" s="970">
        <v>4</v>
      </c>
      <c r="W5" s="971"/>
      <c r="X5" s="971" t="s">
        <v>183</v>
      </c>
      <c r="Y5" s="962" t="s">
        <v>1319</v>
      </c>
      <c r="Z5" s="977">
        <v>1</v>
      </c>
      <c r="AF5" s="964" t="s">
        <v>1320</v>
      </c>
      <c r="AH5" s="963" t="s">
        <v>1321</v>
      </c>
      <c r="AK5" s="963" t="s">
        <v>1322</v>
      </c>
      <c r="AM5" s="963" t="s">
        <v>1323</v>
      </c>
      <c r="AP5" s="974" t="s">
        <v>183</v>
      </c>
      <c r="AQ5" s="975" t="s">
        <v>183</v>
      </c>
      <c r="AU5" s="1005" t="s">
        <v>1324</v>
      </c>
      <c r="AW5" s="1005" t="s">
        <v>1325</v>
      </c>
      <c r="AX5" s="1005" t="s">
        <v>1325</v>
      </c>
      <c r="AZ5" s="1005" t="s">
        <v>1326</v>
      </c>
      <c r="BB5" s="1005" t="s">
        <v>1327</v>
      </c>
      <c r="BC5" s="1005" t="s">
        <v>1328</v>
      </c>
      <c r="BE5" s="1005">
        <v>2003</v>
      </c>
      <c r="BF5" s="1005" t="s">
        <v>1329</v>
      </c>
      <c r="BH5" s="955" t="s">
        <v>1330</v>
      </c>
      <c r="BJ5" s="955" t="s">
        <v>1330</v>
      </c>
      <c r="BL5" s="955" t="s">
        <v>1330</v>
      </c>
      <c r="BN5" s="955" t="s">
        <v>1331</v>
      </c>
      <c r="BQ5" s="1164">
        <v>4213775</v>
      </c>
      <c r="BR5" s="955" t="s">
        <v>1225</v>
      </c>
      <c r="BS5" s="1306"/>
      <c r="BT5" s="1164">
        <v>64236871</v>
      </c>
      <c r="BU5" s="955" t="s">
        <v>244</v>
      </c>
      <c r="BV5" s="957"/>
      <c r="BW5" s="1559">
        <v>4213767</v>
      </c>
      <c r="BX5" s="1557" t="s">
        <v>1332</v>
      </c>
      <c r="BZ5" s="1164">
        <v>64237509</v>
      </c>
      <c r="CA5" s="1176" t="s">
        <v>1333</v>
      </c>
    </row>
    <row r="6" spans="1:79" ht="11.25" customHeight="1">
      <c r="A6" s="961" t="s">
        <v>1334</v>
      </c>
      <c r="B6" s="962">
        <v>2004</v>
      </c>
      <c r="C6" s="962">
        <v>2026</v>
      </c>
      <c r="E6" s="963" t="s">
        <v>1335</v>
      </c>
      <c r="F6" s="979"/>
      <c r="H6" s="964" t="s">
        <v>1336</v>
      </c>
      <c r="I6" s="963" t="s">
        <v>114</v>
      </c>
      <c r="J6" s="954" t="s">
        <v>1337</v>
      </c>
      <c r="L6" s="966">
        <f>SUM(kind_of_control_method_filter)</f>
        <v>0</v>
      </c>
      <c r="N6" s="978" t="s">
        <v>1338</v>
      </c>
      <c r="O6" s="963" t="s">
        <v>1339</v>
      </c>
      <c r="R6" s="70" t="s">
        <v>1220</v>
      </c>
      <c r="T6" s="964" t="s">
        <v>1340</v>
      </c>
      <c r="U6" s="966" t="s">
        <v>1320</v>
      </c>
      <c r="V6" s="970">
        <v>5</v>
      </c>
      <c r="W6" s="971"/>
      <c r="X6" s="962" t="s">
        <v>189</v>
      </c>
      <c r="Y6" s="962" t="s">
        <v>1341</v>
      </c>
      <c r="Z6" s="977"/>
      <c r="AA6" s="980"/>
      <c r="AH6" s="963" t="s">
        <v>1342</v>
      </c>
      <c r="AK6" s="963" t="s">
        <v>1343</v>
      </c>
      <c r="AM6" s="963" t="s">
        <v>1344</v>
      </c>
      <c r="AP6" s="974" t="s">
        <v>189</v>
      </c>
      <c r="AQ6" s="975" t="s">
        <v>189</v>
      </c>
      <c r="AU6" s="1005" t="s">
        <v>1345</v>
      </c>
      <c r="AW6" s="1005" t="s">
        <v>1346</v>
      </c>
      <c r="AX6" s="1005" t="s">
        <v>1346</v>
      </c>
      <c r="BB6" s="1005" t="s">
        <v>1347</v>
      </c>
      <c r="BC6" s="1005" t="s">
        <v>1328</v>
      </c>
      <c r="BE6" s="1005">
        <v>2004</v>
      </c>
      <c r="BF6" s="1005" t="s">
        <v>1348</v>
      </c>
      <c r="BH6" s="955" t="s">
        <v>1349</v>
      </c>
      <c r="BJ6" s="955" t="s">
        <v>1350</v>
      </c>
      <c r="BL6" s="955" t="s">
        <v>1350</v>
      </c>
      <c r="BN6" s="955" t="s">
        <v>1351</v>
      </c>
      <c r="BQ6" s="1164">
        <v>4213784</v>
      </c>
      <c r="BR6" s="1176" t="s">
        <v>1260</v>
      </c>
      <c r="BS6" s="1307"/>
      <c r="BT6" s="1164">
        <v>64236872</v>
      </c>
      <c r="BU6" s="955" t="s">
        <v>249</v>
      </c>
      <c r="BV6" s="957"/>
      <c r="BW6" s="1559">
        <v>4213768</v>
      </c>
      <c r="BX6" s="1557" t="s">
        <v>332</v>
      </c>
      <c r="BZ6" s="1164">
        <v>64237510</v>
      </c>
      <c r="CA6" s="955" t="s">
        <v>1352</v>
      </c>
    </row>
    <row r="7" spans="1:79" ht="11.25" customHeight="1">
      <c r="A7" s="961" t="s">
        <v>1353</v>
      </c>
      <c r="B7" s="962">
        <v>2005</v>
      </c>
      <c r="E7" s="963" t="s">
        <v>1354</v>
      </c>
      <c r="F7" s="979"/>
      <c r="H7" s="964" t="s">
        <v>1355</v>
      </c>
      <c r="I7" s="963" t="s">
        <v>89</v>
      </c>
      <c r="J7" s="963" t="s">
        <v>1356</v>
      </c>
      <c r="N7" s="982" t="s">
        <v>1357</v>
      </c>
      <c r="O7" s="963" t="s">
        <v>1358</v>
      </c>
      <c r="U7" s="966" t="s">
        <v>54</v>
      </c>
      <c r="V7" s="286" t="s">
        <v>89</v>
      </c>
      <c r="W7" s="971"/>
      <c r="X7" s="962" t="s">
        <v>195</v>
      </c>
      <c r="Y7" s="962" t="s">
        <v>1319</v>
      </c>
      <c r="Z7" s="977"/>
      <c r="AA7" s="980"/>
      <c r="AH7" s="963" t="s">
        <v>1359</v>
      </c>
      <c r="AK7" s="963" t="s">
        <v>1360</v>
      </c>
      <c r="AM7" s="963" t="s">
        <v>1361</v>
      </c>
      <c r="AP7" s="974" t="s">
        <v>195</v>
      </c>
      <c r="AQ7" s="975" t="s">
        <v>195</v>
      </c>
      <c r="AU7" s="1005" t="s">
        <v>1362</v>
      </c>
      <c r="AW7" s="1005" t="s">
        <v>1363</v>
      </c>
      <c r="AX7" s="1005" t="s">
        <v>1363</v>
      </c>
      <c r="AZ7" s="954" t="s">
        <v>1364</v>
      </c>
      <c r="BB7" s="1005" t="s">
        <v>1365</v>
      </c>
      <c r="BC7" s="1005" t="s">
        <v>1328</v>
      </c>
      <c r="BE7" s="1005">
        <v>2005</v>
      </c>
      <c r="BF7" s="1005" t="s">
        <v>1366</v>
      </c>
      <c r="BH7" s="955" t="s">
        <v>1367</v>
      </c>
      <c r="BJ7" s="955" t="s">
        <v>1349</v>
      </c>
      <c r="BL7" s="955" t="s">
        <v>1349</v>
      </c>
      <c r="BN7" s="955" t="s">
        <v>1368</v>
      </c>
      <c r="BQ7" s="1164">
        <v>4213781</v>
      </c>
      <c r="BR7" s="955" t="s">
        <v>1253</v>
      </c>
      <c r="BS7" s="1306"/>
      <c r="BT7" s="1164">
        <v>64236873</v>
      </c>
      <c r="BU7" s="955" t="s">
        <v>254</v>
      </c>
      <c r="BV7" s="957"/>
      <c r="BW7" s="1559">
        <v>4213769</v>
      </c>
      <c r="BX7" s="1557" t="s">
        <v>1369</v>
      </c>
      <c r="BZ7" s="1164">
        <v>64237511</v>
      </c>
      <c r="CA7" s="955" t="s">
        <v>347</v>
      </c>
    </row>
    <row r="8" spans="1:79" ht="11.25" customHeight="1">
      <c r="A8" s="961" t="s">
        <v>1370</v>
      </c>
      <c r="B8" s="962">
        <v>2006</v>
      </c>
      <c r="E8" s="963" t="s">
        <v>1371</v>
      </c>
      <c r="F8" s="979"/>
      <c r="H8" s="964" t="s">
        <v>1372</v>
      </c>
      <c r="I8" s="963" t="s">
        <v>90</v>
      </c>
      <c r="J8" s="963" t="s">
        <v>1373</v>
      </c>
      <c r="N8" s="1045" t="s">
        <v>1374</v>
      </c>
      <c r="O8" s="963" t="s">
        <v>1375</v>
      </c>
      <c r="V8" s="286" t="s">
        <v>90</v>
      </c>
      <c r="W8" s="971"/>
      <c r="X8" s="962" t="s">
        <v>201</v>
      </c>
      <c r="Y8" s="962" t="s">
        <v>1319</v>
      </c>
      <c r="Z8" s="977"/>
      <c r="AA8" s="980"/>
      <c r="AK8" s="963" t="s">
        <v>1376</v>
      </c>
      <c r="AP8" s="974" t="s">
        <v>201</v>
      </c>
      <c r="AQ8" s="975" t="s">
        <v>201</v>
      </c>
      <c r="AU8" s="1005" t="s">
        <v>1377</v>
      </c>
      <c r="AW8" s="1005" t="s">
        <v>1378</v>
      </c>
      <c r="AX8" s="1005" t="s">
        <v>1378</v>
      </c>
      <c r="AZ8" s="1005" t="s">
        <v>1379</v>
      </c>
      <c r="BB8" s="1005" t="s">
        <v>1380</v>
      </c>
      <c r="BC8" s="1005" t="s">
        <v>1328</v>
      </c>
      <c r="BE8" s="1005">
        <v>2006</v>
      </c>
      <c r="BF8" s="1005" t="s">
        <v>1381</v>
      </c>
      <c r="BH8" s="955" t="s">
        <v>1382</v>
      </c>
      <c r="BJ8" s="955" t="s">
        <v>1383</v>
      </c>
      <c r="BL8" s="955" t="s">
        <v>1383</v>
      </c>
      <c r="BN8" s="955" t="s">
        <v>1384</v>
      </c>
      <c r="BQ8" s="1164">
        <v>4213776</v>
      </c>
      <c r="BR8" s="955" t="s">
        <v>183</v>
      </c>
      <c r="BS8" s="1306"/>
      <c r="BT8" s="1164">
        <v>64236874</v>
      </c>
      <c r="BU8" s="1176" t="s">
        <v>1385</v>
      </c>
      <c r="BV8" s="957"/>
      <c r="BW8" s="1559">
        <v>4213770</v>
      </c>
      <c r="BX8" s="1560" t="s">
        <v>1386</v>
      </c>
      <c r="BZ8" s="1164">
        <v>64237512</v>
      </c>
      <c r="CA8" s="955" t="s">
        <v>342</v>
      </c>
    </row>
    <row r="9" spans="1:79" ht="11.25" customHeight="1">
      <c r="A9" s="961" t="s">
        <v>1387</v>
      </c>
      <c r="B9" s="962">
        <v>2007</v>
      </c>
      <c r="E9" s="963" t="s">
        <v>1388</v>
      </c>
      <c r="F9" s="979"/>
      <c r="G9" s="954" t="s">
        <v>1389</v>
      </c>
      <c r="H9" s="954" t="s">
        <v>1390</v>
      </c>
      <c r="I9" s="963" t="s">
        <v>130</v>
      </c>
      <c r="O9" s="963" t="s">
        <v>1391</v>
      </c>
      <c r="V9" s="286" t="s">
        <v>130</v>
      </c>
      <c r="W9" s="971"/>
      <c r="X9" s="962" t="s">
        <v>207</v>
      </c>
      <c r="Y9" s="962" t="s">
        <v>1226</v>
      </c>
      <c r="Z9" s="977">
        <v>1</v>
      </c>
      <c r="AA9" s="980"/>
      <c r="AK9" s="963" t="s">
        <v>1392</v>
      </c>
      <c r="AP9" s="974" t="s">
        <v>1393</v>
      </c>
      <c r="AQ9" s="975" t="s">
        <v>1393</v>
      </c>
      <c r="AW9" s="1005" t="s">
        <v>1394</v>
      </c>
      <c r="AX9" s="1005" t="s">
        <v>1394</v>
      </c>
      <c r="AZ9" s="1005" t="s">
        <v>1395</v>
      </c>
      <c r="BB9" s="1005" t="s">
        <v>1396</v>
      </c>
      <c r="BC9" s="1005" t="s">
        <v>1328</v>
      </c>
      <c r="BE9" s="1005">
        <v>2007</v>
      </c>
      <c r="BF9" s="1005" t="s">
        <v>1397</v>
      </c>
      <c r="BH9" s="955" t="s">
        <v>1398</v>
      </c>
      <c r="BJ9" s="955" t="s">
        <v>1399</v>
      </c>
      <c r="BL9" s="955" t="s">
        <v>1399</v>
      </c>
      <c r="BN9" s="955" t="s">
        <v>1400</v>
      </c>
      <c r="BQ9" s="1164">
        <v>4213777</v>
      </c>
      <c r="BR9" s="955" t="s">
        <v>189</v>
      </c>
      <c r="BS9" s="1306"/>
      <c r="BT9" s="1164">
        <v>64236875</v>
      </c>
      <c r="BU9" s="955" t="s">
        <v>259</v>
      </c>
      <c r="BV9" s="957"/>
      <c r="BW9" s="1554"/>
      <c r="BX9" s="1554"/>
    </row>
    <row r="10" spans="1:79" ht="11.25" customHeight="1">
      <c r="A10" s="961" t="s">
        <v>1401</v>
      </c>
      <c r="B10" s="962">
        <v>2008</v>
      </c>
      <c r="E10" s="963" t="s">
        <v>1402</v>
      </c>
      <c r="F10" s="979"/>
      <c r="G10" s="963" t="s">
        <v>1403</v>
      </c>
      <c r="H10" s="963" t="s">
        <v>1404</v>
      </c>
      <c r="I10" s="963" t="s">
        <v>166</v>
      </c>
      <c r="J10" s="954" t="s">
        <v>1405</v>
      </c>
      <c r="K10" s="954" t="s">
        <v>1406</v>
      </c>
      <c r="O10" s="963" t="s">
        <v>1407</v>
      </c>
      <c r="V10" s="287" t="s">
        <v>166</v>
      </c>
      <c r="W10" s="983"/>
      <c r="X10" s="983" t="s">
        <v>219</v>
      </c>
      <c r="Y10" s="984" t="s">
        <v>1408</v>
      </c>
      <c r="Z10" s="977"/>
      <c r="AP10" s="974" t="s">
        <v>219</v>
      </c>
      <c r="AQ10" s="975" t="s">
        <v>219</v>
      </c>
      <c r="AW10" s="1005" t="s">
        <v>1409</v>
      </c>
      <c r="AX10" s="1005" t="s">
        <v>1409</v>
      </c>
      <c r="AZ10" s="1005" t="s">
        <v>1410</v>
      </c>
      <c r="BB10" s="1005" t="s">
        <v>1411</v>
      </c>
      <c r="BC10" s="1005" t="s">
        <v>1328</v>
      </c>
      <c r="BE10" s="1005">
        <v>2008</v>
      </c>
      <c r="BF10" s="1005" t="s">
        <v>1412</v>
      </c>
      <c r="BH10" s="955" t="s">
        <v>1413</v>
      </c>
      <c r="BJ10" s="955" t="s">
        <v>1414</v>
      </c>
      <c r="BL10" s="955" t="s">
        <v>1414</v>
      </c>
      <c r="BN10" s="955" t="s">
        <v>1415</v>
      </c>
      <c r="BQ10" s="1164">
        <v>4213778</v>
      </c>
      <c r="BR10" s="955" t="s">
        <v>195</v>
      </c>
      <c r="BS10" s="1306"/>
      <c r="BT10" s="1164">
        <v>64236876</v>
      </c>
      <c r="BU10" s="955" t="s">
        <v>239</v>
      </c>
      <c r="BV10" s="957"/>
      <c r="BW10" s="1554"/>
      <c r="BX10" s="1554"/>
    </row>
    <row r="11" spans="1:79" ht="11.25" customHeight="1">
      <c r="A11" s="961" t="s">
        <v>1416</v>
      </c>
      <c r="B11" s="962">
        <v>2009</v>
      </c>
      <c r="E11" s="963" t="s">
        <v>1417</v>
      </c>
      <c r="F11" s="979"/>
      <c r="G11" s="963" t="s">
        <v>1418</v>
      </c>
      <c r="H11" s="963" t="s">
        <v>1419</v>
      </c>
      <c r="I11" s="963" t="s">
        <v>167</v>
      </c>
      <c r="J11" s="964" t="s">
        <v>1420</v>
      </c>
      <c r="K11" s="985" t="s">
        <v>1421</v>
      </c>
      <c r="O11" s="964" t="s">
        <v>1422</v>
      </c>
      <c r="V11" s="286" t="s">
        <v>167</v>
      </c>
      <c r="W11" s="195"/>
      <c r="X11" s="971" t="s">
        <v>1393</v>
      </c>
      <c r="Y11" s="962" t="s">
        <v>1423</v>
      </c>
      <c r="Z11" s="977"/>
      <c r="AP11" s="974" t="s">
        <v>207</v>
      </c>
      <c r="AQ11" s="976" t="s">
        <v>207</v>
      </c>
      <c r="AW11" s="1005" t="s">
        <v>1424</v>
      </c>
      <c r="AX11" s="1005" t="s">
        <v>1424</v>
      </c>
      <c r="AZ11" s="1005" t="s">
        <v>1425</v>
      </c>
      <c r="BB11" s="1005" t="s">
        <v>1426</v>
      </c>
      <c r="BC11" s="1005" t="s">
        <v>1328</v>
      </c>
      <c r="BE11" s="1005">
        <v>2009</v>
      </c>
      <c r="BF11" s="1005" t="s">
        <v>1427</v>
      </c>
      <c r="BH11" s="955" t="s">
        <v>1428</v>
      </c>
      <c r="BJ11" s="955" t="s">
        <v>1398</v>
      </c>
      <c r="BL11" s="955" t="s">
        <v>1398</v>
      </c>
      <c r="BN11" s="955" t="s">
        <v>1429</v>
      </c>
      <c r="BQ11" s="1164">
        <v>4213780</v>
      </c>
      <c r="BR11" s="955" t="s">
        <v>201</v>
      </c>
      <c r="BS11" s="1306"/>
      <c r="BW11" s="1554"/>
      <c r="BX11" s="1554"/>
    </row>
    <row r="12" spans="1:79" ht="11.25" customHeight="1">
      <c r="A12" s="961" t="s">
        <v>1430</v>
      </c>
      <c r="B12" s="962">
        <v>2010</v>
      </c>
      <c r="E12" s="963" t="s">
        <v>1431</v>
      </c>
      <c r="F12" s="979"/>
      <c r="G12" s="963" t="s">
        <v>1419</v>
      </c>
      <c r="I12" s="963" t="s">
        <v>168</v>
      </c>
      <c r="J12" s="964" t="s">
        <v>1432</v>
      </c>
      <c r="K12" s="985" t="s">
        <v>1433</v>
      </c>
      <c r="O12" s="964" t="s">
        <v>1220</v>
      </c>
      <c r="V12" s="286" t="s">
        <v>168</v>
      </c>
      <c r="W12" s="976"/>
      <c r="X12" s="971" t="s">
        <v>1434</v>
      </c>
      <c r="Y12" s="962" t="s">
        <v>1226</v>
      </c>
      <c r="AP12" s="974"/>
      <c r="AW12" s="1005" t="s">
        <v>167</v>
      </c>
      <c r="AX12" s="1005" t="s">
        <v>167</v>
      </c>
      <c r="AZ12" s="1005" t="s">
        <v>1435</v>
      </c>
      <c r="BB12" s="1005" t="s">
        <v>1436</v>
      </c>
      <c r="BC12" s="1005" t="s">
        <v>1328</v>
      </c>
      <c r="BE12" s="1005">
        <v>2010</v>
      </c>
      <c r="BF12" s="1005" t="s">
        <v>1437</v>
      </c>
      <c r="BH12" s="955" t="s">
        <v>1438</v>
      </c>
      <c r="BJ12" s="955" t="s">
        <v>1439</v>
      </c>
      <c r="BL12" s="955" t="s">
        <v>1439</v>
      </c>
      <c r="BN12" s="955" t="s">
        <v>1440</v>
      </c>
      <c r="BQ12" s="1164">
        <v>4213779</v>
      </c>
      <c r="BR12" s="955" t="s">
        <v>1393</v>
      </c>
      <c r="BS12" s="1306"/>
      <c r="BT12" s="957"/>
      <c r="BU12" s="957"/>
      <c r="BV12" s="957"/>
      <c r="BW12" s="1554"/>
      <c r="BX12" s="1554"/>
    </row>
    <row r="13" spans="1:79" ht="11.25" customHeight="1">
      <c r="A13" s="961" t="s">
        <v>1441</v>
      </c>
      <c r="B13" s="962">
        <v>2011</v>
      </c>
      <c r="E13" s="963" t="s">
        <v>1442</v>
      </c>
      <c r="F13" s="979"/>
      <c r="I13" s="963" t="s">
        <v>97</v>
      </c>
      <c r="K13" s="985" t="s">
        <v>1392</v>
      </c>
      <c r="V13" s="286" t="s">
        <v>97</v>
      </c>
      <c r="W13" s="976"/>
      <c r="X13" s="976"/>
      <c r="Y13" s="976"/>
      <c r="AW13" s="1005" t="s">
        <v>168</v>
      </c>
      <c r="AX13" s="1005" t="s">
        <v>168</v>
      </c>
      <c r="BB13" s="1005" t="s">
        <v>1443</v>
      </c>
      <c r="BC13" s="1005" t="s">
        <v>1444</v>
      </c>
      <c r="BE13" s="1005">
        <v>2011</v>
      </c>
      <c r="BF13" s="1005" t="s">
        <v>1445</v>
      </c>
      <c r="BH13" s="955" t="s">
        <v>1446</v>
      </c>
      <c r="BJ13" s="955" t="s">
        <v>1428</v>
      </c>
      <c r="BL13" s="955" t="s">
        <v>1428</v>
      </c>
      <c r="BN13" s="955" t="s">
        <v>1447</v>
      </c>
      <c r="BQ13" s="1164">
        <v>4213783</v>
      </c>
      <c r="BR13" s="955" t="s">
        <v>219</v>
      </c>
      <c r="BS13" s="1306"/>
      <c r="BT13" s="957"/>
      <c r="BU13" s="957"/>
      <c r="BV13" s="957"/>
      <c r="BW13" s="1558"/>
      <c r="BX13" s="1554"/>
    </row>
    <row r="14" spans="1:79" ht="11.25" customHeight="1">
      <c r="A14" s="961" t="s">
        <v>1448</v>
      </c>
      <c r="B14" s="962">
        <v>2012</v>
      </c>
      <c r="I14" s="963" t="s">
        <v>169</v>
      </c>
      <c r="J14" s="954" t="s">
        <v>1449</v>
      </c>
      <c r="N14" s="954" t="s">
        <v>1450</v>
      </c>
      <c r="V14" s="970">
        <v>13</v>
      </c>
      <c r="W14" s="971"/>
      <c r="X14" s="971" t="s">
        <v>1260</v>
      </c>
      <c r="Y14" s="962" t="s">
        <v>1226</v>
      </c>
      <c r="AW14" s="1005" t="s">
        <v>97</v>
      </c>
      <c r="AX14" s="1005" t="s">
        <v>97</v>
      </c>
      <c r="AZ14" s="954" t="s">
        <v>1451</v>
      </c>
      <c r="BB14" s="1005" t="s">
        <v>1452</v>
      </c>
      <c r="BC14" s="1005" t="s">
        <v>1444</v>
      </c>
      <c r="BE14" s="1005">
        <v>2012</v>
      </c>
      <c r="BH14" s="955" t="s">
        <v>1368</v>
      </c>
      <c r="BJ14" s="1101" t="s">
        <v>1453</v>
      </c>
      <c r="BL14" s="1101" t="s">
        <v>1453</v>
      </c>
      <c r="BN14" s="955" t="s">
        <v>1454</v>
      </c>
      <c r="BQ14" s="1164">
        <v>4213782</v>
      </c>
      <c r="BR14" s="955" t="s">
        <v>207</v>
      </c>
      <c r="BS14" s="1306"/>
      <c r="BT14" s="957"/>
      <c r="BU14" s="957"/>
      <c r="BV14" s="957"/>
      <c r="BW14" s="1558"/>
      <c r="BX14" s="1554"/>
    </row>
    <row r="15" spans="1:79" ht="19.5" customHeight="1">
      <c r="A15" s="961" t="s">
        <v>1455</v>
      </c>
      <c r="B15" s="962">
        <v>2013</v>
      </c>
      <c r="E15" s="1562" t="s">
        <v>1456</v>
      </c>
      <c r="G15" s="954" t="s">
        <v>1457</v>
      </c>
      <c r="H15" s="954" t="s">
        <v>1458</v>
      </c>
      <c r="I15" s="965" t="s">
        <v>170</v>
      </c>
      <c r="J15" s="976" t="s">
        <v>672</v>
      </c>
      <c r="N15" s="1040" t="s">
        <v>1459</v>
      </c>
      <c r="X15" s="974"/>
      <c r="AW15" s="1005" t="s">
        <v>169</v>
      </c>
      <c r="AX15" s="1005" t="s">
        <v>169</v>
      </c>
      <c r="AZ15" s="1005" t="s">
        <v>1379</v>
      </c>
      <c r="BB15" s="1005" t="s">
        <v>1460</v>
      </c>
      <c r="BC15" s="1005" t="s">
        <v>1444</v>
      </c>
      <c r="BE15" s="1005">
        <v>2013</v>
      </c>
      <c r="BH15" s="955" t="s">
        <v>1384</v>
      </c>
      <c r="BJ15" s="1101" t="s">
        <v>1461</v>
      </c>
      <c r="BL15" s="1101" t="s">
        <v>1461</v>
      </c>
      <c r="BN15" s="955" t="s">
        <v>1462</v>
      </c>
      <c r="BR15" s="957"/>
      <c r="BS15" s="1308"/>
      <c r="BT15" s="957"/>
      <c r="BU15" s="957"/>
      <c r="BV15" s="957"/>
      <c r="BW15" s="1558"/>
      <c r="BX15" s="1554"/>
    </row>
    <row r="16" spans="1:79" ht="21" customHeight="1">
      <c r="A16" s="1732" t="s">
        <v>1463</v>
      </c>
      <c r="B16" s="962">
        <v>2014</v>
      </c>
      <c r="E16" s="1563" t="s">
        <v>1464</v>
      </c>
      <c r="G16" s="963" t="s">
        <v>1465</v>
      </c>
      <c r="H16" s="963" t="s">
        <v>1466</v>
      </c>
      <c r="I16" s="965" t="s">
        <v>1467</v>
      </c>
      <c r="J16" s="976" t="s">
        <v>645</v>
      </c>
      <c r="N16" s="1040" t="s">
        <v>1468</v>
      </c>
      <c r="AW16" s="1005" t="s">
        <v>170</v>
      </c>
      <c r="AX16" s="1005" t="s">
        <v>170</v>
      </c>
      <c r="AZ16" s="1005" t="s">
        <v>1395</v>
      </c>
      <c r="BB16" s="1005" t="s">
        <v>1469</v>
      </c>
      <c r="BC16" s="1005" t="s">
        <v>1444</v>
      </c>
      <c r="BE16" s="1005">
        <v>2014</v>
      </c>
      <c r="BH16" s="955" t="s">
        <v>1400</v>
      </c>
      <c r="BJ16" s="1101" t="s">
        <v>1470</v>
      </c>
      <c r="BL16" s="1101" t="s">
        <v>1470</v>
      </c>
      <c r="BN16" s="955" t="s">
        <v>1471</v>
      </c>
      <c r="BR16" s="957"/>
      <c r="BS16" s="1308"/>
      <c r="BT16" s="957"/>
      <c r="BU16" s="957"/>
      <c r="BV16" s="957"/>
      <c r="BW16" s="1558"/>
      <c r="BX16" s="1554"/>
    </row>
    <row r="17" spans="1:82" ht="21" customHeight="1">
      <c r="A17" s="961" t="s">
        <v>1472</v>
      </c>
      <c r="B17" s="962">
        <v>2015</v>
      </c>
      <c r="G17" s="963" t="s">
        <v>1419</v>
      </c>
      <c r="H17" s="963" t="s">
        <v>1419</v>
      </c>
      <c r="I17" s="963" t="s">
        <v>1473</v>
      </c>
      <c r="N17" s="1040" t="s">
        <v>1474</v>
      </c>
      <c r="X17" s="974"/>
      <c r="AW17" s="1005" t="s">
        <v>1467</v>
      </c>
      <c r="AX17" s="1005" t="s">
        <v>1467</v>
      </c>
      <c r="AZ17" s="1005" t="s">
        <v>1475</v>
      </c>
      <c r="BB17" s="1005" t="s">
        <v>1476</v>
      </c>
      <c r="BC17" s="1005" t="s">
        <v>1328</v>
      </c>
      <c r="BE17" s="1005">
        <v>2015</v>
      </c>
      <c r="BH17" s="955" t="s">
        <v>1415</v>
      </c>
      <c r="BJ17" s="1101" t="s">
        <v>1477</v>
      </c>
      <c r="BL17" s="1101" t="s">
        <v>1477</v>
      </c>
      <c r="BN17" s="955" t="s">
        <v>1478</v>
      </c>
      <c r="BR17" s="954" t="s">
        <v>1271</v>
      </c>
      <c r="BS17" s="1305"/>
      <c r="BU17" s="954" t="s">
        <v>1479</v>
      </c>
      <c r="BV17" s="957"/>
      <c r="BW17" s="1554"/>
      <c r="BX17" s="1556" t="s">
        <v>1480</v>
      </c>
      <c r="CA17" s="954" t="s">
        <v>1481</v>
      </c>
      <c r="CD17" s="954" t="s">
        <v>1482</v>
      </c>
    </row>
    <row r="18" spans="1:82" ht="21" customHeight="1">
      <c r="A18" s="961" t="s">
        <v>1483</v>
      </c>
      <c r="B18" s="962">
        <v>2016</v>
      </c>
      <c r="I18" s="963" t="s">
        <v>1484</v>
      </c>
      <c r="N18" s="1040" t="s">
        <v>1485</v>
      </c>
      <c r="X18" s="974"/>
      <c r="AW18" s="1005" t="s">
        <v>1473</v>
      </c>
      <c r="AX18" s="1005" t="s">
        <v>1473</v>
      </c>
      <c r="BB18" s="1005" t="s">
        <v>1486</v>
      </c>
      <c r="BC18" s="1005" t="s">
        <v>1328</v>
      </c>
      <c r="BE18" s="1005">
        <v>2016</v>
      </c>
      <c r="BH18" s="955" t="s">
        <v>1429</v>
      </c>
      <c r="BJ18" s="1101" t="s">
        <v>1487</v>
      </c>
      <c r="BL18" s="1101" t="s">
        <v>1487</v>
      </c>
      <c r="BN18" s="955" t="s">
        <v>1488</v>
      </c>
      <c r="BQ18" s="1309" t="s">
        <v>1301</v>
      </c>
      <c r="BR18" s="1041" t="s">
        <v>1302</v>
      </c>
      <c r="BS18" s="194"/>
      <c r="BT18" s="1309" t="s">
        <v>1489</v>
      </c>
      <c r="BU18" s="1041" t="s">
        <v>1490</v>
      </c>
      <c r="BV18" s="957"/>
      <c r="BW18" s="1561" t="s">
        <v>1491</v>
      </c>
      <c r="BX18" s="1555" t="s">
        <v>1492</v>
      </c>
      <c r="BZ18" s="1309" t="s">
        <v>1493</v>
      </c>
      <c r="CA18" s="1041" t="s">
        <v>1494</v>
      </c>
      <c r="CC18" s="1309" t="s">
        <v>1495</v>
      </c>
      <c r="CD18" s="1041" t="s">
        <v>1496</v>
      </c>
    </row>
    <row r="19" spans="1:82" ht="21" customHeight="1">
      <c r="A19" s="1732" t="s">
        <v>1497</v>
      </c>
      <c r="B19" s="962">
        <v>2017</v>
      </c>
      <c r="I19" s="963" t="s">
        <v>1498</v>
      </c>
      <c r="N19" s="1040" t="s">
        <v>1499</v>
      </c>
      <c r="X19" s="974"/>
      <c r="AW19" s="1005" t="s">
        <v>1484</v>
      </c>
      <c r="AX19" s="1005" t="s">
        <v>1484</v>
      </c>
      <c r="AZ19" s="954" t="s">
        <v>1500</v>
      </c>
      <c r="BB19" s="1005" t="s">
        <v>1501</v>
      </c>
      <c r="BC19" s="1005" t="s">
        <v>1328</v>
      </c>
      <c r="BE19" s="1005">
        <v>2017</v>
      </c>
      <c r="BH19" s="955" t="s">
        <v>1502</v>
      </c>
      <c r="BJ19" s="1101" t="s">
        <v>1503</v>
      </c>
      <c r="BL19" s="1101" t="s">
        <v>1503</v>
      </c>
      <c r="BQ19" s="1164">
        <v>4190064</v>
      </c>
      <c r="BR19" s="955" t="s">
        <v>1504</v>
      </c>
      <c r="BS19" s="1306"/>
      <c r="BT19" s="1164">
        <v>4189671</v>
      </c>
      <c r="BU19" s="955" t="s">
        <v>1505</v>
      </c>
      <c r="BV19" s="957"/>
      <c r="BW19" s="1559">
        <v>4189706</v>
      </c>
      <c r="BX19" s="1557" t="s">
        <v>1506</v>
      </c>
      <c r="BZ19" s="1164">
        <v>4189714</v>
      </c>
      <c r="CA19" s="955" t="s">
        <v>1507</v>
      </c>
      <c r="CC19" s="1164">
        <v>4189708</v>
      </c>
      <c r="CD19" s="955" t="s">
        <v>1508</v>
      </c>
    </row>
    <row r="20" spans="1:82" ht="21" customHeight="1">
      <c r="A20" s="961" t="s">
        <v>1509</v>
      </c>
      <c r="B20" s="962">
        <v>2018</v>
      </c>
      <c r="I20" s="963" t="s">
        <v>1510</v>
      </c>
      <c r="N20" s="1040" t="s">
        <v>1511</v>
      </c>
      <c r="AW20" s="1005" t="s">
        <v>1498</v>
      </c>
      <c r="AX20" s="1005" t="s">
        <v>1498</v>
      </c>
      <c r="AZ20" s="1005" t="s">
        <v>1512</v>
      </c>
      <c r="BB20" s="1005" t="s">
        <v>1513</v>
      </c>
      <c r="BC20" s="1005" t="s">
        <v>1444</v>
      </c>
      <c r="BE20" s="1005">
        <v>2018</v>
      </c>
      <c r="BH20" s="955" t="s">
        <v>1440</v>
      </c>
      <c r="BJ20" s="955" t="s">
        <v>1368</v>
      </c>
      <c r="BL20" s="955" t="s">
        <v>1368</v>
      </c>
      <c r="BQ20" s="1164">
        <v>4190065</v>
      </c>
      <c r="BR20" s="955" t="s">
        <v>1514</v>
      </c>
      <c r="BS20" s="1306"/>
      <c r="BT20" s="1164">
        <v>4189672</v>
      </c>
      <c r="BU20" s="955" t="s">
        <v>1515</v>
      </c>
      <c r="BV20" s="957"/>
      <c r="BW20" s="1559">
        <v>4189705</v>
      </c>
      <c r="BX20" s="1557" t="s">
        <v>1516</v>
      </c>
      <c r="BZ20" s="1164">
        <v>4189713</v>
      </c>
      <c r="CA20" s="955" t="s">
        <v>1516</v>
      </c>
      <c r="CC20" s="1164">
        <v>4189709</v>
      </c>
      <c r="CD20" s="955" t="s">
        <v>1517</v>
      </c>
    </row>
    <row r="21" spans="1:82" ht="21" customHeight="1">
      <c r="A21" s="961" t="s">
        <v>1518</v>
      </c>
      <c r="B21" s="962">
        <v>2019</v>
      </c>
      <c r="I21" s="963" t="s">
        <v>1519</v>
      </c>
      <c r="N21" s="1040" t="s">
        <v>1520</v>
      </c>
      <c r="AW21" s="1005" t="s">
        <v>1510</v>
      </c>
      <c r="AX21" s="1005" t="s">
        <v>1510</v>
      </c>
      <c r="AZ21" s="1005" t="s">
        <v>1521</v>
      </c>
      <c r="BB21" s="1005" t="s">
        <v>1522</v>
      </c>
      <c r="BC21" s="1005" t="s">
        <v>1328</v>
      </c>
      <c r="BE21" s="1005">
        <v>2019</v>
      </c>
      <c r="BH21" s="955" t="s">
        <v>1447</v>
      </c>
      <c r="BJ21" s="955" t="s">
        <v>1384</v>
      </c>
      <c r="BL21" s="955" t="s">
        <v>1384</v>
      </c>
      <c r="BQ21" s="1164">
        <v>4190066</v>
      </c>
      <c r="BR21" s="955" t="s">
        <v>1523</v>
      </c>
      <c r="BS21" s="1306"/>
      <c r="BT21" s="1164">
        <v>4189673</v>
      </c>
      <c r="BU21" s="955" t="s">
        <v>1524</v>
      </c>
      <c r="BV21" s="957"/>
      <c r="BW21" s="1559">
        <v>4189707</v>
      </c>
      <c r="BX21" s="1557" t="s">
        <v>1525</v>
      </c>
      <c r="BZ21" s="1164">
        <v>4189712</v>
      </c>
      <c r="CA21" s="955" t="s">
        <v>1526</v>
      </c>
      <c r="CC21" s="1164">
        <v>4189710</v>
      </c>
      <c r="CD21" s="955" t="s">
        <v>1527</v>
      </c>
    </row>
    <row r="22" spans="1:82" ht="21" customHeight="1">
      <c r="A22" s="961" t="s">
        <v>1528</v>
      </c>
      <c r="B22" s="962">
        <v>2020</v>
      </c>
      <c r="N22" s="1040" t="s">
        <v>1529</v>
      </c>
      <c r="AW22" s="1005" t="s">
        <v>1519</v>
      </c>
      <c r="AX22" s="1005" t="s">
        <v>1519</v>
      </c>
      <c r="AZ22" s="1005" t="s">
        <v>1530</v>
      </c>
      <c r="BB22" s="1005" t="s">
        <v>1531</v>
      </c>
      <c r="BC22" s="1005" t="s">
        <v>1328</v>
      </c>
      <c r="BE22" s="1005">
        <v>2020</v>
      </c>
      <c r="BH22" s="955" t="s">
        <v>1454</v>
      </c>
      <c r="BJ22" s="955" t="s">
        <v>1400</v>
      </c>
      <c r="BL22" s="955" t="s">
        <v>1400</v>
      </c>
      <c r="BQ22" s="1164">
        <v>4190067</v>
      </c>
      <c r="BR22" s="955" t="s">
        <v>1532</v>
      </c>
      <c r="BS22" s="1306"/>
      <c r="BT22" s="1164">
        <v>4189674</v>
      </c>
      <c r="BU22" s="955" t="s">
        <v>1533</v>
      </c>
      <c r="BV22" s="957"/>
      <c r="BW22" s="957"/>
      <c r="CC22" s="1164">
        <v>4189711</v>
      </c>
      <c r="CD22" s="955" t="s">
        <v>371</v>
      </c>
    </row>
    <row r="23" spans="1:82" ht="21" customHeight="1">
      <c r="A23" s="961" t="s">
        <v>1534</v>
      </c>
      <c r="B23" s="962">
        <v>2021</v>
      </c>
      <c r="AW23" s="1005" t="s">
        <v>1535</v>
      </c>
      <c r="AX23" s="1005" t="s">
        <v>1535</v>
      </c>
      <c r="AZ23" s="1005" t="s">
        <v>1536</v>
      </c>
      <c r="BB23" s="1005" t="s">
        <v>1537</v>
      </c>
      <c r="BC23" s="1005" t="s">
        <v>1237</v>
      </c>
      <c r="BE23" s="1005">
        <v>2021</v>
      </c>
      <c r="BH23" s="955" t="s">
        <v>1462</v>
      </c>
      <c r="BJ23" s="955" t="s">
        <v>1415</v>
      </c>
      <c r="BL23" s="955" t="s">
        <v>1415</v>
      </c>
      <c r="BQ23" s="1164">
        <v>4190068</v>
      </c>
      <c r="BR23" s="955" t="s">
        <v>1538</v>
      </c>
      <c r="BS23" s="1306"/>
      <c r="BT23" s="1164">
        <v>4189675</v>
      </c>
      <c r="BU23" s="955" t="s">
        <v>1539</v>
      </c>
      <c r="BV23" s="957"/>
      <c r="BW23" s="957"/>
      <c r="CC23" s="1164">
        <v>5110778</v>
      </c>
      <c r="CD23" s="955" t="s">
        <v>1540</v>
      </c>
    </row>
    <row r="24" spans="1:82" ht="21" customHeight="1">
      <c r="A24" s="961" t="s">
        <v>1541</v>
      </c>
      <c r="B24" s="962">
        <v>2022</v>
      </c>
      <c r="AW24" s="1005" t="s">
        <v>1542</v>
      </c>
      <c r="AX24" s="1005" t="s">
        <v>1542</v>
      </c>
      <c r="AZ24" s="1005" t="s">
        <v>1543</v>
      </c>
      <c r="BB24" s="1005" t="s">
        <v>1544</v>
      </c>
      <c r="BC24" s="1005" t="s">
        <v>1545</v>
      </c>
      <c r="BE24" s="1005">
        <v>2022</v>
      </c>
      <c r="BH24" s="955" t="s">
        <v>1471</v>
      </c>
      <c r="BJ24" s="955" t="s">
        <v>1429</v>
      </c>
      <c r="BL24" s="955" t="s">
        <v>1429</v>
      </c>
      <c r="BQ24" s="1164">
        <v>4190069</v>
      </c>
      <c r="BR24" s="955" t="s">
        <v>1546</v>
      </c>
      <c r="BS24" s="1306"/>
      <c r="BT24" s="1164">
        <v>4189676</v>
      </c>
      <c r="BU24" s="955" t="s">
        <v>1547</v>
      </c>
      <c r="BV24" s="957"/>
      <c r="BW24" s="957"/>
      <c r="CC24" s="1164">
        <v>25575374</v>
      </c>
      <c r="CD24" s="955" t="s">
        <v>1548</v>
      </c>
    </row>
    <row r="25" spans="1:82" ht="11.25" customHeight="1">
      <c r="A25" s="961" t="s">
        <v>1549</v>
      </c>
      <c r="B25" s="962">
        <v>2023</v>
      </c>
      <c r="AW25" s="1005" t="s">
        <v>1550</v>
      </c>
      <c r="AX25" s="1005" t="s">
        <v>1550</v>
      </c>
      <c r="AZ25" s="1005" t="s">
        <v>1551</v>
      </c>
      <c r="BB25" s="1005" t="s">
        <v>1552</v>
      </c>
      <c r="BC25" s="1005" t="s">
        <v>1545</v>
      </c>
      <c r="BE25" s="1005">
        <v>2023</v>
      </c>
      <c r="BH25" s="955" t="s">
        <v>1478</v>
      </c>
      <c r="BJ25" s="955" t="s">
        <v>1502</v>
      </c>
      <c r="BL25" s="955" t="s">
        <v>1502</v>
      </c>
      <c r="BQ25" s="1164">
        <v>4190070</v>
      </c>
      <c r="BR25" s="955" t="s">
        <v>1553</v>
      </c>
      <c r="BS25" s="1306"/>
      <c r="BT25" s="1164">
        <v>4189677</v>
      </c>
      <c r="BU25" s="955" t="s">
        <v>1554</v>
      </c>
      <c r="BV25" s="957"/>
      <c r="BW25" s="957"/>
    </row>
    <row r="26" spans="1:82" ht="11.25" customHeight="1">
      <c r="A26" s="961" t="s">
        <v>1555</v>
      </c>
      <c r="B26" s="962">
        <v>2024</v>
      </c>
      <c r="J26" s="1594" t="s">
        <v>1556</v>
      </c>
      <c r="AX26" s="1005" t="s">
        <v>1557</v>
      </c>
      <c r="AZ26" s="1005" t="s">
        <v>1422</v>
      </c>
      <c r="BB26" s="1005" t="s">
        <v>1558</v>
      </c>
      <c r="BC26" s="1005" t="s">
        <v>1545</v>
      </c>
      <c r="BE26" s="1005">
        <v>2024</v>
      </c>
      <c r="BH26" s="955" t="s">
        <v>1488</v>
      </c>
      <c r="BJ26" s="955" t="s">
        <v>1440</v>
      </c>
      <c r="BL26" s="955" t="s">
        <v>1440</v>
      </c>
      <c r="BQ26" s="1164">
        <v>4190071</v>
      </c>
      <c r="BR26" s="955" t="s">
        <v>1559</v>
      </c>
      <c r="BS26" s="1306"/>
      <c r="BV26" s="957"/>
      <c r="BW26" s="957"/>
    </row>
    <row r="27" spans="1:82" ht="11.25" customHeight="1">
      <c r="A27" s="961" t="s">
        <v>1560</v>
      </c>
      <c r="B27" s="962">
        <v>2025</v>
      </c>
      <c r="J27" s="99" t="s">
        <v>101</v>
      </c>
      <c r="AX27" s="1005" t="s">
        <v>1561</v>
      </c>
      <c r="BB27" s="1005" t="s">
        <v>1562</v>
      </c>
      <c r="BC27" s="1005" t="s">
        <v>1545</v>
      </c>
      <c r="BE27" s="1005">
        <v>2025</v>
      </c>
      <c r="BH27" s="957" t="s">
        <v>24</v>
      </c>
      <c r="BJ27" s="955" t="s">
        <v>1447</v>
      </c>
      <c r="BL27" s="955" t="s">
        <v>1447</v>
      </c>
      <c r="BN27" s="957" t="s">
        <v>24</v>
      </c>
      <c r="BQ27" s="1164">
        <v>4190072</v>
      </c>
      <c r="BR27" s="955" t="s">
        <v>1563</v>
      </c>
      <c r="BS27" s="1306"/>
      <c r="BV27" s="957"/>
      <c r="BW27" s="957"/>
    </row>
    <row r="28" spans="1:82" ht="11.25" customHeight="1">
      <c r="A28" s="961" t="s">
        <v>1564</v>
      </c>
      <c r="D28" s="986"/>
      <c r="E28" s="987"/>
      <c r="F28" s="987"/>
      <c r="H28" s="988" t="s">
        <v>1565</v>
      </c>
      <c r="AX28" s="1005" t="s">
        <v>1566</v>
      </c>
      <c r="AZ28" s="954" t="s">
        <v>1567</v>
      </c>
      <c r="BB28" s="1005" t="s">
        <v>1568</v>
      </c>
      <c r="BC28" s="1005" t="s">
        <v>1569</v>
      </c>
      <c r="BE28" s="1005">
        <v>2026</v>
      </c>
      <c r="BH28" s="957" t="s">
        <v>24</v>
      </c>
      <c r="BJ28" s="955" t="s">
        <v>1454</v>
      </c>
      <c r="BL28" s="955" t="s">
        <v>1454</v>
      </c>
      <c r="BN28" s="957" t="s">
        <v>24</v>
      </c>
      <c r="BQ28" s="1164">
        <v>4190073</v>
      </c>
      <c r="BR28" s="955" t="s">
        <v>1570</v>
      </c>
      <c r="BS28" s="1306"/>
      <c r="BV28" s="957"/>
      <c r="BW28" s="957"/>
    </row>
    <row r="29" spans="1:82" ht="11.25" customHeight="1">
      <c r="A29" s="961" t="s">
        <v>1571</v>
      </c>
      <c r="D29" s="989" t="s">
        <v>1572</v>
      </c>
      <c r="E29" s="990">
        <f>IF(TEMPLATE_GROUP="","",INDEX(StartDateList,MATCH(TEMPLATE_GROUP,CodeTemplateList,0),1))</f>
        <v>45292.706701388888</v>
      </c>
      <c r="F29" s="990">
        <f>IF(TEMPLATE_GROUP="","",INDEX(EndDateList,MATCH(TEMPLATE_GROUP,CodeTemplateList,0),1))</f>
        <v>45657.706770833334</v>
      </c>
      <c r="H29" s="991" t="s">
        <v>1573</v>
      </c>
      <c r="AX29" s="1005" t="s">
        <v>1574</v>
      </c>
      <c r="AZ29" s="1005" t="s">
        <v>1221</v>
      </c>
      <c r="BB29" s="1005" t="s">
        <v>1422</v>
      </c>
      <c r="BC29" s="977"/>
      <c r="BE29" s="1005">
        <v>2027</v>
      </c>
      <c r="BJ29" s="955" t="s">
        <v>1462</v>
      </c>
      <c r="BL29" s="955" t="s">
        <v>1462</v>
      </c>
    </row>
    <row r="30" spans="1:82" ht="11.25" customHeight="1">
      <c r="A30" s="961" t="s">
        <v>1575</v>
      </c>
      <c r="D30" s="992"/>
      <c r="E30" s="993"/>
      <c r="F30" s="993"/>
      <c r="AX30" s="1005" t="s">
        <v>1576</v>
      </c>
      <c r="AZ30" s="1005" t="s">
        <v>1249</v>
      </c>
      <c r="BE30" s="1005">
        <v>2028</v>
      </c>
      <c r="BJ30" s="955" t="s">
        <v>1577</v>
      </c>
      <c r="BL30" s="955" t="s">
        <v>1577</v>
      </c>
    </row>
    <row r="31" spans="1:82" ht="12.75" customHeight="1">
      <c r="A31" s="961" t="s">
        <v>1578</v>
      </c>
      <c r="D31" s="986"/>
      <c r="E31" s="987"/>
      <c r="F31" s="987"/>
      <c r="H31" s="994"/>
      <c r="AX31" s="1005" t="s">
        <v>1579</v>
      </c>
      <c r="AZ31" s="1005" t="s">
        <v>621</v>
      </c>
      <c r="BE31" s="1005">
        <v>2029</v>
      </c>
      <c r="BJ31" s="955" t="s">
        <v>1580</v>
      </c>
      <c r="BL31" s="955" t="s">
        <v>1580</v>
      </c>
    </row>
    <row r="32" spans="1:82" ht="11.25" customHeight="1">
      <c r="A32" s="961" t="s">
        <v>1581</v>
      </c>
      <c r="D32" s="989" t="s">
        <v>1582</v>
      </c>
      <c r="E32" s="990">
        <f>IF(TEMPLATE_GROUP="","",INDEX(StartDateList,MATCH(TEMPLATE_GROUP,CodeTemplateList,0),1))</f>
        <v>45292.706701388888</v>
      </c>
      <c r="F32" s="990">
        <f>IF(TEMPLATE_GROUP="","",INDEX(EndDateList,MATCH(TEMPLATE_GROUP,CodeTemplateList,0),1))</f>
        <v>45657.706770833334</v>
      </c>
      <c r="H32" s="995" t="s">
        <v>1583</v>
      </c>
      <c r="O32" s="961" t="s">
        <v>1219</v>
      </c>
      <c r="AX32" s="1005" t="s">
        <v>1584</v>
      </c>
      <c r="AZ32" s="1005" t="s">
        <v>619</v>
      </c>
      <c r="BE32" s="1005">
        <v>2030</v>
      </c>
      <c r="BJ32" s="955" t="s">
        <v>1471</v>
      </c>
      <c r="BL32" s="955" t="s">
        <v>1471</v>
      </c>
    </row>
    <row r="33" spans="1:66" ht="11.25" customHeight="1">
      <c r="A33" s="961" t="s">
        <v>1585</v>
      </c>
      <c r="O33" s="961" t="s">
        <v>1246</v>
      </c>
      <c r="AX33" s="1005" t="s">
        <v>1586</v>
      </c>
      <c r="AZ33" s="1005" t="s">
        <v>1220</v>
      </c>
      <c r="BE33" s="1005">
        <v>2031</v>
      </c>
      <c r="BJ33" s="955" t="s">
        <v>1478</v>
      </c>
      <c r="BL33" s="955" t="s">
        <v>1478</v>
      </c>
    </row>
    <row r="34" spans="1:66" ht="11.25" customHeight="1">
      <c r="A34" s="961" t="s">
        <v>1587</v>
      </c>
      <c r="O34" s="961" t="s">
        <v>1282</v>
      </c>
      <c r="AX34" s="1005" t="s">
        <v>1588</v>
      </c>
      <c r="BE34" s="1005">
        <v>2032</v>
      </c>
      <c r="BJ34" s="955" t="s">
        <v>1488</v>
      </c>
      <c r="BL34" s="955" t="s">
        <v>1488</v>
      </c>
    </row>
    <row r="35" spans="1:66" ht="11.25" customHeight="1">
      <c r="A35" s="961" t="s">
        <v>1589</v>
      </c>
      <c r="O35" s="961" t="s">
        <v>1315</v>
      </c>
      <c r="AX35" s="1005" t="s">
        <v>1590</v>
      </c>
      <c r="AZ35" s="954" t="s">
        <v>1591</v>
      </c>
      <c r="BE35" s="1005">
        <v>2033</v>
      </c>
      <c r="BL35" s="955" t="s">
        <v>1592</v>
      </c>
    </row>
    <row r="36" spans="1:66" ht="11.25" customHeight="1">
      <c r="A36" s="1732" t="s">
        <v>1593</v>
      </c>
      <c r="D36" s="996" t="s">
        <v>1594</v>
      </c>
      <c r="E36" s="997" t="s">
        <v>898</v>
      </c>
      <c r="F36" s="998" t="str">
        <f>INDEX(E37:E41,MATCH(TEMPLATE_SPHERE,F37:F41,0))</f>
        <v>горячего водоснабжения</v>
      </c>
      <c r="G36" s="998" t="str">
        <f>INDEX(G37:G41,MATCH(TEMPLATE_SPHERE,F37:F41,0))</f>
        <v>горячее водоснабжение</v>
      </c>
      <c r="O36" s="961" t="s">
        <v>1339</v>
      </c>
      <c r="AX36" s="1005" t="s">
        <v>1595</v>
      </c>
      <c r="AZ36" s="1005" t="s">
        <v>1220</v>
      </c>
      <c r="BE36" s="1005">
        <v>2034</v>
      </c>
      <c r="BL36" s="955" t="s">
        <v>1596</v>
      </c>
    </row>
    <row r="37" spans="1:66" ht="11.25" customHeight="1">
      <c r="A37" s="961" t="s">
        <v>1597</v>
      </c>
      <c r="E37" s="323" t="s">
        <v>1598</v>
      </c>
      <c r="F37" s="999" t="s">
        <v>811</v>
      </c>
      <c r="G37" s="323" t="s">
        <v>1599</v>
      </c>
      <c r="O37" s="961" t="s">
        <v>1358</v>
      </c>
      <c r="AX37" s="1005" t="s">
        <v>1600</v>
      </c>
      <c r="AZ37" s="1005" t="s">
        <v>1248</v>
      </c>
      <c r="BE37" s="1005">
        <v>2035</v>
      </c>
    </row>
    <row r="38" spans="1:66" ht="11.25" customHeight="1">
      <c r="A38" s="961" t="s">
        <v>14</v>
      </c>
      <c r="E38" s="323" t="s">
        <v>1601</v>
      </c>
      <c r="F38" s="1000" t="s">
        <v>857</v>
      </c>
      <c r="G38" s="323" t="s">
        <v>1602</v>
      </c>
      <c r="O38" s="961" t="s">
        <v>1375</v>
      </c>
      <c r="AX38" s="1005" t="s">
        <v>1603</v>
      </c>
      <c r="AZ38" s="1005" t="s">
        <v>1283</v>
      </c>
      <c r="BE38" s="1005">
        <v>2036</v>
      </c>
      <c r="BH38" s="954" t="s">
        <v>1604</v>
      </c>
      <c r="BJ38" s="954" t="s">
        <v>1605</v>
      </c>
      <c r="BL38" s="954" t="s">
        <v>1606</v>
      </c>
      <c r="BN38" s="954" t="s">
        <v>1607</v>
      </c>
    </row>
    <row r="39" spans="1:66" ht="11.25" customHeight="1">
      <c r="A39" s="961" t="s">
        <v>1608</v>
      </c>
      <c r="E39" s="323" t="s">
        <v>1609</v>
      </c>
      <c r="F39" s="1000" t="s">
        <v>912</v>
      </c>
      <c r="G39" s="323" t="s">
        <v>1610</v>
      </c>
      <c r="O39" s="961" t="s">
        <v>1391</v>
      </c>
      <c r="AX39" s="1005" t="s">
        <v>1611</v>
      </c>
      <c r="AZ39" s="1005" t="s">
        <v>1316</v>
      </c>
      <c r="BE39" s="1005">
        <v>2037</v>
      </c>
      <c r="BH39" s="955" t="s">
        <v>1612</v>
      </c>
      <c r="BJ39" s="1101" t="s">
        <v>1612</v>
      </c>
      <c r="BL39" s="1101" t="s">
        <v>1612</v>
      </c>
      <c r="BN39" s="955" t="s">
        <v>1613</v>
      </c>
    </row>
    <row r="40" spans="1:66" ht="11.25" customHeight="1">
      <c r="A40" s="961" t="s">
        <v>1614</v>
      </c>
      <c r="E40" s="323" t="s">
        <v>1615</v>
      </c>
      <c r="F40" s="1000" t="s">
        <v>898</v>
      </c>
      <c r="G40" s="323" t="s">
        <v>1616</v>
      </c>
      <c r="O40" s="961" t="s">
        <v>1407</v>
      </c>
      <c r="AX40" s="1005" t="s">
        <v>1617</v>
      </c>
      <c r="BE40" s="1005">
        <v>2038</v>
      </c>
      <c r="BH40" s="955" t="s">
        <v>1618</v>
      </c>
      <c r="BJ40" s="1101" t="s">
        <v>1033</v>
      </c>
      <c r="BL40" s="1101" t="s">
        <v>1033</v>
      </c>
      <c r="BN40" s="955" t="s">
        <v>1067</v>
      </c>
    </row>
    <row r="41" spans="1:66" ht="11.25" customHeight="1">
      <c r="A41" s="961" t="s">
        <v>1619</v>
      </c>
      <c r="E41" s="323" t="s">
        <v>1620</v>
      </c>
      <c r="F41" s="1000" t="s">
        <v>1621</v>
      </c>
      <c r="G41" s="323" t="s">
        <v>1620</v>
      </c>
      <c r="O41" s="961" t="s">
        <v>1422</v>
      </c>
      <c r="AX41" s="1005" t="s">
        <v>1622</v>
      </c>
      <c r="AZ41" s="954" t="s">
        <v>1623</v>
      </c>
      <c r="BE41" s="1005">
        <v>2039</v>
      </c>
      <c r="BH41" s="955" t="s">
        <v>1624</v>
      </c>
      <c r="BJ41" s="1101" t="s">
        <v>1029</v>
      </c>
      <c r="BL41" s="1101" t="s">
        <v>1029</v>
      </c>
      <c r="BN41" s="955" t="s">
        <v>1054</v>
      </c>
    </row>
    <row r="42" spans="1:66" ht="11.25" customHeight="1">
      <c r="A42" s="961" t="s">
        <v>1625</v>
      </c>
      <c r="AX42" s="1005" t="s">
        <v>1626</v>
      </c>
      <c r="AZ42" s="1005" t="s">
        <v>1219</v>
      </c>
      <c r="BE42" s="1005">
        <v>2040</v>
      </c>
      <c r="BH42" s="955" t="s">
        <v>1051</v>
      </c>
      <c r="BJ42" s="1101" t="s">
        <v>1031</v>
      </c>
      <c r="BL42" s="1101" t="s">
        <v>1031</v>
      </c>
      <c r="BN42" s="955" t="s">
        <v>1627</v>
      </c>
    </row>
    <row r="43" spans="1:66" ht="11.25" customHeight="1">
      <c r="A43" s="961" t="s">
        <v>1628</v>
      </c>
      <c r="AX43" s="1005" t="s">
        <v>1629</v>
      </c>
      <c r="AZ43" s="1005" t="s">
        <v>1246</v>
      </c>
      <c r="BE43" s="1005">
        <v>2041</v>
      </c>
      <c r="BH43" s="955" t="s">
        <v>1630</v>
      </c>
      <c r="BJ43" s="1101" t="s">
        <v>1624</v>
      </c>
      <c r="BL43" s="1101" t="s">
        <v>1624</v>
      </c>
      <c r="BN43" s="955" t="s">
        <v>1631</v>
      </c>
    </row>
    <row r="44" spans="1:66" ht="11.25" customHeight="1">
      <c r="A44" s="961" t="s">
        <v>1632</v>
      </c>
      <c r="I44" s="698" t="s">
        <v>1633</v>
      </c>
      <c r="J44" s="976" t="s">
        <v>1634</v>
      </c>
      <c r="K44" s="976" t="s">
        <v>1635</v>
      </c>
      <c r="AX44" s="1005" t="s">
        <v>1636</v>
      </c>
      <c r="AZ44" s="1005" t="s">
        <v>1282</v>
      </c>
      <c r="BE44" s="1005">
        <v>2042</v>
      </c>
      <c r="BH44" s="955" t="s">
        <v>1637</v>
      </c>
      <c r="BJ44" s="1101" t="s">
        <v>1051</v>
      </c>
      <c r="BL44" s="1101" t="s">
        <v>1051</v>
      </c>
      <c r="BN44" s="955" t="s">
        <v>1638</v>
      </c>
    </row>
    <row r="45" spans="1:66" ht="11.25" customHeight="1">
      <c r="A45" s="961" t="s">
        <v>1639</v>
      </c>
      <c r="D45" s="996" t="s">
        <v>1640</v>
      </c>
      <c r="E45" s="997" t="s">
        <v>1641</v>
      </c>
      <c r="F45" s="696" t="s">
        <v>1642</v>
      </c>
      <c r="G45" s="695" t="s">
        <v>1643</v>
      </c>
      <c r="H45" s="698" t="s">
        <v>1644</v>
      </c>
      <c r="I45" s="1604" t="b">
        <f>INDEX(PeriodIsEmptyList,MATCH(TEMPLATE_GROUP,CodeTemplateList,0),1)</f>
        <v>0</v>
      </c>
      <c r="J45" s="1607" t="str">
        <f>INDEX(NameTemplatesInTitleList,MATCH(TEMPLATE_GROUP,CodeTemplateList,0),1)</f>
        <v>Показатели, подлежащие раскрытию в сфере горячего водоснабжения (цены и тарифы)</v>
      </c>
      <c r="K45" s="160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05" t="s">
        <v>1645</v>
      </c>
      <c r="AZ45" s="1005" t="s">
        <v>1315</v>
      </c>
      <c r="BE45" s="1005">
        <v>2043</v>
      </c>
      <c r="BH45" s="955" t="s">
        <v>1646</v>
      </c>
      <c r="BJ45" s="1101" t="s">
        <v>1045</v>
      </c>
      <c r="BL45" s="1101" t="s">
        <v>1045</v>
      </c>
      <c r="BN45" s="955" t="s">
        <v>1647</v>
      </c>
    </row>
    <row r="46" spans="1:66" ht="11.25" customHeight="1">
      <c r="A46" s="961" t="s">
        <v>1648</v>
      </c>
      <c r="E46" s="323" t="s">
        <v>22</v>
      </c>
      <c r="F46" s="999" t="s">
        <v>1649</v>
      </c>
      <c r="G46" s="1001"/>
      <c r="H46" s="1001"/>
      <c r="I46" s="1605" t="b">
        <f>IF(TITLE_DATE_FIL="",TRUE,FALSE)</f>
        <v>1</v>
      </c>
      <c r="J46" s="1608" t="str">
        <f>"Общая информация о регулируемой организации ("&amp;TEMPLATE_SPHERE_RUS&amp;")"</f>
        <v>Общая информация о регулируемой организации (горячего водоснабжения)</v>
      </c>
      <c r="K46" s="1609"/>
      <c r="AX46" s="1005" t="s">
        <v>1650</v>
      </c>
      <c r="AZ46" s="1005" t="s">
        <v>1339</v>
      </c>
      <c r="BE46" s="1005">
        <v>2044</v>
      </c>
      <c r="BH46" s="955" t="s">
        <v>1054</v>
      </c>
      <c r="BJ46" s="1101" t="s">
        <v>1035</v>
      </c>
      <c r="BL46" s="1101" t="s">
        <v>1035</v>
      </c>
      <c r="BN46" s="955" t="s">
        <v>1651</v>
      </c>
    </row>
    <row r="47" spans="1:66" ht="11.25" customHeight="1">
      <c r="A47" s="961" t="s">
        <v>1652</v>
      </c>
      <c r="E47" s="323" t="s">
        <v>29</v>
      </c>
      <c r="F47" s="1000" t="s">
        <v>1653</v>
      </c>
      <c r="G47" s="1002" t="str">
        <f>IF(f_year="","",IF(LEN(f_quart)=0,"",IF(f_quart="I квартал","01.01."&amp;f_year,IF(f_quart="II квартал","01.04."&amp;f_year,(IF(f_quart="III квартал","01.07."&amp;f_year,"01.10."&amp;f_year))))))</f>
        <v/>
      </c>
      <c r="H47" s="1002" t="str">
        <f>IF(f_year="","",IF(LEN(f_quart)=0,"",IF(f_quart="I квартал","31.03."&amp;f_year,IF(f_quart="II квартал","30.06."&amp;f_year,(IF(f_quart="III квартал","30.09."&amp;f_year,"31.12."&amp;f_year))))))</f>
        <v/>
      </c>
      <c r="I47" s="1606" t="b">
        <f>IF(OR(f_year="",f_quart=""),TRUE,FALSE)</f>
        <v>1</v>
      </c>
      <c r="J47" s="160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09"/>
      <c r="AX47" s="1005" t="s">
        <v>1654</v>
      </c>
      <c r="AZ47" s="1005" t="s">
        <v>1358</v>
      </c>
      <c r="BE47" s="1005">
        <v>2045</v>
      </c>
      <c r="BH47" s="955" t="s">
        <v>1627</v>
      </c>
      <c r="BJ47" s="1101" t="s">
        <v>1037</v>
      </c>
      <c r="BL47" s="1101" t="s">
        <v>1037</v>
      </c>
      <c r="BN47" s="955" t="s">
        <v>1655</v>
      </c>
    </row>
    <row r="48" spans="1:66" ht="11.25" customHeight="1">
      <c r="A48" s="961" t="s">
        <v>1656</v>
      </c>
      <c r="E48" s="323" t="s">
        <v>1657</v>
      </c>
      <c r="F48" s="1000" t="s">
        <v>1658</v>
      </c>
      <c r="G48" s="1002" t="str">
        <f>IF(f_year="","","01.01."&amp;f_year)</f>
        <v/>
      </c>
      <c r="H48" s="1002" t="str">
        <f>IF(f_year="","","31.12."&amp;f_year)</f>
        <v/>
      </c>
      <c r="I48" s="1605" t="b">
        <f>IF(f_year="",TRUE,FALSE)</f>
        <v>1</v>
      </c>
      <c r="J48" s="1608" t="s">
        <v>1659</v>
      </c>
      <c r="K48" s="1609"/>
      <c r="AX48" s="1005" t="s">
        <v>1660</v>
      </c>
      <c r="AZ48" s="1005" t="s">
        <v>1375</v>
      </c>
      <c r="BE48" s="1005">
        <v>2046</v>
      </c>
      <c r="BH48" s="955" t="s">
        <v>1631</v>
      </c>
      <c r="BJ48" s="1101" t="s">
        <v>1039</v>
      </c>
      <c r="BL48" s="1101" t="s">
        <v>1039</v>
      </c>
      <c r="BN48" s="955" t="s">
        <v>1661</v>
      </c>
    </row>
    <row r="49" spans="1:64" ht="11.25" customHeight="1">
      <c r="A49" s="961" t="s">
        <v>1662</v>
      </c>
      <c r="E49" s="323" t="s">
        <v>1663</v>
      </c>
      <c r="F49" s="1000" t="s">
        <v>1664</v>
      </c>
      <c r="G49" s="1002" t="str">
        <f>IF(f_year="","","01.01."&amp;f_year)</f>
        <v/>
      </c>
      <c r="H49" s="1002" t="str">
        <f>IF(f_year="","","31.12."&amp;f_year)</f>
        <v/>
      </c>
      <c r="I49" s="1605" t="b">
        <f>IF(f_year="",TRUE,FALSE)</f>
        <v>1</v>
      </c>
      <c r="J49" s="160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09"/>
      <c r="AX49" s="1005" t="s">
        <v>1665</v>
      </c>
      <c r="AZ49" s="1005" t="s">
        <v>1391</v>
      </c>
      <c r="BE49" s="1005">
        <v>2047</v>
      </c>
      <c r="BH49" s="955" t="s">
        <v>1055</v>
      </c>
      <c r="BJ49" s="1101" t="s">
        <v>1041</v>
      </c>
      <c r="BL49" s="1101" t="s">
        <v>1041</v>
      </c>
    </row>
    <row r="50" spans="1:64" ht="11.25" customHeight="1">
      <c r="A50" s="961" t="s">
        <v>1666</v>
      </c>
      <c r="E50" s="323" t="s">
        <v>1667</v>
      </c>
      <c r="F50" s="1000" t="s">
        <v>1025</v>
      </c>
      <c r="G50" s="1002" t="str">
        <f>IF(f_year="","","01.01."&amp;f_year)</f>
        <v/>
      </c>
      <c r="H50" s="1002" t="str">
        <f>IF(f_year="","","31.12."&amp;f_year)</f>
        <v/>
      </c>
      <c r="I50" s="1605" t="b">
        <f>IF(f_year="",TRUE,FALSE)</f>
        <v>1</v>
      </c>
      <c r="J50" s="160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09"/>
      <c r="AX50" s="1005" t="s">
        <v>1668</v>
      </c>
      <c r="AZ50" s="1005" t="s">
        <v>1407</v>
      </c>
      <c r="BE50" s="1005">
        <v>2048</v>
      </c>
      <c r="BH50" s="955" t="s">
        <v>1638</v>
      </c>
      <c r="BJ50" s="1101" t="s">
        <v>1043</v>
      </c>
      <c r="BL50" s="1101" t="s">
        <v>1043</v>
      </c>
    </row>
    <row r="51" spans="1:64" ht="11.25" customHeight="1">
      <c r="A51" s="961" t="s">
        <v>1669</v>
      </c>
      <c r="E51" s="323" t="s">
        <v>1670</v>
      </c>
      <c r="F51" s="1000" t="s">
        <v>1671</v>
      </c>
      <c r="G51" s="1002">
        <f>IF(TITLE_PERIOD_START="","",TITLE_PERIOD_START)</f>
        <v>45292.706701388888</v>
      </c>
      <c r="H51" s="1002">
        <f>IF(TITLE_PERIOD_END="","",TITLE_PERIOD_END)</f>
        <v>45657.706770833334</v>
      </c>
      <c r="I51" s="1606" t="b">
        <f>IF(OR(TITLE_PERIOD_START="",TITLE_PERIOD_END=""),TRUE,FALSE)</f>
        <v>0</v>
      </c>
      <c r="J51" s="160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09"/>
      <c r="AX51" s="1005" t="s">
        <v>1672</v>
      </c>
      <c r="AZ51" s="1005" t="s">
        <v>1422</v>
      </c>
      <c r="BE51" s="1005">
        <v>2049</v>
      </c>
      <c r="BH51" s="955" t="s">
        <v>1647</v>
      </c>
      <c r="BJ51" s="1101" t="s">
        <v>1673</v>
      </c>
      <c r="BL51" s="1101" t="s">
        <v>1673</v>
      </c>
    </row>
    <row r="52" spans="1:64" ht="11.25" customHeight="1">
      <c r="A52" s="961" t="s">
        <v>1674</v>
      </c>
      <c r="E52" s="323" t="s">
        <v>1675</v>
      </c>
      <c r="F52" s="1000" t="s">
        <v>1641</v>
      </c>
      <c r="G52" s="1002">
        <f>IF(TITLE_PERIOD_START="","",TITLE_PERIOD_START)</f>
        <v>45292.706701388888</v>
      </c>
      <c r="H52" s="1002">
        <f>IF(TITLE_PERIOD_END="","",TITLE_PERIOD_END)</f>
        <v>45657.706770833334</v>
      </c>
      <c r="I52" s="1606" t="b">
        <f>IF(OR(TITLE_PERIOD_START="",TITLE_PERIOD_END=""),TRUE,FALSE)</f>
        <v>0</v>
      </c>
      <c r="J52" s="1608"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09"/>
      <c r="AX52" s="1005" t="s">
        <v>1676</v>
      </c>
      <c r="AZ52" s="1005" t="s">
        <v>1220</v>
      </c>
      <c r="BE52" s="1005">
        <v>2050</v>
      </c>
      <c r="BH52" s="955" t="s">
        <v>1651</v>
      </c>
      <c r="BJ52" s="1101" t="s">
        <v>1054</v>
      </c>
      <c r="BL52" s="1101" t="s">
        <v>1054</v>
      </c>
    </row>
    <row r="53" spans="1:64" ht="11.25" customHeight="1">
      <c r="A53" s="961" t="s">
        <v>1677</v>
      </c>
      <c r="E53" s="323" t="s">
        <v>1678</v>
      </c>
      <c r="F53" s="1000" t="s">
        <v>1678</v>
      </c>
      <c r="G53" s="1002" t="str">
        <f>IF(f_year="","","01.01."&amp;f_year)</f>
        <v/>
      </c>
      <c r="H53" s="1002" t="str">
        <f>IF(f_year="","","31.12."&amp;f_year)</f>
        <v/>
      </c>
      <c r="I53" s="1605" t="b">
        <f>IF(AND(f_year="",TITLE_DATE_FIL=""),TRUE,FALSE)</f>
        <v>1</v>
      </c>
      <c r="J53" s="1608" t="s">
        <v>1679</v>
      </c>
      <c r="K53" s="1609"/>
      <c r="AX53" s="1005" t="s">
        <v>1680</v>
      </c>
      <c r="BE53" s="1005">
        <v>2051</v>
      </c>
      <c r="BH53" s="955" t="s">
        <v>1655</v>
      </c>
      <c r="BJ53" s="1101" t="s">
        <v>1627</v>
      </c>
      <c r="BL53" s="1101" t="s">
        <v>1627</v>
      </c>
    </row>
    <row r="54" spans="1:64" ht="11.25" customHeight="1">
      <c r="A54" s="961" t="s">
        <v>1681</v>
      </c>
      <c r="AX54" s="1005" t="s">
        <v>1682</v>
      </c>
      <c r="AZ54" s="954" t="s">
        <v>1683</v>
      </c>
      <c r="BE54" s="1005">
        <v>2052</v>
      </c>
      <c r="BH54" s="955" t="s">
        <v>1661</v>
      </c>
      <c r="BJ54" s="1101" t="s">
        <v>1631</v>
      </c>
      <c r="BL54" s="1101" t="s">
        <v>1631</v>
      </c>
    </row>
    <row r="55" spans="1:64" ht="11.25" customHeight="1">
      <c r="A55" s="961" t="s">
        <v>1684</v>
      </c>
      <c r="AX55" s="1005" t="s">
        <v>1685</v>
      </c>
      <c r="AZ55" s="1005" t="s">
        <v>1222</v>
      </c>
      <c r="BE55" s="1005">
        <v>2053</v>
      </c>
      <c r="BH55" s="957" t="s">
        <v>24</v>
      </c>
      <c r="BJ55" s="1101" t="s">
        <v>1055</v>
      </c>
      <c r="BL55" s="1101" t="s">
        <v>1055</v>
      </c>
    </row>
    <row r="56" spans="1:64" ht="11.25" customHeight="1">
      <c r="A56" s="961" t="s">
        <v>1686</v>
      </c>
      <c r="D56" s="1004" t="s">
        <v>1687</v>
      </c>
      <c r="E56" s="981">
        <v>61</v>
      </c>
      <c r="F56" s="961" t="s">
        <v>1688</v>
      </c>
      <c r="AX56" s="1005" t="s">
        <v>1689</v>
      </c>
      <c r="AZ56" s="1005" t="s">
        <v>1250</v>
      </c>
      <c r="BE56" s="1005">
        <v>2054</v>
      </c>
      <c r="BH56" s="957" t="s">
        <v>24</v>
      </c>
      <c r="BJ56" s="1101" t="s">
        <v>1638</v>
      </c>
      <c r="BL56" s="1101" t="s">
        <v>1638</v>
      </c>
    </row>
    <row r="57" spans="1:64" ht="11.25" customHeight="1">
      <c r="A57" s="961" t="s">
        <v>1690</v>
      </c>
      <c r="D57" s="1004" t="s">
        <v>1691</v>
      </c>
      <c r="E57" s="981">
        <v>66</v>
      </c>
      <c r="F57" s="961" t="s">
        <v>1688</v>
      </c>
      <c r="AX57" s="1005" t="s">
        <v>1692</v>
      </c>
      <c r="AZ57" s="1005" t="s">
        <v>1285</v>
      </c>
      <c r="BE57" s="1005">
        <v>2055</v>
      </c>
      <c r="BJ57" s="1101" t="s">
        <v>1647</v>
      </c>
      <c r="BL57" s="1101" t="s">
        <v>1647</v>
      </c>
    </row>
    <row r="58" spans="1:64" ht="11.25" customHeight="1">
      <c r="A58" s="961" t="s">
        <v>1693</v>
      </c>
      <c r="D58" s="1004" t="s">
        <v>1694</v>
      </c>
      <c r="E58" s="981">
        <v>44</v>
      </c>
      <c r="F58" s="961" t="s">
        <v>1688</v>
      </c>
      <c r="AX58" s="1005" t="s">
        <v>1695</v>
      </c>
      <c r="BE58" s="1005">
        <v>2056</v>
      </c>
      <c r="BJ58" s="1101" t="s">
        <v>1651</v>
      </c>
      <c r="BL58" s="1101" t="s">
        <v>1651</v>
      </c>
    </row>
    <row r="59" spans="1:64" ht="11.25" customHeight="1">
      <c r="A59" s="961" t="s">
        <v>1696</v>
      </c>
      <c r="D59" s="1004" t="s">
        <v>149</v>
      </c>
      <c r="E59" s="981" t="s">
        <v>1519</v>
      </c>
      <c r="F59" s="961" t="s">
        <v>1697</v>
      </c>
      <c r="AX59" s="1005" t="s">
        <v>1698</v>
      </c>
      <c r="AZ59" s="954" t="s">
        <v>1699</v>
      </c>
      <c r="BE59" s="1005">
        <v>2057</v>
      </c>
      <c r="BJ59" s="1101" t="s">
        <v>1655</v>
      </c>
      <c r="BL59" s="1101" t="s">
        <v>1655</v>
      </c>
    </row>
    <row r="60" spans="1:64" ht="11.25" customHeight="1">
      <c r="A60" s="961" t="s">
        <v>1700</v>
      </c>
      <c r="D60" s="1004" t="s">
        <v>1701</v>
      </c>
      <c r="E60" s="981" t="s">
        <v>1519</v>
      </c>
      <c r="F60" s="961" t="s">
        <v>1697</v>
      </c>
      <c r="AX60" s="1005" t="s">
        <v>1702</v>
      </c>
      <c r="AZ60" s="1005" t="s">
        <v>1223</v>
      </c>
      <c r="BE60" s="1005">
        <v>2058</v>
      </c>
      <c r="BJ60" s="1101" t="s">
        <v>1661</v>
      </c>
      <c r="BL60" s="1101" t="s">
        <v>1661</v>
      </c>
    </row>
    <row r="61" spans="1:64" ht="11.25" customHeight="1">
      <c r="A61" s="961" t="s">
        <v>1703</v>
      </c>
      <c r="D61" s="1004" t="s">
        <v>1704</v>
      </c>
      <c r="E61" s="981">
        <v>26</v>
      </c>
      <c r="F61" s="961" t="s">
        <v>1697</v>
      </c>
      <c r="AX61" s="1005" t="s">
        <v>1705</v>
      </c>
      <c r="AZ61" s="1005" t="s">
        <v>1251</v>
      </c>
      <c r="BE61" s="1005">
        <v>2059</v>
      </c>
      <c r="BL61" s="1101" t="s">
        <v>1047</v>
      </c>
    </row>
    <row r="62" spans="1:64" ht="11.25" customHeight="1">
      <c r="A62" s="961" t="s">
        <v>1706</v>
      </c>
      <c r="D62" s="1004" t="s">
        <v>148</v>
      </c>
      <c r="E62" s="981">
        <v>35</v>
      </c>
      <c r="F62" s="961" t="s">
        <v>1697</v>
      </c>
      <c r="AZ62" s="1005" t="s">
        <v>1286</v>
      </c>
      <c r="BE62" s="1005">
        <v>2060</v>
      </c>
      <c r="BL62" s="1101" t="s">
        <v>1049</v>
      </c>
    </row>
    <row r="63" spans="1:64" ht="11.25" customHeight="1">
      <c r="A63" s="961" t="s">
        <v>1707</v>
      </c>
      <c r="D63" s="1004" t="s">
        <v>1708</v>
      </c>
      <c r="E63" s="981">
        <v>48</v>
      </c>
      <c r="F63" s="961" t="s">
        <v>1697</v>
      </c>
      <c r="AZ63" s="1005" t="s">
        <v>1317</v>
      </c>
      <c r="BE63" s="1005">
        <v>2061</v>
      </c>
    </row>
    <row r="64" spans="1:64" ht="11.25" customHeight="1">
      <c r="A64" s="961" t="s">
        <v>1709</v>
      </c>
      <c r="D64" s="1004" t="s">
        <v>1710</v>
      </c>
      <c r="E64" s="981">
        <v>48</v>
      </c>
      <c r="F64" s="961" t="s">
        <v>1697</v>
      </c>
      <c r="AZ64" s="1005" t="s">
        <v>1340</v>
      </c>
      <c r="BE64" s="1005">
        <v>2062</v>
      </c>
    </row>
    <row r="65" spans="1:66" ht="11.25" customHeight="1">
      <c r="A65" s="961" t="s">
        <v>1711</v>
      </c>
      <c r="D65" s="961"/>
      <c r="BE65" s="1005">
        <v>2063</v>
      </c>
    </row>
    <row r="66" spans="1:66" ht="11.25" customHeight="1">
      <c r="A66" s="961" t="s">
        <v>1712</v>
      </c>
      <c r="AZ66" s="954" t="s">
        <v>1713</v>
      </c>
      <c r="BE66" s="1005">
        <v>2064</v>
      </c>
    </row>
    <row r="67" spans="1:66" ht="11.25" customHeight="1">
      <c r="A67" s="961" t="s">
        <v>1714</v>
      </c>
      <c r="AZ67" s="1005" t="s">
        <v>1224</v>
      </c>
      <c r="BE67" s="1005">
        <v>2065</v>
      </c>
    </row>
    <row r="68" spans="1:66" ht="11.25" customHeight="1">
      <c r="A68" s="961" t="s">
        <v>1715</v>
      </c>
      <c r="AZ68" s="1005" t="s">
        <v>1252</v>
      </c>
      <c r="BE68" s="1005">
        <v>2066</v>
      </c>
      <c r="BH68" s="954" t="s">
        <v>1716</v>
      </c>
      <c r="BJ68" s="954" t="s">
        <v>1717</v>
      </c>
      <c r="BL68" s="954" t="s">
        <v>1718</v>
      </c>
      <c r="BN68" s="954" t="s">
        <v>1719</v>
      </c>
    </row>
    <row r="69" spans="1:66" ht="11.25" customHeight="1">
      <c r="A69" s="961" t="s">
        <v>1720</v>
      </c>
      <c r="AZ69" s="1005" t="s">
        <v>1287</v>
      </c>
      <c r="BE69" s="1005">
        <v>2067</v>
      </c>
      <c r="BH69" s="955" t="s">
        <v>1721</v>
      </c>
      <c r="BI69" s="1003" t="s">
        <v>129</v>
      </c>
      <c r="BJ69" s="955" t="s">
        <v>1722</v>
      </c>
      <c r="BK69" s="1003" t="s">
        <v>129</v>
      </c>
      <c r="BL69" s="955" t="s">
        <v>1723</v>
      </c>
      <c r="BN69" s="955" t="s">
        <v>1724</v>
      </c>
    </row>
    <row r="70" spans="1:66" ht="11.25" customHeight="1">
      <c r="A70" s="961" t="s">
        <v>1725</v>
      </c>
      <c r="AZ70" s="1005" t="s">
        <v>1318</v>
      </c>
      <c r="BE70" s="1005">
        <v>2068</v>
      </c>
      <c r="BH70" s="955" t="s">
        <v>1726</v>
      </c>
      <c r="BJ70" s="955" t="s">
        <v>1727</v>
      </c>
      <c r="BL70" s="955" t="s">
        <v>1728</v>
      </c>
      <c r="BN70" s="955" t="s">
        <v>1729</v>
      </c>
    </row>
    <row r="71" spans="1:66" ht="11.25" customHeight="1">
      <c r="A71" s="961" t="s">
        <v>1730</v>
      </c>
      <c r="AZ71" s="1005" t="s">
        <v>1320</v>
      </c>
      <c r="BE71" s="1005">
        <v>2069</v>
      </c>
      <c r="BH71" s="955" t="s">
        <v>1731</v>
      </c>
      <c r="BI71" s="1003" t="s">
        <v>87</v>
      </c>
      <c r="BJ71" s="955" t="s">
        <v>1732</v>
      </c>
      <c r="BK71" s="1003" t="s">
        <v>87</v>
      </c>
      <c r="BL71" s="955" t="s">
        <v>1733</v>
      </c>
      <c r="BN71" s="955" t="s">
        <v>1734</v>
      </c>
    </row>
    <row r="72" spans="1:66" ht="11.25" customHeight="1">
      <c r="A72" s="961" t="s">
        <v>1735</v>
      </c>
      <c r="AZ72" s="1005" t="s">
        <v>54</v>
      </c>
      <c r="BE72" s="1005">
        <v>2070</v>
      </c>
      <c r="BH72" s="955" t="s">
        <v>1736</v>
      </c>
      <c r="BJ72" s="955" t="s">
        <v>1736</v>
      </c>
      <c r="BL72" s="955" t="s">
        <v>1736</v>
      </c>
      <c r="BN72" s="955" t="s">
        <v>1737</v>
      </c>
    </row>
    <row r="73" spans="1:66" ht="11.25" customHeight="1">
      <c r="A73" s="961" t="s">
        <v>1738</v>
      </c>
      <c r="BH73" s="955" t="s">
        <v>1739</v>
      </c>
      <c r="BI73" s="1003" t="s">
        <v>114</v>
      </c>
      <c r="BJ73" s="955" t="s">
        <v>1740</v>
      </c>
      <c r="BK73" s="1003" t="s">
        <v>114</v>
      </c>
      <c r="BL73" s="955" t="s">
        <v>1741</v>
      </c>
      <c r="BN73" s="955" t="s">
        <v>1742</v>
      </c>
    </row>
    <row r="74" spans="1:66" ht="11.25" customHeight="1">
      <c r="A74" s="961" t="s">
        <v>1743</v>
      </c>
      <c r="BH74" s="955" t="s">
        <v>1744</v>
      </c>
      <c r="BJ74" s="955" t="s">
        <v>1745</v>
      </c>
      <c r="BL74" s="955" t="s">
        <v>1746</v>
      </c>
      <c r="BN74" s="955" t="s">
        <v>1747</v>
      </c>
    </row>
    <row r="75" spans="1:66" ht="11.25" customHeight="1">
      <c r="A75" s="961" t="s">
        <v>1748</v>
      </c>
      <c r="AZ75" s="954" t="s">
        <v>1749</v>
      </c>
      <c r="BH75" s="955" t="s">
        <v>1750</v>
      </c>
      <c r="BJ75" s="955" t="s">
        <v>1750</v>
      </c>
      <c r="BL75" s="955" t="s">
        <v>1750</v>
      </c>
    </row>
    <row r="76" spans="1:66" ht="11.25" customHeight="1">
      <c r="A76" s="961" t="s">
        <v>1751</v>
      </c>
      <c r="AZ76" s="1005" t="s">
        <v>1233</v>
      </c>
      <c r="BH76" s="955" t="s">
        <v>1752</v>
      </c>
      <c r="BJ76" s="955" t="s">
        <v>1753</v>
      </c>
      <c r="BL76" s="955" t="s">
        <v>1754</v>
      </c>
    </row>
    <row r="77" spans="1:66" ht="11.25" customHeight="1">
      <c r="A77" s="961" t="s">
        <v>1755</v>
      </c>
      <c r="AZ77" s="1005" t="s">
        <v>1262</v>
      </c>
    </row>
    <row r="78" spans="1:66" ht="11.25" customHeight="1">
      <c r="A78" s="961" t="s">
        <v>1756</v>
      </c>
      <c r="AZ78" s="1005" t="s">
        <v>1294</v>
      </c>
    </row>
    <row r="79" spans="1:66" ht="11.25" customHeight="1">
      <c r="A79" s="961" t="s">
        <v>1757</v>
      </c>
      <c r="AZ79" s="1005" t="s">
        <v>1324</v>
      </c>
      <c r="BH79" s="954" t="s">
        <v>1758</v>
      </c>
      <c r="BJ79" s="954" t="s">
        <v>1759</v>
      </c>
      <c r="BL79" s="954" t="s">
        <v>1760</v>
      </c>
    </row>
    <row r="80" spans="1:66" ht="11.25" customHeight="1">
      <c r="A80" s="961" t="s">
        <v>1761</v>
      </c>
      <c r="AZ80" s="1005" t="s">
        <v>1345</v>
      </c>
      <c r="BH80" s="955" t="s">
        <v>1762</v>
      </c>
      <c r="BJ80" s="955" t="s">
        <v>1763</v>
      </c>
      <c r="BL80" s="955" t="s">
        <v>1764</v>
      </c>
    </row>
    <row r="81" spans="1:66" ht="11.25" customHeight="1">
      <c r="A81" s="961" t="s">
        <v>1765</v>
      </c>
      <c r="AZ81" s="1005" t="s">
        <v>1362</v>
      </c>
      <c r="BH81" s="955" t="s">
        <v>1766</v>
      </c>
      <c r="BJ81" s="955" t="s">
        <v>1767</v>
      </c>
      <c r="BL81" s="955" t="s">
        <v>1768</v>
      </c>
    </row>
    <row r="82" spans="1:66" ht="11.25" customHeight="1">
      <c r="A82" s="961" t="s">
        <v>1769</v>
      </c>
      <c r="AZ82" s="1005" t="s">
        <v>1377</v>
      </c>
      <c r="BH82" s="955" t="s">
        <v>1770</v>
      </c>
      <c r="BJ82" s="955" t="s">
        <v>1771</v>
      </c>
      <c r="BL82" s="955" t="s">
        <v>1772</v>
      </c>
    </row>
    <row r="83" spans="1:66" ht="11.25" customHeight="1">
      <c r="A83" s="961" t="s">
        <v>1773</v>
      </c>
      <c r="BH83" s="955" t="s">
        <v>1774</v>
      </c>
      <c r="BJ83" s="955" t="s">
        <v>1775</v>
      </c>
      <c r="BL83" s="955" t="s">
        <v>1776</v>
      </c>
    </row>
    <row r="84" spans="1:66" ht="11.25" customHeight="1">
      <c r="A84" s="961" t="s">
        <v>1777</v>
      </c>
      <c r="AZ84" s="954" t="s">
        <v>1778</v>
      </c>
    </row>
    <row r="85" spans="1:66" ht="11.25" customHeight="1">
      <c r="A85" s="1732" t="s">
        <v>1779</v>
      </c>
      <c r="AZ85" s="1005" t="s">
        <v>1780</v>
      </c>
    </row>
    <row r="86" spans="1:66" ht="11.25" customHeight="1">
      <c r="A86" s="961" t="s">
        <v>1781</v>
      </c>
      <c r="AZ86" s="1005" t="s">
        <v>1782</v>
      </c>
      <c r="BH86" s="954" t="s">
        <v>1783</v>
      </c>
      <c r="BJ86" s="954" t="s">
        <v>1784</v>
      </c>
      <c r="BL86" s="954" t="s">
        <v>1785</v>
      </c>
    </row>
    <row r="87" spans="1:66" ht="11.25" customHeight="1">
      <c r="A87" s="961" t="s">
        <v>1786</v>
      </c>
      <c r="AZ87" s="1005" t="s">
        <v>1787</v>
      </c>
      <c r="BH87" s="955" t="s">
        <v>1788</v>
      </c>
      <c r="BJ87" s="955" t="s">
        <v>1789</v>
      </c>
      <c r="BL87" s="955" t="s">
        <v>1790</v>
      </c>
    </row>
    <row r="88" spans="1:66" ht="11.25" customHeight="1">
      <c r="A88" s="961" t="s">
        <v>1791</v>
      </c>
      <c r="AZ88" s="1475"/>
      <c r="BH88" s="955" t="s">
        <v>1792</v>
      </c>
      <c r="BJ88" s="955" t="s">
        <v>1793</v>
      </c>
      <c r="BL88" s="955" t="s">
        <v>1794</v>
      </c>
    </row>
    <row r="89" spans="1:66" ht="11.25" customHeight="1">
      <c r="A89" s="961" t="s">
        <v>1795</v>
      </c>
      <c r="AZ89" s="954" t="s">
        <v>1796</v>
      </c>
    </row>
    <row r="90" spans="1:66" ht="11.25" customHeight="1">
      <c r="A90" s="961" t="s">
        <v>1797</v>
      </c>
      <c r="AZ90" s="1005" t="s">
        <v>1025</v>
      </c>
    </row>
    <row r="91" spans="1:66" ht="11.25" customHeight="1">
      <c r="A91" s="961" t="s">
        <v>1798</v>
      </c>
      <c r="AZ91" s="1005" t="s">
        <v>1061</v>
      </c>
      <c r="BH91" s="954" t="s">
        <v>1799</v>
      </c>
      <c r="BJ91" s="954" t="s">
        <v>1800</v>
      </c>
      <c r="BL91" s="954" t="s">
        <v>1801</v>
      </c>
    </row>
    <row r="92" spans="1:66" ht="11.25" customHeight="1">
      <c r="AZ92" s="1005" t="s">
        <v>1802</v>
      </c>
      <c r="BH92" s="955" t="s">
        <v>1803</v>
      </c>
      <c r="BJ92" s="955" t="s">
        <v>1804</v>
      </c>
      <c r="BL92" s="955" t="s">
        <v>1805</v>
      </c>
    </row>
    <row r="93" spans="1:66" ht="11.25" customHeight="1">
      <c r="AZ93" s="1005" t="s">
        <v>1806</v>
      </c>
      <c r="BH93" s="955" t="s">
        <v>1807</v>
      </c>
      <c r="BJ93" s="955" t="s">
        <v>1808</v>
      </c>
      <c r="BL93" s="955" t="s">
        <v>1809</v>
      </c>
    </row>
    <row r="94" spans="1:66" ht="11.25" customHeight="1">
      <c r="AZ94" s="1005" t="s">
        <v>1810</v>
      </c>
    </row>
    <row r="96" spans="1:66" ht="11.25" customHeight="1">
      <c r="AZ96" s="954" t="s">
        <v>1811</v>
      </c>
      <c r="BH96" s="954" t="s">
        <v>1812</v>
      </c>
      <c r="BJ96" s="954" t="s">
        <v>1813</v>
      </c>
      <c r="BL96" s="954" t="s">
        <v>1814</v>
      </c>
      <c r="BN96" s="954" t="s">
        <v>1815</v>
      </c>
    </row>
    <row r="97" spans="52:66" ht="11.25" customHeight="1">
      <c r="AZ97" s="1762" t="s">
        <v>1816</v>
      </c>
      <c r="BA97" s="1763" t="s">
        <v>1817</v>
      </c>
      <c r="BH97" s="955" t="s">
        <v>1818</v>
      </c>
      <c r="BJ97" s="955" t="s">
        <v>1819</v>
      </c>
      <c r="BL97" s="955" t="s">
        <v>1820</v>
      </c>
      <c r="BN97" s="955" t="s">
        <v>1821</v>
      </c>
    </row>
    <row r="98" spans="52:66" ht="11.25" customHeight="1">
      <c r="AZ98" s="1762" t="s">
        <v>1822</v>
      </c>
      <c r="BA98" s="1763" t="s">
        <v>1823</v>
      </c>
      <c r="BH98" s="955" t="s">
        <v>1824</v>
      </c>
      <c r="BJ98" s="955" t="s">
        <v>1825</v>
      </c>
      <c r="BL98" s="955" t="s">
        <v>1826</v>
      </c>
      <c r="BN98" s="955" t="s">
        <v>1827</v>
      </c>
    </row>
    <row r="99" spans="52:66" ht="22.5" customHeight="1">
      <c r="AZ99" s="1762" t="s">
        <v>1828</v>
      </c>
      <c r="BA99" s="1763" t="str">
        <f>"не позднее чем за "&amp;IF(TEMPLATE_SPHERE="TKO","3","10")&amp;" дней до дня проведения заседания правления"</f>
        <v>не позднее чем за 10 дней до дня проведения заседания правления</v>
      </c>
      <c r="BH99" s="955" t="s">
        <v>1829</v>
      </c>
      <c r="BJ99" s="955" t="s">
        <v>1830</v>
      </c>
      <c r="BL99" s="955" t="s">
        <v>1831</v>
      </c>
      <c r="BN99" s="955" t="s">
        <v>1832</v>
      </c>
    </row>
    <row r="100" spans="52:66" ht="22.5" customHeight="1">
      <c r="AZ100" s="1762" t="s">
        <v>1833</v>
      </c>
      <c r="BA100" s="176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55" t="s">
        <v>1422</v>
      </c>
      <c r="BL100" s="955" t="s">
        <v>1422</v>
      </c>
      <c r="BN100" s="955" t="s">
        <v>1834</v>
      </c>
    </row>
    <row r="101" spans="52:66" ht="22.5" customHeight="1">
      <c r="AZ101" s="1762" t="s">
        <v>1835</v>
      </c>
      <c r="BA101" s="1763" t="s">
        <v>1836</v>
      </c>
      <c r="BN101" s="955" t="s">
        <v>1837</v>
      </c>
    </row>
    <row r="102" spans="52:66" ht="22.5" customHeight="1">
      <c r="AZ102" s="1762" t="s">
        <v>1838</v>
      </c>
      <c r="BA102" s="176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55" t="s">
        <v>1839</v>
      </c>
    </row>
    <row r="103" spans="52:66" ht="11.25" customHeight="1">
      <c r="AZ103" s="1762" t="s">
        <v>1840</v>
      </c>
      <c r="BA103" s="1763" t="s">
        <v>1841</v>
      </c>
      <c r="BN103" s="955" t="s">
        <v>1842</v>
      </c>
    </row>
    <row r="104" spans="52:66" ht="11.25" customHeight="1">
      <c r="BN104" s="955" t="s">
        <v>1843</v>
      </c>
    </row>
    <row r="105" spans="52:66" ht="11.25" customHeight="1">
      <c r="AZ105" s="1556" t="s">
        <v>1844</v>
      </c>
    </row>
    <row r="106" spans="52:66" ht="11.25" customHeight="1">
      <c r="AZ106" s="1005" t="s">
        <v>1845</v>
      </c>
    </row>
    <row r="107" spans="52:66" ht="11.25" customHeight="1">
      <c r="AZ107" s="1005" t="s">
        <v>1846</v>
      </c>
      <c r="BH107" s="954" t="s">
        <v>1847</v>
      </c>
      <c r="BJ107" s="954" t="s">
        <v>1848</v>
      </c>
      <c r="BL107" s="954" t="s">
        <v>1849</v>
      </c>
      <c r="BN107" s="954" t="s">
        <v>1850</v>
      </c>
    </row>
    <row r="108" spans="52:66" ht="11.25" customHeight="1">
      <c r="AZ108" s="1005" t="s">
        <v>660</v>
      </c>
      <c r="BH108" s="955" t="s">
        <v>1851</v>
      </c>
      <c r="BJ108" s="955" t="s">
        <v>1852</v>
      </c>
      <c r="BL108" s="955" t="s">
        <v>1507</v>
      </c>
      <c r="BN108" s="955" t="s">
        <v>1853</v>
      </c>
    </row>
    <row r="109" spans="52:66" ht="11.25" customHeight="1">
      <c r="BH109" s="955" t="s">
        <v>1854</v>
      </c>
    </row>
    <row r="110" spans="52:66" ht="11.25" customHeight="1">
      <c r="AZ110" s="1556" t="s">
        <v>1855</v>
      </c>
      <c r="BH110" s="955" t="s">
        <v>1854</v>
      </c>
    </row>
    <row r="111" spans="52:66" ht="11.25" customHeight="1">
      <c r="AZ111" s="1762" t="s">
        <v>1816</v>
      </c>
      <c r="BA111" s="1763" t="s">
        <v>1817</v>
      </c>
    </row>
    <row r="112" spans="52:66" ht="11.25" customHeight="1">
      <c r="AZ112" s="1762" t="s">
        <v>1822</v>
      </c>
      <c r="BA112" s="1763" t="s">
        <v>1823</v>
      </c>
    </row>
    <row r="113" spans="52:60" ht="22.5" customHeight="1">
      <c r="AZ113" s="1762" t="s">
        <v>1828</v>
      </c>
      <c r="BA113" s="176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62" t="s">
        <v>1833</v>
      </c>
      <c r="BA114" s="176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54" t="s">
        <v>1856</v>
      </c>
    </row>
    <row r="115" spans="52:60" ht="22.5" customHeight="1">
      <c r="AZ115" s="1762" t="s">
        <v>1838</v>
      </c>
      <c r="BA115" s="176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55" t="s">
        <v>1220</v>
      </c>
    </row>
    <row r="116" spans="52:60" ht="11.25" customHeight="1">
      <c r="AZ116" s="1762" t="s">
        <v>1840</v>
      </c>
      <c r="BA116" s="1763" t="s">
        <v>1841</v>
      </c>
      <c r="BH116" s="955" t="s">
        <v>1248</v>
      </c>
    </row>
    <row r="117" spans="52:60" ht="11.25" customHeight="1">
      <c r="BH117" s="955" t="s">
        <v>1283</v>
      </c>
    </row>
    <row r="118" spans="52:60" ht="11.25" customHeight="1">
      <c r="BH118" s="955"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81"/>
  <sheetViews>
    <sheetView showGridLines="0" topLeftCell="C4" zoomScale="90" workbookViewId="0">
      <selection activeCell="W130" sqref="W130:W131"/>
    </sheetView>
  </sheetViews>
  <sheetFormatPr defaultColWidth="9.140625" defaultRowHeight="11.25" customHeight="1"/>
  <cols>
    <col min="1" max="2" width="3.7109375" style="4822" hidden="1" customWidth="1"/>
    <col min="3" max="3" width="3.7109375" style="4823" customWidth="1"/>
    <col min="4" max="4" width="6.140625" style="4823" customWidth="1"/>
    <col min="5" max="5" width="43.140625" style="4823" customWidth="1"/>
    <col min="6" max="6" width="15" style="4816" customWidth="1"/>
    <col min="7" max="7" width="43.140625" style="4823" customWidth="1"/>
    <col min="8" max="8" width="3.7109375" style="4823" customWidth="1"/>
    <col min="9" max="9" width="5.42578125" style="4823" customWidth="1"/>
    <col min="10" max="10" width="47.85546875" style="4823" customWidth="1"/>
    <col min="11" max="12" width="3.7109375" style="4823" customWidth="1"/>
    <col min="13" max="13" width="5.7109375" style="4823" customWidth="1"/>
    <col min="14" max="14" width="28.140625" style="4823" customWidth="1"/>
    <col min="15" max="16" width="3.7109375" style="4823" customWidth="1"/>
    <col min="17" max="17" width="5.7109375" style="4823" customWidth="1"/>
    <col min="18" max="18" width="34.42578125" style="4823" customWidth="1"/>
    <col min="19" max="20" width="3.7109375" style="4824" hidden="1" customWidth="1"/>
    <col min="21" max="21" width="5.7109375" style="4824" hidden="1" customWidth="1"/>
    <col min="22" max="22" width="34.42578125" style="4824" hidden="1" customWidth="1"/>
    <col min="23" max="23" width="30.7109375" style="4823" customWidth="1"/>
    <col min="24" max="24" width="3.7109375" style="4823" customWidth="1"/>
    <col min="25" max="25" width="9.85546875" style="4825" customWidth="1"/>
    <col min="26" max="28" width="9.85546875" style="4825" hidden="1" customWidth="1"/>
    <col min="29" max="29" width="27" style="4825" hidden="1" customWidth="1"/>
    <col min="30" max="30" width="10.5703125" style="4825" hidden="1" customWidth="1"/>
    <col min="31" max="31" width="10.7109375" style="4825" hidden="1" customWidth="1"/>
    <col min="32" max="32" width="10" style="4825" hidden="1" customWidth="1"/>
    <col min="33" max="33" width="12.85546875" style="4825" hidden="1" customWidth="1"/>
    <col min="34" max="34" width="24.42578125" style="4825" hidden="1" customWidth="1"/>
    <col min="35" max="35" width="15.85546875" style="4825" hidden="1" customWidth="1"/>
    <col min="36" max="36" width="19.42578125" style="4825" hidden="1" customWidth="1"/>
    <col min="37" max="37" width="11" style="4825" hidden="1" customWidth="1"/>
    <col min="38" max="38" width="23.5703125" style="4825" hidden="1" customWidth="1"/>
    <col min="39" max="39" width="23.85546875" style="4825" hidden="1" customWidth="1"/>
    <col min="40" max="40" width="25.28515625" style="4825" hidden="1" customWidth="1"/>
    <col min="41" max="41" width="16.85546875" style="4825" hidden="1" customWidth="1"/>
    <col min="42" max="42" width="29.5703125" style="4825" hidden="1" customWidth="1"/>
    <col min="43" max="43" width="29.85546875" style="4825" hidden="1" customWidth="1"/>
  </cols>
  <sheetData>
    <row r="1" spans="1:43" ht="11.25" hidden="1" customHeight="1">
      <c r="A1" s="80"/>
    </row>
    <row r="2" spans="1:43" ht="11.25" hidden="1" customHeight="1"/>
    <row r="3" spans="1:43" ht="11.25" hidden="1" customHeight="1"/>
    <row r="4" spans="1:43" ht="3" customHeight="1"/>
    <row r="5" spans="1:43" s="4811" customFormat="1" ht="29.25" customHeight="1">
      <c r="A5" s="78"/>
      <c r="B5" s="78"/>
      <c r="D5" s="527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5275"/>
      <c r="F5" s="5275"/>
      <c r="G5" s="5275"/>
      <c r="H5" s="5275"/>
      <c r="I5" s="5275"/>
      <c r="J5" s="5276"/>
      <c r="K5" s="185"/>
      <c r="L5" s="69"/>
      <c r="M5" s="69"/>
      <c r="N5" s="69"/>
      <c r="O5" s="69"/>
      <c r="P5" s="69"/>
      <c r="Q5" s="69"/>
      <c r="R5" s="69"/>
      <c r="S5" s="208"/>
      <c r="T5" s="208"/>
      <c r="U5" s="208"/>
      <c r="V5" s="208"/>
      <c r="W5" s="69"/>
      <c r="Y5" s="1144"/>
      <c r="Z5" s="1144"/>
      <c r="AA5" s="1144"/>
      <c r="AB5" s="1144"/>
      <c r="AC5" s="1144"/>
      <c r="AD5" s="1144"/>
      <c r="AE5" s="1144"/>
      <c r="AF5" s="1144"/>
      <c r="AG5" s="1144"/>
      <c r="AH5" s="1144"/>
      <c r="AI5" s="1144"/>
      <c r="AJ5" s="1144"/>
      <c r="AK5" s="1144"/>
      <c r="AL5" s="1144"/>
      <c r="AM5" s="1144"/>
      <c r="AN5" s="1144"/>
      <c r="AO5" s="1144"/>
      <c r="AP5" s="1144"/>
      <c r="AQ5" s="1144"/>
    </row>
    <row r="6" spans="1:43" s="4803" customFormat="1" ht="15" customHeight="1">
      <c r="A6" s="491"/>
      <c r="B6" s="491"/>
      <c r="C6" s="491"/>
      <c r="D6" s="5280" t="str">
        <f>IF(org=0,"Не определено",org)</f>
        <v>ООО «Газпром теплоэнерго МО»</v>
      </c>
      <c r="E6" s="5280"/>
      <c r="F6" s="5280"/>
      <c r="G6" s="5280"/>
      <c r="H6" s="5280"/>
      <c r="I6" s="5280"/>
      <c r="J6" s="5280"/>
      <c r="K6" s="492"/>
      <c r="L6" s="492"/>
      <c r="M6" s="492"/>
      <c r="N6" s="492"/>
      <c r="O6" s="765"/>
      <c r="P6" s="765"/>
      <c r="Q6" s="765"/>
      <c r="R6" s="765"/>
      <c r="S6" s="765"/>
      <c r="T6" s="765"/>
      <c r="U6" s="765"/>
      <c r="V6" s="765"/>
      <c r="W6" s="765"/>
      <c r="X6" s="492"/>
      <c r="Y6" s="1145"/>
      <c r="Z6" s="1145"/>
      <c r="AA6" s="1145"/>
      <c r="AB6" s="1145"/>
      <c r="AC6" s="1145"/>
      <c r="AD6" s="1145"/>
      <c r="AE6" s="1145"/>
      <c r="AF6" s="1145"/>
      <c r="AG6" s="1145"/>
      <c r="AH6" s="1145"/>
      <c r="AI6" s="1145"/>
      <c r="AJ6" s="1145"/>
      <c r="AK6" s="1145"/>
      <c r="AL6" s="1145"/>
      <c r="AM6" s="1145"/>
      <c r="AN6" s="1145"/>
      <c r="AO6" s="1145"/>
      <c r="AP6" s="1145"/>
      <c r="AQ6" s="1145"/>
    </row>
    <row r="7" spans="1:43" s="4812" customFormat="1" ht="11.25" customHeight="1">
      <c r="A7" s="133"/>
      <c r="B7" s="133"/>
      <c r="D7" s="5277"/>
      <c r="E7" s="5278"/>
      <c r="F7" s="5278"/>
      <c r="G7" s="5278"/>
      <c r="H7" s="5278"/>
      <c r="I7" s="5278"/>
      <c r="J7" s="5279"/>
      <c r="S7" s="217"/>
      <c r="T7" s="217"/>
      <c r="U7" s="217"/>
      <c r="V7" s="217"/>
      <c r="Y7" s="1146"/>
      <c r="Z7" s="1146"/>
      <c r="AA7" s="1146"/>
      <c r="AB7" s="1146"/>
      <c r="AC7" s="1146"/>
      <c r="AD7" s="1146"/>
      <c r="AE7" s="1146"/>
      <c r="AF7" s="1146"/>
      <c r="AG7" s="1146"/>
      <c r="AH7" s="1146"/>
      <c r="AI7" s="1146"/>
      <c r="AJ7" s="1146"/>
      <c r="AK7" s="1146"/>
      <c r="AL7" s="1146"/>
      <c r="AM7" s="1146"/>
      <c r="AN7" s="1146"/>
      <c r="AO7" s="1146"/>
      <c r="AP7" s="1146"/>
      <c r="AQ7" s="1146"/>
    </row>
    <row r="8" spans="1:43" s="4811" customFormat="1" ht="0.75" customHeight="1">
      <c r="A8" s="78"/>
      <c r="B8" s="78"/>
      <c r="D8" s="134"/>
      <c r="E8" s="134"/>
      <c r="F8" s="134"/>
      <c r="G8" s="134"/>
      <c r="H8" s="134"/>
      <c r="I8" s="134"/>
      <c r="J8" s="134"/>
      <c r="K8" s="134"/>
      <c r="L8" s="134"/>
      <c r="M8" s="134"/>
      <c r="N8" s="134"/>
      <c r="O8" s="134"/>
      <c r="P8" s="134"/>
      <c r="Q8" s="134"/>
      <c r="R8" s="134"/>
      <c r="S8" s="134"/>
      <c r="T8" s="134"/>
      <c r="U8" s="134"/>
      <c r="V8" s="134"/>
      <c r="W8" s="134"/>
      <c r="X8" s="60"/>
      <c r="Y8" s="1144"/>
      <c r="Z8" s="1144"/>
      <c r="AA8" s="1144"/>
      <c r="AB8" s="1144"/>
      <c r="AC8" s="1144"/>
      <c r="AD8" s="1144"/>
      <c r="AE8" s="1144"/>
      <c r="AF8" s="1144"/>
      <c r="AG8" s="1144"/>
      <c r="AH8" s="1144"/>
      <c r="AI8" s="1144"/>
      <c r="AJ8" s="1144"/>
      <c r="AK8" s="1144"/>
      <c r="AL8" s="1144"/>
      <c r="AM8" s="1144"/>
      <c r="AN8" s="1144"/>
      <c r="AO8" s="1144"/>
      <c r="AP8" s="1144"/>
      <c r="AQ8" s="1144"/>
    </row>
    <row r="9" spans="1:43" ht="27" customHeight="1">
      <c r="D9" s="5244" t="s">
        <v>85</v>
      </c>
      <c r="E9" s="5215" t="s">
        <v>140</v>
      </c>
      <c r="F9" s="5214"/>
      <c r="G9" s="5244" t="s">
        <v>125</v>
      </c>
      <c r="H9" s="5244" t="s">
        <v>85</v>
      </c>
      <c r="I9" s="5244"/>
      <c r="J9" s="5244" t="s">
        <v>141</v>
      </c>
      <c r="K9" s="5272" t="s">
        <v>142</v>
      </c>
      <c r="L9" s="5272"/>
      <c r="M9" s="5272"/>
      <c r="N9" s="5272"/>
      <c r="O9" s="5272" t="s">
        <v>143</v>
      </c>
      <c r="P9" s="5272"/>
      <c r="Q9" s="5272"/>
      <c r="R9" s="5272"/>
      <c r="S9" s="5272" t="s">
        <v>144</v>
      </c>
      <c r="T9" s="5272"/>
      <c r="U9" s="5272"/>
      <c r="V9" s="5272"/>
      <c r="W9" s="5244" t="s">
        <v>145</v>
      </c>
    </row>
    <row r="10" spans="1:43" ht="30" customHeight="1">
      <c r="D10" s="5244"/>
      <c r="E10" s="1166" t="s">
        <v>86</v>
      </c>
      <c r="F10" s="1166" t="s">
        <v>146</v>
      </c>
      <c r="G10" s="5244"/>
      <c r="H10" s="5244"/>
      <c r="I10" s="5244"/>
      <c r="J10" s="5244"/>
      <c r="K10" s="43" t="s">
        <v>128</v>
      </c>
      <c r="L10" s="5244" t="s">
        <v>85</v>
      </c>
      <c r="M10" s="5244"/>
      <c r="N10" s="43" t="s">
        <v>147</v>
      </c>
      <c r="O10" s="43" t="s">
        <v>128</v>
      </c>
      <c r="P10" s="5244" t="s">
        <v>85</v>
      </c>
      <c r="Q10" s="5244"/>
      <c r="R10" s="43" t="s">
        <v>147</v>
      </c>
      <c r="S10" s="201" t="s">
        <v>128</v>
      </c>
      <c r="T10" s="5244" t="s">
        <v>85</v>
      </c>
      <c r="U10" s="5244"/>
      <c r="V10" s="201" t="s">
        <v>86</v>
      </c>
      <c r="W10" s="5244"/>
      <c r="Z10" s="1143" t="s">
        <v>148</v>
      </c>
      <c r="AA10" s="1143" t="s">
        <v>149</v>
      </c>
      <c r="AB10" s="1143" t="s">
        <v>150</v>
      </c>
      <c r="AC10" s="1143" t="s">
        <v>151</v>
      </c>
      <c r="AD10" s="1143" t="s">
        <v>152</v>
      </c>
      <c r="AE10" s="1143" t="s">
        <v>153</v>
      </c>
      <c r="AF10" s="1143" t="s">
        <v>154</v>
      </c>
      <c r="AG10" s="1143" t="s">
        <v>155</v>
      </c>
      <c r="AH10" s="1143" t="s">
        <v>156</v>
      </c>
      <c r="AI10" s="1143" t="s">
        <v>157</v>
      </c>
      <c r="AJ10" s="1143" t="s">
        <v>158</v>
      </c>
      <c r="AK10" s="1143" t="s">
        <v>159</v>
      </c>
      <c r="AL10" s="1143" t="s">
        <v>160</v>
      </c>
      <c r="AM10" s="1143" t="s">
        <v>161</v>
      </c>
      <c r="AN10" s="1143" t="s">
        <v>162</v>
      </c>
      <c r="AO10" s="1143" t="s">
        <v>163</v>
      </c>
      <c r="AP10" s="1143" t="s">
        <v>164</v>
      </c>
      <c r="AQ10" s="1143" t="s">
        <v>165</v>
      </c>
    </row>
    <row r="11" spans="1:43" s="4813" customFormat="1" ht="12" hidden="1" customHeight="1">
      <c r="D11" s="1132" t="s">
        <v>129</v>
      </c>
      <c r="E11" s="1132" t="s">
        <v>100</v>
      </c>
      <c r="F11" s="1132"/>
      <c r="G11" s="1132" t="s">
        <v>87</v>
      </c>
      <c r="H11" s="5273" t="s">
        <v>114</v>
      </c>
      <c r="I11" s="5273"/>
      <c r="J11" s="1132" t="s">
        <v>89</v>
      </c>
      <c r="K11" s="1132" t="s">
        <v>90</v>
      </c>
      <c r="L11" s="5273" t="s">
        <v>130</v>
      </c>
      <c r="M11" s="5273"/>
      <c r="N11" s="1132" t="s">
        <v>166</v>
      </c>
      <c r="O11" s="1132" t="s">
        <v>167</v>
      </c>
      <c r="P11" s="5273" t="s">
        <v>168</v>
      </c>
      <c r="Q11" s="5273"/>
      <c r="R11" s="1132" t="s">
        <v>97</v>
      </c>
      <c r="S11" s="1132" t="s">
        <v>168</v>
      </c>
      <c r="T11" s="5273" t="s">
        <v>97</v>
      </c>
      <c r="U11" s="5273"/>
      <c r="V11" s="1132" t="s">
        <v>169</v>
      </c>
      <c r="W11" s="1132" t="s">
        <v>170</v>
      </c>
      <c r="Y11" s="1143"/>
      <c r="Z11" s="1143"/>
      <c r="AA11" s="1143"/>
      <c r="AB11" s="1143"/>
      <c r="AC11" s="1143"/>
      <c r="AD11" s="1143"/>
      <c r="AE11" s="1143"/>
      <c r="AF11" s="1143"/>
      <c r="AG11" s="1143"/>
      <c r="AH11" s="1143"/>
      <c r="AI11" s="1143"/>
      <c r="AJ11" s="1143"/>
      <c r="AK11" s="1143"/>
      <c r="AL11" s="1143"/>
      <c r="AM11" s="1143"/>
      <c r="AN11" s="1143"/>
      <c r="AO11" s="1143"/>
      <c r="AP11" s="1143"/>
      <c r="AQ11" s="1143"/>
    </row>
    <row r="12" spans="1:43" ht="14.25" hidden="1" customHeight="1">
      <c r="C12" s="131"/>
      <c r="D12" s="1165">
        <v>0</v>
      </c>
      <c r="E12" s="170"/>
      <c r="F12" s="170"/>
      <c r="G12" s="170"/>
      <c r="H12" s="171"/>
      <c r="I12" s="171"/>
      <c r="J12" s="82"/>
      <c r="K12" s="44"/>
      <c r="L12" s="82"/>
      <c r="M12" s="82"/>
      <c r="N12" s="172"/>
      <c r="O12" s="44"/>
      <c r="P12" s="82"/>
      <c r="Q12" s="82"/>
      <c r="R12" s="173"/>
      <c r="S12" s="202"/>
      <c r="T12" s="210"/>
      <c r="U12" s="210"/>
      <c r="V12" s="214"/>
      <c r="W12" s="44"/>
      <c r="X12" s="68"/>
    </row>
    <row r="13" spans="1:43" s="4814" customFormat="1" ht="17.25" hidden="1" customHeight="1">
      <c r="A13" s="239"/>
      <c r="C13" s="131"/>
      <c r="D13" s="5252">
        <v>1</v>
      </c>
      <c r="E13" s="5260" t="s">
        <v>171</v>
      </c>
      <c r="F13" s="5262" t="s">
        <v>54</v>
      </c>
      <c r="G13" s="5260"/>
      <c r="H13" s="5265"/>
      <c r="I13" s="5267"/>
      <c r="J13" s="5269"/>
      <c r="K13" s="5254"/>
      <c r="L13" s="5254"/>
      <c r="M13" s="5254"/>
      <c r="N13" s="5256"/>
      <c r="O13" s="5254"/>
      <c r="P13" s="5254"/>
      <c r="Q13" s="5254"/>
      <c r="R13" s="5259"/>
      <c r="S13" s="5254"/>
      <c r="T13" s="1297"/>
      <c r="U13" s="1297"/>
      <c r="V13" s="1296"/>
      <c r="W13" s="1177"/>
      <c r="Y13" s="1150"/>
      <c r="Z13" s="1150"/>
      <c r="AA13" s="1150"/>
      <c r="AB13" s="1150"/>
      <c r="AC13" s="1150" t="s">
        <v>172</v>
      </c>
      <c r="AD13" s="1150" t="s">
        <v>173</v>
      </c>
      <c r="AE13" s="1150" t="s">
        <v>174</v>
      </c>
      <c r="AF13" s="1150" t="s">
        <v>175</v>
      </c>
      <c r="AG13" s="1150" t="s">
        <v>176</v>
      </c>
      <c r="AH13" s="115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50" t="str">
        <f>IF($G$13=0,"",$G$13)</f>
        <v/>
      </c>
      <c r="AJ13" s="1150" t="str">
        <f>IF($J$13=0,"",$J$13)</f>
        <v/>
      </c>
      <c r="AK13" s="1150" t="str">
        <f>IF($K$13="нет","без дифференциации",IF($N$13=0,"",$N$13))</f>
        <v/>
      </c>
      <c r="AL13" s="1150" t="str">
        <f>IF($O$13="нет","без дифференциации",IF($R$13=0,"",$R$13))</f>
        <v/>
      </c>
      <c r="AM13" s="1150" t="str">
        <f>IF($S$13="нет","без дифференциации",IF($V$13=0,"",$V$13))</f>
        <v/>
      </c>
      <c r="AN13" s="1150">
        <f>$I$13</f>
        <v>0</v>
      </c>
      <c r="AO13" s="1150" t="str">
        <f>$I$13&amp;"."&amp;$M$13</f>
        <v>.</v>
      </c>
      <c r="AP13" s="1150" t="str">
        <f>$I$13&amp;"."&amp;$M$13&amp;"."&amp;$Q$13</f>
        <v>..</v>
      </c>
      <c r="AQ13" s="1150" t="str">
        <f>$I$13&amp;"."&amp;$M$13&amp;"."&amp;$Q$13&amp;"."&amp;$U$13</f>
        <v>...</v>
      </c>
    </row>
    <row r="14" spans="1:43" s="4814" customFormat="1" ht="17.25" hidden="1" customHeight="1">
      <c r="A14" s="239"/>
      <c r="C14" s="238"/>
      <c r="D14" s="5252"/>
      <c r="E14" s="5260"/>
      <c r="F14" s="5263"/>
      <c r="G14" s="5260"/>
      <c r="H14" s="5266"/>
      <c r="I14" s="5268"/>
      <c r="J14" s="5270"/>
      <c r="K14" s="5255"/>
      <c r="L14" s="5255"/>
      <c r="M14" s="5255"/>
      <c r="N14" s="5257"/>
      <c r="O14" s="5255"/>
      <c r="P14" s="5255"/>
      <c r="Q14" s="5255"/>
      <c r="R14" s="5258"/>
      <c r="S14" s="5255"/>
      <c r="T14" s="1178"/>
      <c r="U14" s="1178"/>
      <c r="V14" s="1178"/>
      <c r="W14" s="1179"/>
      <c r="Y14" s="1143"/>
      <c r="Z14" s="1143"/>
      <c r="AA14" s="1143"/>
      <c r="AB14" s="1143"/>
      <c r="AC14" s="1143"/>
      <c r="AD14" s="1143"/>
      <c r="AE14" s="1143"/>
      <c r="AF14" s="1143"/>
      <c r="AG14" s="1143"/>
      <c r="AH14" s="1143"/>
      <c r="AI14" s="1143"/>
      <c r="AJ14" s="1143"/>
      <c r="AK14" s="1143"/>
      <c r="AL14" s="1143"/>
      <c r="AM14" s="1143"/>
      <c r="AN14" s="1143"/>
      <c r="AO14" s="1143"/>
      <c r="AP14" s="1143"/>
      <c r="AQ14" s="1143"/>
    </row>
    <row r="15" spans="1:43" s="4815" customFormat="1" ht="17.25" hidden="1" customHeight="1">
      <c r="A15" s="239"/>
      <c r="C15" s="131"/>
      <c r="D15" s="5252"/>
      <c r="E15" s="5260"/>
      <c r="F15" s="5263"/>
      <c r="G15" s="5260"/>
      <c r="H15" s="5266"/>
      <c r="I15" s="5268"/>
      <c r="J15" s="5271"/>
      <c r="K15" s="5255"/>
      <c r="L15" s="5255"/>
      <c r="M15" s="5255"/>
      <c r="N15" s="5258"/>
      <c r="O15" s="5255"/>
      <c r="P15" s="1295"/>
      <c r="Q15" s="1178"/>
      <c r="R15" s="1178"/>
      <c r="S15" s="247"/>
      <c r="T15" s="247"/>
      <c r="U15" s="247"/>
      <c r="V15" s="247"/>
      <c r="W15" s="1179"/>
      <c r="Y15" s="1150"/>
      <c r="Z15" s="1150"/>
      <c r="AA15" s="1150"/>
      <c r="AB15" s="1150"/>
      <c r="AC15" s="1150"/>
      <c r="AD15" s="1150"/>
      <c r="AE15" s="1150"/>
      <c r="AF15" s="1150"/>
      <c r="AG15" s="1150"/>
      <c r="AH15" s="1150"/>
      <c r="AI15" s="1150"/>
      <c r="AJ15" s="1150"/>
      <c r="AK15" s="1150"/>
      <c r="AL15" s="1150"/>
      <c r="AM15" s="1150"/>
      <c r="AN15" s="1150"/>
      <c r="AO15" s="1150"/>
      <c r="AP15" s="1150"/>
      <c r="AQ15" s="1150"/>
    </row>
    <row r="16" spans="1:43" s="4815" customFormat="1" ht="17.25" hidden="1" customHeight="1">
      <c r="A16" s="239"/>
      <c r="C16" s="238"/>
      <c r="D16" s="5252"/>
      <c r="E16" s="5260"/>
      <c r="F16" s="5263"/>
      <c r="G16" s="5260"/>
      <c r="H16" s="5266"/>
      <c r="I16" s="5268"/>
      <c r="J16" s="5271"/>
      <c r="K16" s="5255"/>
      <c r="L16" s="1178"/>
      <c r="M16" s="1178"/>
      <c r="N16" s="1178"/>
      <c r="O16" s="1178"/>
      <c r="P16" s="1178"/>
      <c r="Q16" s="1178"/>
      <c r="R16" s="1178"/>
      <c r="S16" s="247"/>
      <c r="T16" s="247"/>
      <c r="U16" s="247"/>
      <c r="V16" s="247"/>
      <c r="W16" s="1179"/>
      <c r="Y16" s="1143"/>
      <c r="Z16" s="1143"/>
      <c r="AA16" s="1143"/>
      <c r="AB16" s="1143"/>
      <c r="AC16" s="1143"/>
      <c r="AD16" s="1143"/>
      <c r="AE16" s="1143"/>
      <c r="AF16" s="1143"/>
      <c r="AG16" s="1143"/>
      <c r="AH16" s="1143"/>
      <c r="AI16" s="1143"/>
      <c r="AJ16" s="1143"/>
      <c r="AK16" s="1143"/>
      <c r="AL16" s="1143"/>
      <c r="AM16" s="1143"/>
      <c r="AN16" s="1143"/>
      <c r="AO16" s="1143"/>
      <c r="AP16" s="1143"/>
      <c r="AQ16" s="1143"/>
    </row>
    <row r="17" spans="1:43" s="4814" customFormat="1" ht="17.25" hidden="1" customHeight="1">
      <c r="A17" s="239"/>
      <c r="C17" s="238"/>
      <c r="D17" s="5253"/>
      <c r="E17" s="5261"/>
      <c r="F17" s="5264"/>
      <c r="G17" s="5261"/>
      <c r="H17" s="1180"/>
      <c r="I17" s="1181"/>
      <c r="J17" s="1181"/>
      <c r="K17" s="1181"/>
      <c r="L17" s="1181"/>
      <c r="M17" s="1181"/>
      <c r="N17" s="1181"/>
      <c r="O17" s="1181"/>
      <c r="P17" s="1181"/>
      <c r="Q17" s="1181"/>
      <c r="R17" s="1181"/>
      <c r="S17" s="1182"/>
      <c r="T17" s="1182"/>
      <c r="U17" s="1182"/>
      <c r="V17" s="1182"/>
      <c r="W17" s="1183"/>
      <c r="Y17" s="1143"/>
      <c r="Z17" s="1143"/>
      <c r="AA17" s="1143"/>
      <c r="AB17" s="1143"/>
      <c r="AC17" s="1143"/>
      <c r="AD17" s="1143"/>
      <c r="AE17" s="1143"/>
      <c r="AF17" s="1143"/>
      <c r="AG17" s="1143"/>
      <c r="AH17" s="1143"/>
      <c r="AI17" s="1143"/>
      <c r="AJ17" s="1143"/>
      <c r="AK17" s="1143"/>
      <c r="AL17" s="1143"/>
      <c r="AM17" s="1143"/>
      <c r="AN17" s="1143"/>
      <c r="AO17" s="1143"/>
      <c r="AP17" s="1143"/>
      <c r="AQ17" s="1143"/>
    </row>
    <row r="18" spans="1:43" s="4816" customFormat="1" ht="17.25" hidden="1" customHeight="1">
      <c r="A18" s="239"/>
      <c r="C18" s="131"/>
      <c r="D18" s="5252">
        <v>2</v>
      </c>
      <c r="E18" s="5260" t="s">
        <v>177</v>
      </c>
      <c r="F18" s="5262" t="s">
        <v>54</v>
      </c>
      <c r="G18" s="5260"/>
      <c r="H18" s="5265"/>
      <c r="I18" s="5267"/>
      <c r="J18" s="5269"/>
      <c r="K18" s="5254"/>
      <c r="L18" s="5254"/>
      <c r="M18" s="5254"/>
      <c r="N18" s="5256"/>
      <c r="O18" s="5254"/>
      <c r="P18" s="5254"/>
      <c r="Q18" s="5254"/>
      <c r="R18" s="5259"/>
      <c r="S18" s="5254"/>
      <c r="T18" s="1297"/>
      <c r="U18" s="1297"/>
      <c r="V18" s="1296"/>
      <c r="W18" s="1177"/>
      <c r="X18" s="1150"/>
      <c r="Y18" s="1150"/>
      <c r="Z18" s="1150"/>
      <c r="AA18" s="1150"/>
      <c r="AB18" s="1150"/>
      <c r="AC18" s="1150" t="s">
        <v>178</v>
      </c>
      <c r="AD18" s="1150" t="s">
        <v>179</v>
      </c>
      <c r="AE18" s="1150" t="s">
        <v>180</v>
      </c>
      <c r="AF18" s="1150" t="s">
        <v>181</v>
      </c>
      <c r="AG18" s="1150" t="s">
        <v>182</v>
      </c>
      <c r="AH18" s="1150" t="str">
        <f>IF($E$18=0,"",$E$18)</f>
        <v>Тарифы на тепловую энергию (мощность), поставляемую теплоснабжающими организациями потребителям, другим теплоснабжающим организациям</v>
      </c>
      <c r="AI18" s="1150" t="str">
        <f>IF($G$18=0,"",$G$18)</f>
        <v/>
      </c>
      <c r="AJ18" s="1150" t="str">
        <f>IF($J$18=0,"",$J$18)</f>
        <v/>
      </c>
      <c r="AK18" s="1150" t="str">
        <f>IF($K$18="нет","без дифференциации",IF($N$18=0,"",$N$18))</f>
        <v/>
      </c>
      <c r="AL18" s="1150" t="str">
        <f>IF($O$18="нет","без дифференциации",IF($R$18=0,"",$R$18))</f>
        <v/>
      </c>
      <c r="AM18" s="1150" t="str">
        <f>IF($S$18="нет","без дифференциации",IF($V$18=0,"",$V$18))</f>
        <v/>
      </c>
      <c r="AN18" s="1635">
        <f>$I$18</f>
        <v>0</v>
      </c>
      <c r="AO18" s="1150" t="str">
        <f>$I$18&amp;"."&amp;$M$18</f>
        <v>.</v>
      </c>
      <c r="AP18" s="1143" t="str">
        <f>$I$18&amp;"."&amp;$M$18&amp;"."&amp;$Q$18</f>
        <v>..</v>
      </c>
      <c r="AQ18" s="1143" t="str">
        <f>$I$18&amp;"."&amp;$M$18&amp;"."&amp;$Q$18&amp;"."&amp;$U$18</f>
        <v>...</v>
      </c>
    </row>
    <row r="19" spans="1:43" s="4816" customFormat="1" ht="17.25" hidden="1" customHeight="1">
      <c r="A19" s="239"/>
      <c r="C19" s="238"/>
      <c r="D19" s="5252"/>
      <c r="E19" s="5260"/>
      <c r="F19" s="5263"/>
      <c r="G19" s="5260"/>
      <c r="H19" s="5266"/>
      <c r="I19" s="5268"/>
      <c r="J19" s="5270"/>
      <c r="K19" s="5255"/>
      <c r="L19" s="5255"/>
      <c r="M19" s="5255"/>
      <c r="N19" s="5257"/>
      <c r="O19" s="5255"/>
      <c r="P19" s="5255"/>
      <c r="Q19" s="5255"/>
      <c r="R19" s="5258"/>
      <c r="S19" s="5255"/>
      <c r="T19" s="1178"/>
      <c r="U19" s="1178"/>
      <c r="V19" s="1178"/>
      <c r="W19" s="1179"/>
      <c r="X19" s="1143"/>
      <c r="Y19" s="1143"/>
      <c r="Z19" s="1143"/>
      <c r="AA19" s="1143"/>
      <c r="AB19" s="1143"/>
      <c r="AC19" s="1143"/>
      <c r="AD19" s="1143"/>
      <c r="AE19" s="1143"/>
      <c r="AF19" s="1143"/>
      <c r="AG19" s="1143"/>
      <c r="AH19" s="1143"/>
      <c r="AI19" s="1143"/>
      <c r="AJ19" s="1143"/>
      <c r="AK19" s="1143"/>
      <c r="AL19" s="1143"/>
      <c r="AM19" s="1143"/>
      <c r="AN19" s="1143"/>
      <c r="AO19" s="1143"/>
      <c r="AP19" s="1143"/>
      <c r="AQ19" s="1143"/>
    </row>
    <row r="20" spans="1:43" s="4816" customFormat="1" ht="17.25" hidden="1" customHeight="1">
      <c r="A20" s="239"/>
      <c r="C20" s="238"/>
      <c r="D20" s="5253"/>
      <c r="E20" s="5261"/>
      <c r="F20" s="5263"/>
      <c r="G20" s="5261"/>
      <c r="H20" s="5266"/>
      <c r="I20" s="5268"/>
      <c r="J20" s="5271"/>
      <c r="K20" s="5255"/>
      <c r="L20" s="5255"/>
      <c r="M20" s="5255"/>
      <c r="N20" s="5258"/>
      <c r="O20" s="5255"/>
      <c r="P20" s="1295"/>
      <c r="Q20" s="1178"/>
      <c r="R20" s="1178"/>
      <c r="S20" s="247"/>
      <c r="T20" s="247"/>
      <c r="U20" s="247"/>
      <c r="V20" s="247"/>
      <c r="W20" s="1179"/>
      <c r="X20" s="1143"/>
      <c r="Y20" s="1143"/>
      <c r="Z20" s="1143"/>
      <c r="AA20" s="1143"/>
      <c r="AB20" s="1143"/>
      <c r="AC20" s="1143"/>
      <c r="AD20" s="1143"/>
      <c r="AE20" s="1143"/>
      <c r="AF20" s="1143"/>
      <c r="AG20" s="1143"/>
      <c r="AH20" s="1143"/>
      <c r="AI20" s="1143"/>
      <c r="AJ20" s="1143"/>
      <c r="AK20" s="1143"/>
      <c r="AL20" s="1143"/>
      <c r="AM20" s="1143"/>
      <c r="AN20" s="1143"/>
      <c r="AO20" s="1143"/>
      <c r="AP20" s="1143"/>
      <c r="AQ20" s="1143"/>
    </row>
    <row r="21" spans="1:43" s="4816" customFormat="1" ht="17.25" hidden="1" customHeight="1">
      <c r="A21" s="239"/>
      <c r="C21" s="238"/>
      <c r="D21" s="5253"/>
      <c r="E21" s="5261"/>
      <c r="F21" s="5263"/>
      <c r="G21" s="5261"/>
      <c r="H21" s="5266"/>
      <c r="I21" s="5268"/>
      <c r="J21" s="5271"/>
      <c r="K21" s="5255"/>
      <c r="L21" s="1178"/>
      <c r="M21" s="1178"/>
      <c r="N21" s="1178"/>
      <c r="O21" s="1178"/>
      <c r="P21" s="1178"/>
      <c r="Q21" s="1178"/>
      <c r="R21" s="1178"/>
      <c r="S21" s="247"/>
      <c r="T21" s="247"/>
      <c r="U21" s="247"/>
      <c r="V21" s="247"/>
      <c r="W21" s="1179"/>
      <c r="X21" s="1143"/>
      <c r="Y21" s="1143"/>
      <c r="Z21" s="1143"/>
      <c r="AA21" s="1143"/>
      <c r="AB21" s="1143"/>
      <c r="AC21" s="1143"/>
      <c r="AD21" s="1143"/>
      <c r="AE21" s="1143"/>
      <c r="AF21" s="1143"/>
      <c r="AG21" s="1143"/>
      <c r="AH21" s="1143"/>
      <c r="AI21" s="1143"/>
      <c r="AJ21" s="1143"/>
      <c r="AK21" s="1143"/>
      <c r="AL21" s="1143"/>
      <c r="AM21" s="1143"/>
      <c r="AN21" s="1143"/>
      <c r="AO21" s="1143"/>
      <c r="AP21" s="1143"/>
      <c r="AQ21" s="1143"/>
    </row>
    <row r="22" spans="1:43" s="4816" customFormat="1" ht="17.25" hidden="1" customHeight="1">
      <c r="A22" s="239"/>
      <c r="C22" s="238"/>
      <c r="D22" s="5253"/>
      <c r="E22" s="5261"/>
      <c r="F22" s="5264"/>
      <c r="G22" s="5261"/>
      <c r="H22" s="1180"/>
      <c r="I22" s="1181"/>
      <c r="J22" s="1181"/>
      <c r="K22" s="1181"/>
      <c r="L22" s="1181"/>
      <c r="M22" s="1181"/>
      <c r="N22" s="1181"/>
      <c r="O22" s="1181"/>
      <c r="P22" s="1181"/>
      <c r="Q22" s="1181"/>
      <c r="R22" s="1181"/>
      <c r="S22" s="1182"/>
      <c r="T22" s="1182"/>
      <c r="U22" s="1182"/>
      <c r="V22" s="1182"/>
      <c r="W22" s="1183"/>
      <c r="X22" s="1143"/>
      <c r="Y22" s="1143"/>
      <c r="Z22" s="1143"/>
      <c r="AA22" s="1143"/>
      <c r="AB22" s="1143"/>
      <c r="AC22" s="1143"/>
      <c r="AD22" s="1143"/>
      <c r="AE22" s="1143"/>
      <c r="AF22" s="1143"/>
      <c r="AG22" s="1143"/>
      <c r="AH22" s="1143"/>
      <c r="AI22" s="1143"/>
      <c r="AJ22" s="1143"/>
      <c r="AK22" s="1143"/>
      <c r="AL22" s="1143"/>
      <c r="AM22" s="1143"/>
      <c r="AN22" s="1143"/>
      <c r="AO22" s="1143"/>
      <c r="AP22" s="1143"/>
      <c r="AQ22" s="1143"/>
    </row>
    <row r="23" spans="1:43" s="4816" customFormat="1" ht="17.25" hidden="1" customHeight="1">
      <c r="A23" s="239"/>
      <c r="C23" s="131"/>
      <c r="D23" s="5252">
        <v>3</v>
      </c>
      <c r="E23" s="5260" t="s">
        <v>183</v>
      </c>
      <c r="F23" s="5262" t="s">
        <v>54</v>
      </c>
      <c r="G23" s="5260"/>
      <c r="H23" s="5265"/>
      <c r="I23" s="5267"/>
      <c r="J23" s="5269"/>
      <c r="K23" s="5254"/>
      <c r="L23" s="5254"/>
      <c r="M23" s="5254"/>
      <c r="N23" s="5256"/>
      <c r="O23" s="5254"/>
      <c r="P23" s="5254"/>
      <c r="Q23" s="5254"/>
      <c r="R23" s="5259"/>
      <c r="S23" s="5254"/>
      <c r="T23" s="1297"/>
      <c r="U23" s="1297"/>
      <c r="V23" s="1296"/>
      <c r="W23" s="1177"/>
      <c r="X23" s="1150"/>
      <c r="Y23" s="1150"/>
      <c r="Z23" s="1150"/>
      <c r="AA23" s="1150"/>
      <c r="AB23" s="1150"/>
      <c r="AC23" s="1150" t="s">
        <v>184</v>
      </c>
      <c r="AD23" s="1150" t="s">
        <v>185</v>
      </c>
      <c r="AE23" s="1150" t="s">
        <v>186</v>
      </c>
      <c r="AF23" s="1150" t="s">
        <v>187</v>
      </c>
      <c r="AG23" s="1150" t="s">
        <v>188</v>
      </c>
      <c r="AH23" s="1150" t="str">
        <f>IF($E$23=0,"",$E$23)</f>
        <v>Тарифы на теплоноситель, поставляемый теплоснабжающими организациями потребителям, другим теплоснабжающим организациям</v>
      </c>
      <c r="AI23" s="1150" t="str">
        <f>IF($G$23=0,"",$G$23)</f>
        <v/>
      </c>
      <c r="AJ23" s="1150" t="str">
        <f>IF($J$23=0,"",$J$23)</f>
        <v/>
      </c>
      <c r="AK23" s="1150" t="str">
        <f>IF($K$23="нет","без дифференциации",IF($N$23=0,"",$N$23))</f>
        <v/>
      </c>
      <c r="AL23" s="1150" t="str">
        <f>IF($O$23="нет","без дифференциации",IF($R$23=0,"",$R$23))</f>
        <v/>
      </c>
      <c r="AM23" s="1150" t="str">
        <f>IF($S$23="нет","без дифференциации",IF($V$23=0,"",$V$23))</f>
        <v/>
      </c>
      <c r="AN23" s="1635">
        <f>$I$23</f>
        <v>0</v>
      </c>
      <c r="AO23" s="1150" t="str">
        <f>$I$23&amp;"."&amp;$M$23</f>
        <v>.</v>
      </c>
      <c r="AP23" s="1143" t="str">
        <f>$I$23&amp;"."&amp;$M$23&amp;"."&amp;$Q$23</f>
        <v>..</v>
      </c>
      <c r="AQ23" s="1143" t="str">
        <f>$I$23&amp;"."&amp;$M$23&amp;"."&amp;$Q$23&amp;"."&amp;$U$23</f>
        <v>...</v>
      </c>
    </row>
    <row r="24" spans="1:43" s="4816" customFormat="1" ht="17.25" hidden="1" customHeight="1">
      <c r="A24" s="239"/>
      <c r="C24" s="238"/>
      <c r="D24" s="5252"/>
      <c r="E24" s="5260"/>
      <c r="F24" s="5263"/>
      <c r="G24" s="5260"/>
      <c r="H24" s="5266"/>
      <c r="I24" s="5268"/>
      <c r="J24" s="5270"/>
      <c r="K24" s="5255"/>
      <c r="L24" s="5255"/>
      <c r="M24" s="5255"/>
      <c r="N24" s="5257"/>
      <c r="O24" s="5255"/>
      <c r="P24" s="5255"/>
      <c r="Q24" s="5255"/>
      <c r="R24" s="5258"/>
      <c r="S24" s="5255"/>
      <c r="T24" s="1178"/>
      <c r="U24" s="1178"/>
      <c r="V24" s="1178"/>
      <c r="W24" s="1179"/>
      <c r="X24" s="1143"/>
      <c r="Y24" s="1143"/>
      <c r="Z24" s="1143"/>
      <c r="AA24" s="1143"/>
      <c r="AB24" s="1143"/>
      <c r="AC24" s="1143"/>
      <c r="AD24" s="1143"/>
      <c r="AE24" s="1143"/>
      <c r="AF24" s="1143"/>
      <c r="AG24" s="1143"/>
      <c r="AH24" s="1143"/>
      <c r="AI24" s="1143"/>
      <c r="AJ24" s="1143"/>
      <c r="AK24" s="1143"/>
      <c r="AL24" s="1143"/>
      <c r="AM24" s="1143"/>
      <c r="AN24" s="1143"/>
      <c r="AO24" s="1143"/>
      <c r="AP24" s="1143"/>
      <c r="AQ24" s="1143"/>
    </row>
    <row r="25" spans="1:43" s="4816" customFormat="1" ht="17.25" hidden="1" customHeight="1">
      <c r="A25" s="239"/>
      <c r="C25" s="238"/>
      <c r="D25" s="5253"/>
      <c r="E25" s="5261"/>
      <c r="F25" s="5263"/>
      <c r="G25" s="5261"/>
      <c r="H25" s="5266"/>
      <c r="I25" s="5268"/>
      <c r="J25" s="5271"/>
      <c r="K25" s="5255"/>
      <c r="L25" s="5255"/>
      <c r="M25" s="5255"/>
      <c r="N25" s="5258"/>
      <c r="O25" s="5255"/>
      <c r="P25" s="1295"/>
      <c r="Q25" s="1178"/>
      <c r="R25" s="1178"/>
      <c r="S25" s="247"/>
      <c r="T25" s="247"/>
      <c r="U25" s="247"/>
      <c r="V25" s="247"/>
      <c r="W25" s="1179"/>
      <c r="X25" s="1143"/>
      <c r="Y25" s="1143"/>
      <c r="Z25" s="1143"/>
      <c r="AA25" s="1143"/>
      <c r="AB25" s="1143"/>
      <c r="AC25" s="1143"/>
      <c r="AD25" s="1143"/>
      <c r="AE25" s="1143"/>
      <c r="AF25" s="1143"/>
      <c r="AG25" s="1143"/>
      <c r="AH25" s="1143"/>
      <c r="AI25" s="1143"/>
      <c r="AJ25" s="1143"/>
      <c r="AK25" s="1143"/>
      <c r="AL25" s="1143"/>
      <c r="AM25" s="1143"/>
      <c r="AN25" s="1143"/>
      <c r="AO25" s="1143"/>
      <c r="AP25" s="1143"/>
      <c r="AQ25" s="1143"/>
    </row>
    <row r="26" spans="1:43" s="4816" customFormat="1" ht="17.25" hidden="1" customHeight="1">
      <c r="A26" s="239"/>
      <c r="C26" s="238"/>
      <c r="D26" s="5253"/>
      <c r="E26" s="5261"/>
      <c r="F26" s="5263"/>
      <c r="G26" s="5261"/>
      <c r="H26" s="5266"/>
      <c r="I26" s="5268"/>
      <c r="J26" s="5271"/>
      <c r="K26" s="5255"/>
      <c r="L26" s="1178"/>
      <c r="M26" s="1178"/>
      <c r="N26" s="1178"/>
      <c r="O26" s="1178"/>
      <c r="P26" s="1178"/>
      <c r="Q26" s="1178"/>
      <c r="R26" s="1178"/>
      <c r="S26" s="247"/>
      <c r="T26" s="247"/>
      <c r="U26" s="247"/>
      <c r="V26" s="247"/>
      <c r="W26" s="1179"/>
      <c r="X26" s="1143"/>
      <c r="Y26" s="1143"/>
      <c r="Z26" s="1143"/>
      <c r="AA26" s="1143"/>
      <c r="AB26" s="1143"/>
      <c r="AC26" s="1143"/>
      <c r="AD26" s="1143"/>
      <c r="AE26" s="1143"/>
      <c r="AF26" s="1143"/>
      <c r="AG26" s="1143"/>
      <c r="AH26" s="1143"/>
      <c r="AI26" s="1143"/>
      <c r="AJ26" s="1143"/>
      <c r="AK26" s="1143"/>
      <c r="AL26" s="1143"/>
      <c r="AM26" s="1143"/>
      <c r="AN26" s="1143"/>
      <c r="AO26" s="1143"/>
      <c r="AP26" s="1143"/>
      <c r="AQ26" s="1143"/>
    </row>
    <row r="27" spans="1:43" s="4816" customFormat="1" ht="17.25" hidden="1" customHeight="1">
      <c r="A27" s="239"/>
      <c r="C27" s="238"/>
      <c r="D27" s="5253"/>
      <c r="E27" s="5261"/>
      <c r="F27" s="5264"/>
      <c r="G27" s="5261"/>
      <c r="H27" s="1180"/>
      <c r="I27" s="1181"/>
      <c r="J27" s="1181"/>
      <c r="K27" s="1181"/>
      <c r="L27" s="1181"/>
      <c r="M27" s="1181"/>
      <c r="N27" s="1181"/>
      <c r="O27" s="1181"/>
      <c r="P27" s="1181"/>
      <c r="Q27" s="1181"/>
      <c r="R27" s="1181"/>
      <c r="S27" s="1182"/>
      <c r="T27" s="1182"/>
      <c r="U27" s="1182"/>
      <c r="V27" s="1182"/>
      <c r="W27" s="1183"/>
      <c r="X27" s="1143"/>
      <c r="Y27" s="1143"/>
      <c r="Z27" s="1143"/>
      <c r="AA27" s="1143"/>
      <c r="AB27" s="1143"/>
      <c r="AC27" s="1143"/>
      <c r="AD27" s="1143"/>
      <c r="AE27" s="1143"/>
      <c r="AF27" s="1143"/>
      <c r="AG27" s="1143"/>
      <c r="AH27" s="1143"/>
      <c r="AI27" s="1143"/>
      <c r="AJ27" s="1143"/>
      <c r="AK27" s="1143"/>
      <c r="AL27" s="1143"/>
      <c r="AM27" s="1143"/>
      <c r="AN27" s="1143"/>
      <c r="AO27" s="1143"/>
      <c r="AP27" s="1143"/>
      <c r="AQ27" s="1143"/>
    </row>
    <row r="28" spans="1:43" s="4816" customFormat="1" ht="17.25" hidden="1" customHeight="1">
      <c r="A28" s="239"/>
      <c r="C28" s="131"/>
      <c r="D28" s="5252">
        <v>4</v>
      </c>
      <c r="E28" s="5260" t="s">
        <v>189</v>
      </c>
      <c r="F28" s="5262" t="s">
        <v>54</v>
      </c>
      <c r="G28" s="5260"/>
      <c r="H28" s="5265"/>
      <c r="I28" s="5267"/>
      <c r="J28" s="5269"/>
      <c r="K28" s="5254"/>
      <c r="L28" s="5254"/>
      <c r="M28" s="5254"/>
      <c r="N28" s="5256"/>
      <c r="O28" s="5254"/>
      <c r="P28" s="5254"/>
      <c r="Q28" s="5254"/>
      <c r="R28" s="5259"/>
      <c r="S28" s="5254"/>
      <c r="T28" s="1297"/>
      <c r="U28" s="1297"/>
      <c r="V28" s="1296"/>
      <c r="W28" s="1177"/>
      <c r="X28" s="1150"/>
      <c r="Y28" s="1150"/>
      <c r="Z28" s="1150"/>
      <c r="AA28" s="1150"/>
      <c r="AB28" s="1150"/>
      <c r="AC28" s="1150" t="s">
        <v>190</v>
      </c>
      <c r="AD28" s="1150" t="s">
        <v>191</v>
      </c>
      <c r="AE28" s="1150" t="s">
        <v>192</v>
      </c>
      <c r="AF28" s="1150" t="s">
        <v>193</v>
      </c>
      <c r="AG28" s="1150" t="s">
        <v>194</v>
      </c>
      <c r="AH28" s="1150"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50" t="str">
        <f>IF($G$28=0,"",$G$28)</f>
        <v/>
      </c>
      <c r="AJ28" s="1150" t="str">
        <f>IF($J$28=0,"",$J$28)</f>
        <v/>
      </c>
      <c r="AK28" s="1150" t="str">
        <f>IF($K$28="нет","без дифференциации",IF($N$28=0,"",$N$28))</f>
        <v/>
      </c>
      <c r="AL28" s="1150" t="str">
        <f>IF($O$28="нет","без дифференциации",IF($R$28=0,"",$R$28))</f>
        <v/>
      </c>
      <c r="AM28" s="1150" t="str">
        <f>IF($S$28="нет","без дифференциации",IF($V$28=0,"",$V$28))</f>
        <v/>
      </c>
      <c r="AN28" s="1635">
        <f>$I$28</f>
        <v>0</v>
      </c>
      <c r="AO28" s="1150" t="str">
        <f>$I$28&amp;"."&amp;$M$28</f>
        <v>.</v>
      </c>
      <c r="AP28" s="1143" t="str">
        <f>$I$28&amp;"."&amp;$M$28&amp;"."&amp;$Q$28</f>
        <v>..</v>
      </c>
      <c r="AQ28" s="1143" t="str">
        <f>$I$28&amp;"."&amp;$M$28&amp;"."&amp;$Q$28&amp;"."&amp;$U$28</f>
        <v>...</v>
      </c>
    </row>
    <row r="29" spans="1:43" s="4816" customFormat="1" ht="17.25" hidden="1" customHeight="1">
      <c r="A29" s="239"/>
      <c r="C29" s="238"/>
      <c r="D29" s="5252"/>
      <c r="E29" s="5260"/>
      <c r="F29" s="5263"/>
      <c r="G29" s="5260"/>
      <c r="H29" s="5266"/>
      <c r="I29" s="5268"/>
      <c r="J29" s="5270"/>
      <c r="K29" s="5255"/>
      <c r="L29" s="5255"/>
      <c r="M29" s="5255"/>
      <c r="N29" s="5257"/>
      <c r="O29" s="5255"/>
      <c r="P29" s="5255"/>
      <c r="Q29" s="5255"/>
      <c r="R29" s="5258"/>
      <c r="S29" s="5255"/>
      <c r="T29" s="1178"/>
      <c r="U29" s="1178"/>
      <c r="V29" s="1178"/>
      <c r="W29" s="1179"/>
      <c r="X29" s="1143"/>
      <c r="Y29" s="1143"/>
      <c r="Z29" s="1143"/>
      <c r="AA29" s="1143"/>
      <c r="AB29" s="1143"/>
      <c r="AC29" s="1143"/>
      <c r="AD29" s="1143"/>
      <c r="AE29" s="1143"/>
      <c r="AF29" s="1143"/>
      <c r="AG29" s="1143"/>
      <c r="AH29" s="1143"/>
      <c r="AI29" s="1143"/>
      <c r="AJ29" s="1143"/>
      <c r="AK29" s="1143"/>
      <c r="AL29" s="1143"/>
      <c r="AM29" s="1143"/>
      <c r="AN29" s="1143"/>
      <c r="AO29" s="1143"/>
      <c r="AP29" s="1143"/>
      <c r="AQ29" s="1143"/>
    </row>
    <row r="30" spans="1:43" s="4816" customFormat="1" ht="17.25" hidden="1" customHeight="1">
      <c r="A30" s="239"/>
      <c r="C30" s="238"/>
      <c r="D30" s="5253"/>
      <c r="E30" s="5261"/>
      <c r="F30" s="5263"/>
      <c r="G30" s="5261"/>
      <c r="H30" s="5266"/>
      <c r="I30" s="5268"/>
      <c r="J30" s="5271"/>
      <c r="K30" s="5255"/>
      <c r="L30" s="5255"/>
      <c r="M30" s="5255"/>
      <c r="N30" s="5258"/>
      <c r="O30" s="5255"/>
      <c r="P30" s="1295"/>
      <c r="Q30" s="1178"/>
      <c r="R30" s="1178"/>
      <c r="S30" s="247"/>
      <c r="T30" s="247"/>
      <c r="U30" s="247"/>
      <c r="V30" s="247"/>
      <c r="W30" s="1179"/>
      <c r="X30" s="1143"/>
      <c r="Y30" s="1143"/>
      <c r="Z30" s="1143"/>
      <c r="AA30" s="1143"/>
      <c r="AB30" s="1143"/>
      <c r="AC30" s="1143"/>
      <c r="AD30" s="1143"/>
      <c r="AE30" s="1143"/>
      <c r="AF30" s="1143"/>
      <c r="AG30" s="1143"/>
      <c r="AH30" s="1143"/>
      <c r="AI30" s="1143"/>
      <c r="AJ30" s="1143"/>
      <c r="AK30" s="1143"/>
      <c r="AL30" s="1143"/>
      <c r="AM30" s="1143"/>
      <c r="AN30" s="1143"/>
      <c r="AO30" s="1143"/>
      <c r="AP30" s="1143"/>
      <c r="AQ30" s="1143"/>
    </row>
    <row r="31" spans="1:43" s="4816" customFormat="1" ht="17.25" hidden="1" customHeight="1">
      <c r="A31" s="239"/>
      <c r="C31" s="238"/>
      <c r="D31" s="5253"/>
      <c r="E31" s="5261"/>
      <c r="F31" s="5263"/>
      <c r="G31" s="5261"/>
      <c r="H31" s="5266"/>
      <c r="I31" s="5268"/>
      <c r="J31" s="5271"/>
      <c r="K31" s="5255"/>
      <c r="L31" s="1178"/>
      <c r="M31" s="1178"/>
      <c r="N31" s="1178"/>
      <c r="O31" s="1178"/>
      <c r="P31" s="1178"/>
      <c r="Q31" s="1178"/>
      <c r="R31" s="1178"/>
      <c r="S31" s="247"/>
      <c r="T31" s="247"/>
      <c r="U31" s="247"/>
      <c r="V31" s="247"/>
      <c r="W31" s="1179"/>
      <c r="X31" s="1143"/>
      <c r="Y31" s="1143"/>
      <c r="Z31" s="1143"/>
      <c r="AA31" s="1143"/>
      <c r="AB31" s="1143"/>
      <c r="AC31" s="1143"/>
      <c r="AD31" s="1143"/>
      <c r="AE31" s="1143"/>
      <c r="AF31" s="1143"/>
      <c r="AG31" s="1143"/>
      <c r="AH31" s="1143"/>
      <c r="AI31" s="1143"/>
      <c r="AJ31" s="1143"/>
      <c r="AK31" s="1143"/>
      <c r="AL31" s="1143"/>
      <c r="AM31" s="1143"/>
      <c r="AN31" s="1143"/>
      <c r="AO31" s="1143"/>
      <c r="AP31" s="1143"/>
      <c r="AQ31" s="1143"/>
    </row>
    <row r="32" spans="1:43" s="4816" customFormat="1" ht="17.25" hidden="1" customHeight="1">
      <c r="A32" s="239"/>
      <c r="C32" s="238"/>
      <c r="D32" s="5253"/>
      <c r="E32" s="5261"/>
      <c r="F32" s="5264"/>
      <c r="G32" s="5261"/>
      <c r="H32" s="1180"/>
      <c r="I32" s="1181"/>
      <c r="J32" s="1181"/>
      <c r="K32" s="1181"/>
      <c r="L32" s="1181"/>
      <c r="M32" s="1181"/>
      <c r="N32" s="1181"/>
      <c r="O32" s="1181"/>
      <c r="P32" s="1181"/>
      <c r="Q32" s="1181"/>
      <c r="R32" s="1181"/>
      <c r="S32" s="1182"/>
      <c r="T32" s="1182"/>
      <c r="U32" s="1182"/>
      <c r="V32" s="1182"/>
      <c r="W32" s="1183"/>
      <c r="X32" s="1143"/>
      <c r="Y32" s="1143"/>
      <c r="Z32" s="1143"/>
      <c r="AA32" s="1143"/>
      <c r="AB32" s="1143"/>
      <c r="AC32" s="1143"/>
      <c r="AD32" s="1143"/>
      <c r="AE32" s="1143"/>
      <c r="AF32" s="1143"/>
      <c r="AG32" s="1143"/>
      <c r="AH32" s="1143"/>
      <c r="AI32" s="1143"/>
      <c r="AJ32" s="1143"/>
      <c r="AK32" s="1143"/>
      <c r="AL32" s="1143"/>
      <c r="AM32" s="1143"/>
      <c r="AN32" s="1143"/>
      <c r="AO32" s="1143"/>
      <c r="AP32" s="1143"/>
      <c r="AQ32" s="1143"/>
    </row>
    <row r="33" spans="1:43" s="4816" customFormat="1" ht="17.25" hidden="1" customHeight="1">
      <c r="A33" s="239"/>
      <c r="C33" s="131"/>
      <c r="D33" s="5252">
        <v>5</v>
      </c>
      <c r="E33" s="5260" t="s">
        <v>195</v>
      </c>
      <c r="F33" s="5262" t="s">
        <v>54</v>
      </c>
      <c r="G33" s="5260"/>
      <c r="H33" s="5265"/>
      <c r="I33" s="5267"/>
      <c r="J33" s="5269"/>
      <c r="K33" s="5254"/>
      <c r="L33" s="5254"/>
      <c r="M33" s="5254"/>
      <c r="N33" s="5256"/>
      <c r="O33" s="5254"/>
      <c r="P33" s="5254"/>
      <c r="Q33" s="5254"/>
      <c r="R33" s="5259"/>
      <c r="S33" s="5254"/>
      <c r="T33" s="1297"/>
      <c r="U33" s="1297"/>
      <c r="V33" s="1296"/>
      <c r="W33" s="1177"/>
      <c r="X33" s="1150"/>
      <c r="Y33" s="1150"/>
      <c r="Z33" s="1150"/>
      <c r="AA33" s="1150"/>
      <c r="AB33" s="1150"/>
      <c r="AC33" s="1150" t="s">
        <v>196</v>
      </c>
      <c r="AD33" s="1150" t="s">
        <v>197</v>
      </c>
      <c r="AE33" s="1150" t="s">
        <v>198</v>
      </c>
      <c r="AF33" s="1150" t="s">
        <v>199</v>
      </c>
      <c r="AG33" s="1150" t="s">
        <v>200</v>
      </c>
      <c r="AH33" s="1150" t="str">
        <f>IF($E$33=0,"",$E$33)</f>
        <v>Тарифы на услуги по передаче тепловой энергии</v>
      </c>
      <c r="AI33" s="1150" t="str">
        <f>IF($G$33=0,"",$G$33)</f>
        <v/>
      </c>
      <c r="AJ33" s="1150" t="str">
        <f>IF($J$33=0,"",$J$33)</f>
        <v/>
      </c>
      <c r="AK33" s="1150" t="str">
        <f>IF($K$33="нет","без дифференциации",IF($N$33=0,"",$N$33))</f>
        <v/>
      </c>
      <c r="AL33" s="1150" t="str">
        <f>IF($O$33="нет","без дифференциации",IF($R$33=0,"",$R$33))</f>
        <v/>
      </c>
      <c r="AM33" s="1150" t="str">
        <f>IF($S$33="нет","без дифференциации",IF($V$33=0,"",$V$33))</f>
        <v/>
      </c>
      <c r="AN33" s="1635">
        <f>$I$33</f>
        <v>0</v>
      </c>
      <c r="AO33" s="1150" t="str">
        <f>$I$33&amp;"."&amp;$M$33</f>
        <v>.</v>
      </c>
      <c r="AP33" s="1143" t="str">
        <f>$I$33&amp;"."&amp;$M$33&amp;"."&amp;$Q$33</f>
        <v>..</v>
      </c>
      <c r="AQ33" s="1143" t="str">
        <f>$I$33&amp;"."&amp;$M$33&amp;"."&amp;$Q$33&amp;"."&amp;$U$33</f>
        <v>...</v>
      </c>
    </row>
    <row r="34" spans="1:43" s="4816" customFormat="1" ht="17.25" hidden="1" customHeight="1">
      <c r="A34" s="239"/>
      <c r="C34" s="238"/>
      <c r="D34" s="5252"/>
      <c r="E34" s="5260"/>
      <c r="F34" s="5263"/>
      <c r="G34" s="5260"/>
      <c r="H34" s="5266"/>
      <c r="I34" s="5268"/>
      <c r="J34" s="5270"/>
      <c r="K34" s="5255"/>
      <c r="L34" s="5255"/>
      <c r="M34" s="5255"/>
      <c r="N34" s="5257"/>
      <c r="O34" s="5255"/>
      <c r="P34" s="5255"/>
      <c r="Q34" s="5255"/>
      <c r="R34" s="5258"/>
      <c r="S34" s="5255"/>
      <c r="T34" s="1178"/>
      <c r="U34" s="1178"/>
      <c r="V34" s="1178"/>
      <c r="W34" s="1179"/>
      <c r="X34" s="1143"/>
      <c r="Y34" s="1143"/>
      <c r="Z34" s="1143"/>
      <c r="AA34" s="1143"/>
      <c r="AB34" s="1143"/>
      <c r="AC34" s="1143"/>
      <c r="AD34" s="1143"/>
      <c r="AE34" s="1143"/>
      <c r="AF34" s="1143"/>
      <c r="AG34" s="1143"/>
      <c r="AH34" s="1143"/>
      <c r="AI34" s="1143"/>
      <c r="AJ34" s="1143"/>
      <c r="AK34" s="1143"/>
      <c r="AL34" s="1143"/>
      <c r="AM34" s="1143"/>
      <c r="AN34" s="1143"/>
      <c r="AO34" s="1143"/>
      <c r="AP34" s="1143"/>
      <c r="AQ34" s="1143"/>
    </row>
    <row r="35" spans="1:43" s="4816" customFormat="1" ht="17.25" hidden="1" customHeight="1">
      <c r="A35" s="239"/>
      <c r="C35" s="238"/>
      <c r="D35" s="5253"/>
      <c r="E35" s="5261"/>
      <c r="F35" s="5263"/>
      <c r="G35" s="5261"/>
      <c r="H35" s="5266"/>
      <c r="I35" s="5268"/>
      <c r="J35" s="5271"/>
      <c r="K35" s="5255"/>
      <c r="L35" s="5255"/>
      <c r="M35" s="5255"/>
      <c r="N35" s="5258"/>
      <c r="O35" s="5255"/>
      <c r="P35" s="1295"/>
      <c r="Q35" s="1178"/>
      <c r="R35" s="1178"/>
      <c r="S35" s="247"/>
      <c r="T35" s="247"/>
      <c r="U35" s="247"/>
      <c r="V35" s="247"/>
      <c r="W35" s="1179"/>
      <c r="X35" s="1143"/>
      <c r="Y35" s="1143"/>
      <c r="Z35" s="1143"/>
      <c r="AA35" s="1143"/>
      <c r="AB35" s="1143"/>
      <c r="AC35" s="1143"/>
      <c r="AD35" s="1143"/>
      <c r="AE35" s="1143"/>
      <c r="AF35" s="1143"/>
      <c r="AG35" s="1143"/>
      <c r="AH35" s="1143"/>
      <c r="AI35" s="1143"/>
      <c r="AJ35" s="1143"/>
      <c r="AK35" s="1143"/>
      <c r="AL35" s="1143"/>
      <c r="AM35" s="1143"/>
      <c r="AN35" s="1143"/>
      <c r="AO35" s="1143"/>
      <c r="AP35" s="1143"/>
      <c r="AQ35" s="1143"/>
    </row>
    <row r="36" spans="1:43" s="4816" customFormat="1" ht="17.25" hidden="1" customHeight="1">
      <c r="A36" s="239"/>
      <c r="C36" s="238"/>
      <c r="D36" s="5253"/>
      <c r="E36" s="5261"/>
      <c r="F36" s="5263"/>
      <c r="G36" s="5261"/>
      <c r="H36" s="5266"/>
      <c r="I36" s="5268"/>
      <c r="J36" s="5271"/>
      <c r="K36" s="5255"/>
      <c r="L36" s="1178"/>
      <c r="M36" s="1178"/>
      <c r="N36" s="1178"/>
      <c r="O36" s="1178"/>
      <c r="P36" s="1178"/>
      <c r="Q36" s="1178"/>
      <c r="R36" s="1178"/>
      <c r="S36" s="247"/>
      <c r="T36" s="247"/>
      <c r="U36" s="247"/>
      <c r="V36" s="247"/>
      <c r="W36" s="1179"/>
      <c r="X36" s="1143"/>
      <c r="Y36" s="1143"/>
      <c r="Z36" s="1143"/>
      <c r="AA36" s="1143"/>
      <c r="AB36" s="1143"/>
      <c r="AC36" s="1143"/>
      <c r="AD36" s="1143"/>
      <c r="AE36" s="1143"/>
      <c r="AF36" s="1143"/>
      <c r="AG36" s="1143"/>
      <c r="AH36" s="1143"/>
      <c r="AI36" s="1143"/>
      <c r="AJ36" s="1143"/>
      <c r="AK36" s="1143"/>
      <c r="AL36" s="1143"/>
      <c r="AM36" s="1143"/>
      <c r="AN36" s="1143"/>
      <c r="AO36" s="1143"/>
      <c r="AP36" s="1143"/>
      <c r="AQ36" s="1143"/>
    </row>
    <row r="37" spans="1:43" s="4816" customFormat="1" ht="17.25" hidden="1" customHeight="1">
      <c r="A37" s="239"/>
      <c r="C37" s="238"/>
      <c r="D37" s="5253"/>
      <c r="E37" s="5261"/>
      <c r="F37" s="5264"/>
      <c r="G37" s="5261"/>
      <c r="H37" s="1180"/>
      <c r="I37" s="1181"/>
      <c r="J37" s="1181"/>
      <c r="K37" s="1181"/>
      <c r="L37" s="1181"/>
      <c r="M37" s="1181"/>
      <c r="N37" s="1181"/>
      <c r="O37" s="1181"/>
      <c r="P37" s="1181"/>
      <c r="Q37" s="1181"/>
      <c r="R37" s="1181"/>
      <c r="S37" s="1182"/>
      <c r="T37" s="1182"/>
      <c r="U37" s="1182"/>
      <c r="V37" s="1182"/>
      <c r="W37" s="1183"/>
      <c r="X37" s="1143"/>
      <c r="Y37" s="1143"/>
      <c r="Z37" s="1143"/>
      <c r="AA37" s="1143"/>
      <c r="AB37" s="1143"/>
      <c r="AC37" s="1143"/>
      <c r="AD37" s="1143"/>
      <c r="AE37" s="1143"/>
      <c r="AF37" s="1143"/>
      <c r="AG37" s="1143"/>
      <c r="AH37" s="1143"/>
      <c r="AI37" s="1143"/>
      <c r="AJ37" s="1143"/>
      <c r="AK37" s="1143"/>
      <c r="AL37" s="1143"/>
      <c r="AM37" s="1143"/>
      <c r="AN37" s="1143"/>
      <c r="AO37" s="1143"/>
      <c r="AP37" s="1143"/>
      <c r="AQ37" s="1143"/>
    </row>
    <row r="38" spans="1:43" s="4816" customFormat="1" ht="17.25" hidden="1" customHeight="1">
      <c r="A38" s="239"/>
      <c r="C38" s="131"/>
      <c r="D38" s="5252">
        <v>6</v>
      </c>
      <c r="E38" s="5260" t="s">
        <v>201</v>
      </c>
      <c r="F38" s="5262" t="s">
        <v>54</v>
      </c>
      <c r="G38" s="5260"/>
      <c r="H38" s="5265"/>
      <c r="I38" s="5267"/>
      <c r="J38" s="5269"/>
      <c r="K38" s="5254"/>
      <c r="L38" s="5254"/>
      <c r="M38" s="5254"/>
      <c r="N38" s="5256"/>
      <c r="O38" s="5254"/>
      <c r="P38" s="5254"/>
      <c r="Q38" s="5254"/>
      <c r="R38" s="5259"/>
      <c r="S38" s="5254"/>
      <c r="T38" s="1297"/>
      <c r="U38" s="1297"/>
      <c r="V38" s="1296"/>
      <c r="W38" s="1177"/>
      <c r="X38" s="1150"/>
      <c r="Y38" s="1150"/>
      <c r="Z38" s="1150"/>
      <c r="AA38" s="1150"/>
      <c r="AB38" s="1150"/>
      <c r="AC38" s="1150" t="s">
        <v>202</v>
      </c>
      <c r="AD38" s="1150" t="s">
        <v>203</v>
      </c>
      <c r="AE38" s="1150" t="s">
        <v>204</v>
      </c>
      <c r="AF38" s="1150" t="s">
        <v>205</v>
      </c>
      <c r="AG38" s="1150" t="s">
        <v>206</v>
      </c>
      <c r="AH38" s="1150" t="str">
        <f>IF($E$38=0,"",$E$38)</f>
        <v>Тарифы на услуги по передаче теплоносителя</v>
      </c>
      <c r="AI38" s="1150" t="str">
        <f>IF($G$38=0,"",$G$38)</f>
        <v/>
      </c>
      <c r="AJ38" s="1150" t="str">
        <f>IF($J$38=0,"",$J$38)</f>
        <v/>
      </c>
      <c r="AK38" s="1150" t="str">
        <f>IF($K$38="нет","без дифференциации",IF($N$38=0,"",$N$38))</f>
        <v/>
      </c>
      <c r="AL38" s="1150" t="str">
        <f>IF($O$38="нет","без дифференциации",IF($R$38=0,"",$R$38))</f>
        <v/>
      </c>
      <c r="AM38" s="1150" t="str">
        <f>IF($S$38="нет","без дифференциации",IF($V$38=0,"",$V$38))</f>
        <v/>
      </c>
      <c r="AN38" s="1635">
        <f>$I$38</f>
        <v>0</v>
      </c>
      <c r="AO38" s="1150" t="str">
        <f>$I$38&amp;"."&amp;$M$38</f>
        <v>.</v>
      </c>
      <c r="AP38" s="1143" t="str">
        <f>$I$38&amp;"."&amp;$M$38&amp;"."&amp;$Q$38</f>
        <v>..</v>
      </c>
      <c r="AQ38" s="1143" t="str">
        <f>$I$38&amp;"."&amp;$M$38&amp;"."&amp;$Q$38&amp;"."&amp;$U$38</f>
        <v>...</v>
      </c>
    </row>
    <row r="39" spans="1:43" s="4816" customFormat="1" ht="17.25" hidden="1" customHeight="1">
      <c r="A39" s="239"/>
      <c r="C39" s="238"/>
      <c r="D39" s="5252"/>
      <c r="E39" s="5260"/>
      <c r="F39" s="5263"/>
      <c r="G39" s="5260"/>
      <c r="H39" s="5266"/>
      <c r="I39" s="5268"/>
      <c r="J39" s="5270"/>
      <c r="K39" s="5255"/>
      <c r="L39" s="5255"/>
      <c r="M39" s="5255"/>
      <c r="N39" s="5257"/>
      <c r="O39" s="5255"/>
      <c r="P39" s="5255"/>
      <c r="Q39" s="5255"/>
      <c r="R39" s="5258"/>
      <c r="S39" s="5255"/>
      <c r="T39" s="1178"/>
      <c r="U39" s="1178"/>
      <c r="V39" s="1178"/>
      <c r="W39" s="1179"/>
      <c r="X39" s="1143"/>
      <c r="Y39" s="1143"/>
      <c r="Z39" s="1143"/>
      <c r="AA39" s="1143"/>
      <c r="AB39" s="1143"/>
      <c r="AC39" s="1143"/>
      <c r="AD39" s="1143"/>
      <c r="AE39" s="1143"/>
      <c r="AF39" s="1143"/>
      <c r="AG39" s="1143"/>
      <c r="AH39" s="1143"/>
      <c r="AI39" s="1143"/>
      <c r="AJ39" s="1143"/>
      <c r="AK39" s="1143"/>
      <c r="AL39" s="1143"/>
      <c r="AM39" s="1143"/>
      <c r="AN39" s="1143"/>
      <c r="AO39" s="1143"/>
      <c r="AP39" s="1143"/>
      <c r="AQ39" s="1143"/>
    </row>
    <row r="40" spans="1:43" s="4816" customFormat="1" ht="17.25" hidden="1" customHeight="1">
      <c r="A40" s="239"/>
      <c r="C40" s="238"/>
      <c r="D40" s="5253"/>
      <c r="E40" s="5261"/>
      <c r="F40" s="5263"/>
      <c r="G40" s="5261"/>
      <c r="H40" s="5266"/>
      <c r="I40" s="5268"/>
      <c r="J40" s="5271"/>
      <c r="K40" s="5255"/>
      <c r="L40" s="5255"/>
      <c r="M40" s="5255"/>
      <c r="N40" s="5258"/>
      <c r="O40" s="5255"/>
      <c r="P40" s="1295"/>
      <c r="Q40" s="1178"/>
      <c r="R40" s="1178"/>
      <c r="S40" s="247"/>
      <c r="T40" s="247"/>
      <c r="U40" s="247"/>
      <c r="V40" s="247"/>
      <c r="W40" s="1179"/>
      <c r="X40" s="1143"/>
      <c r="Y40" s="1143"/>
      <c r="Z40" s="1143"/>
      <c r="AA40" s="1143"/>
      <c r="AB40" s="1143"/>
      <c r="AC40" s="1143"/>
      <c r="AD40" s="1143"/>
      <c r="AE40" s="1143"/>
      <c r="AF40" s="1143"/>
      <c r="AG40" s="1143"/>
      <c r="AH40" s="1143"/>
      <c r="AI40" s="1143"/>
      <c r="AJ40" s="1143"/>
      <c r="AK40" s="1143"/>
      <c r="AL40" s="1143"/>
      <c r="AM40" s="1143"/>
      <c r="AN40" s="1143"/>
      <c r="AO40" s="1143"/>
      <c r="AP40" s="1143"/>
      <c r="AQ40" s="1143"/>
    </row>
    <row r="41" spans="1:43" s="4817" customFormat="1" ht="17.25" hidden="1" customHeight="1">
      <c r="A41" s="239"/>
      <c r="C41" s="131"/>
      <c r="D41" s="5253"/>
      <c r="E41" s="5261"/>
      <c r="F41" s="5263"/>
      <c r="G41" s="5261"/>
      <c r="H41" s="5266"/>
      <c r="I41" s="5268"/>
      <c r="J41" s="5271"/>
      <c r="K41" s="5255"/>
      <c r="L41" s="1178"/>
      <c r="M41" s="1178"/>
      <c r="N41" s="1178"/>
      <c r="O41" s="1178"/>
      <c r="P41" s="1178"/>
      <c r="Q41" s="1178"/>
      <c r="R41" s="1178"/>
      <c r="S41" s="247"/>
      <c r="T41" s="247"/>
      <c r="U41" s="247"/>
      <c r="V41" s="247"/>
      <c r="W41" s="1179"/>
      <c r="Y41" s="1150"/>
      <c r="Z41" s="1150"/>
      <c r="AA41" s="1150"/>
      <c r="AB41" s="1150"/>
      <c r="AC41" s="1150"/>
      <c r="AD41" s="1150"/>
      <c r="AE41" s="1150"/>
      <c r="AF41" s="1150"/>
      <c r="AG41" s="1150"/>
      <c r="AH41" s="1150"/>
      <c r="AI41" s="1150"/>
      <c r="AJ41" s="1150"/>
      <c r="AK41" s="1150"/>
      <c r="AL41" s="1150"/>
      <c r="AM41" s="1150"/>
      <c r="AN41" s="1150"/>
      <c r="AO41" s="1150"/>
      <c r="AP41" s="1150"/>
      <c r="AQ41" s="1150"/>
    </row>
    <row r="42" spans="1:43" s="4816" customFormat="1" ht="17.25" hidden="1" customHeight="1">
      <c r="A42" s="239"/>
      <c r="C42" s="238"/>
      <c r="D42" s="5253"/>
      <c r="E42" s="5261"/>
      <c r="F42" s="5264"/>
      <c r="G42" s="5261"/>
      <c r="H42" s="1180"/>
      <c r="I42" s="1181"/>
      <c r="J42" s="1181"/>
      <c r="K42" s="1181"/>
      <c r="L42" s="1181"/>
      <c r="M42" s="1181"/>
      <c r="N42" s="1181"/>
      <c r="O42" s="1181"/>
      <c r="P42" s="1181"/>
      <c r="Q42" s="1181"/>
      <c r="R42" s="1181"/>
      <c r="S42" s="1182"/>
      <c r="T42" s="1182"/>
      <c r="U42" s="1182"/>
      <c r="V42" s="1182"/>
      <c r="W42" s="1183"/>
      <c r="X42" s="1143"/>
      <c r="Y42" s="1143"/>
      <c r="Z42" s="1143"/>
      <c r="AA42" s="1143"/>
      <c r="AB42" s="1143"/>
      <c r="AC42" s="1143"/>
      <c r="AD42" s="1143"/>
      <c r="AE42" s="1143"/>
      <c r="AF42" s="1143"/>
      <c r="AG42" s="1143"/>
      <c r="AH42" s="1143"/>
      <c r="AI42" s="1143"/>
      <c r="AJ42" s="1143"/>
      <c r="AK42" s="1143"/>
      <c r="AL42" s="1143"/>
      <c r="AM42" s="1143"/>
      <c r="AN42" s="1143"/>
      <c r="AO42" s="1143"/>
      <c r="AP42" s="1143"/>
      <c r="AQ42" s="1143"/>
    </row>
    <row r="43" spans="1:43" s="4818" customFormat="1" ht="17.25" hidden="1" customHeight="1">
      <c r="A43" s="239"/>
      <c r="C43" s="131"/>
      <c r="D43" s="5281">
        <v>7</v>
      </c>
      <c r="E43" s="5284" t="s">
        <v>207</v>
      </c>
      <c r="F43" s="5262" t="s">
        <v>54</v>
      </c>
      <c r="G43" s="5284"/>
      <c r="H43" s="5265"/>
      <c r="I43" s="5267"/>
      <c r="J43" s="5269"/>
      <c r="K43" s="5254"/>
      <c r="L43" s="5254"/>
      <c r="M43" s="5254"/>
      <c r="N43" s="5256"/>
      <c r="O43" s="5254"/>
      <c r="P43" s="5254"/>
      <c r="Q43" s="5254"/>
      <c r="R43" s="5259"/>
      <c r="S43" s="5254"/>
      <c r="T43" s="1297"/>
      <c r="U43" s="1297"/>
      <c r="V43" s="1296"/>
      <c r="W43" s="1177"/>
      <c r="X43" s="1150"/>
      <c r="Y43" s="1150"/>
      <c r="Z43" s="1150"/>
      <c r="AA43" s="1150"/>
      <c r="AB43" s="1150"/>
      <c r="AC43" s="1150" t="s">
        <v>208</v>
      </c>
      <c r="AD43" s="1150" t="s">
        <v>209</v>
      </c>
      <c r="AE43" s="1150" t="s">
        <v>210</v>
      </c>
      <c r="AF43" s="1150" t="s">
        <v>211</v>
      </c>
      <c r="AG43" s="1150" t="s">
        <v>212</v>
      </c>
      <c r="AH43" s="1150" t="str">
        <f>IF($E$43=0,"",$E$43)</f>
        <v>Плата за услуги по поддержанию резервной тепловой мощности при отсутствии потребления тепловой энергии</v>
      </c>
      <c r="AI43" s="1150" t="str">
        <f>IF($G$43=0,"",$G$43)</f>
        <v/>
      </c>
      <c r="AJ43" s="1150" t="str">
        <f>IF($J$43=0,"",$J$43)</f>
        <v/>
      </c>
      <c r="AK43" s="1150" t="str">
        <f>IF($K$43="нет","без дифференциации",IF($N$43=0,"",$N$43))</f>
        <v/>
      </c>
      <c r="AL43" s="1150" t="str">
        <f>IF($O$43="нет","без дифференциации",IF($R$43=0,"",$R$43))</f>
        <v/>
      </c>
      <c r="AM43" s="1150" t="str">
        <f>IF($S$43="нет","без дифференциации",IF($V$43=0,"",$V$43))</f>
        <v/>
      </c>
      <c r="AN43" s="1635">
        <f>$I$43</f>
        <v>0</v>
      </c>
      <c r="AO43" s="1150" t="str">
        <f>$I$43&amp;"."&amp;$M$43</f>
        <v>.</v>
      </c>
      <c r="AP43" s="1143" t="str">
        <f>$I$43&amp;"."&amp;$M$43&amp;"."&amp;$Q$43</f>
        <v>..</v>
      </c>
      <c r="AQ43" s="1143" t="str">
        <f>$I$43&amp;"."&amp;$M$43&amp;"."&amp;$Q$43&amp;"."&amp;$U$43</f>
        <v>...</v>
      </c>
    </row>
    <row r="44" spans="1:43" s="4818" customFormat="1" ht="17.25" hidden="1" customHeight="1">
      <c r="A44" s="239"/>
      <c r="C44" s="238"/>
      <c r="D44" s="5282"/>
      <c r="E44" s="5285"/>
      <c r="F44" s="5263"/>
      <c r="G44" s="5285"/>
      <c r="H44" s="5266"/>
      <c r="I44" s="5268"/>
      <c r="J44" s="5270"/>
      <c r="K44" s="5255"/>
      <c r="L44" s="5255"/>
      <c r="M44" s="5255"/>
      <c r="N44" s="5257"/>
      <c r="O44" s="5255"/>
      <c r="P44" s="5255"/>
      <c r="Q44" s="5255"/>
      <c r="R44" s="5258"/>
      <c r="S44" s="5255"/>
      <c r="T44" s="1178"/>
      <c r="U44" s="1178"/>
      <c r="V44" s="1178"/>
      <c r="W44" s="1179"/>
      <c r="X44" s="1143"/>
      <c r="Y44" s="1143"/>
      <c r="Z44" s="1143"/>
      <c r="AA44" s="1143"/>
      <c r="AB44" s="1143"/>
      <c r="AC44" s="1143"/>
      <c r="AD44" s="1143"/>
      <c r="AE44" s="1143"/>
      <c r="AF44" s="1143"/>
      <c r="AG44" s="1143"/>
      <c r="AH44" s="1143"/>
      <c r="AI44" s="1143"/>
      <c r="AJ44" s="1143"/>
      <c r="AK44" s="1143"/>
      <c r="AL44" s="1143"/>
      <c r="AM44" s="1143"/>
      <c r="AN44" s="1143"/>
      <c r="AO44" s="1143"/>
      <c r="AP44" s="1143"/>
      <c r="AQ44" s="1143"/>
    </row>
    <row r="45" spans="1:43" s="4818" customFormat="1" ht="17.25" hidden="1" customHeight="1">
      <c r="A45" s="239"/>
      <c r="C45" s="238"/>
      <c r="D45" s="5282"/>
      <c r="E45" s="5285"/>
      <c r="F45" s="5263"/>
      <c r="G45" s="5285"/>
      <c r="H45" s="5266"/>
      <c r="I45" s="5268"/>
      <c r="J45" s="5271"/>
      <c r="K45" s="5255"/>
      <c r="L45" s="5255"/>
      <c r="M45" s="5255"/>
      <c r="N45" s="5258"/>
      <c r="O45" s="5255"/>
      <c r="P45" s="1295"/>
      <c r="Q45" s="1178"/>
      <c r="R45" s="1178"/>
      <c r="S45" s="247"/>
      <c r="T45" s="247"/>
      <c r="U45" s="247"/>
      <c r="V45" s="247"/>
      <c r="W45" s="1179"/>
      <c r="X45" s="1143"/>
      <c r="Y45" s="1143"/>
      <c r="Z45" s="1143"/>
      <c r="AA45" s="1143"/>
      <c r="AB45" s="1143"/>
      <c r="AC45" s="1143"/>
      <c r="AD45" s="1143"/>
      <c r="AE45" s="1143"/>
      <c r="AF45" s="1143"/>
      <c r="AG45" s="1143"/>
      <c r="AH45" s="1143"/>
      <c r="AI45" s="1143"/>
      <c r="AJ45" s="1143"/>
      <c r="AK45" s="1143"/>
      <c r="AL45" s="1143"/>
      <c r="AM45" s="1143"/>
      <c r="AN45" s="1143"/>
      <c r="AO45" s="1143"/>
      <c r="AP45" s="1143"/>
      <c r="AQ45" s="1143"/>
    </row>
    <row r="46" spans="1:43" s="4817" customFormat="1" ht="17.25" hidden="1" customHeight="1">
      <c r="A46" s="239"/>
      <c r="C46" s="131"/>
      <c r="D46" s="5282"/>
      <c r="E46" s="5285"/>
      <c r="F46" s="5263"/>
      <c r="G46" s="5285"/>
      <c r="H46" s="5266"/>
      <c r="I46" s="5268"/>
      <c r="J46" s="5271"/>
      <c r="K46" s="5255"/>
      <c r="L46" s="1178"/>
      <c r="M46" s="1178"/>
      <c r="N46" s="1178"/>
      <c r="O46" s="1178"/>
      <c r="P46" s="1178"/>
      <c r="Q46" s="1178"/>
      <c r="R46" s="1178"/>
      <c r="S46" s="247"/>
      <c r="T46" s="247"/>
      <c r="U46" s="247"/>
      <c r="V46" s="247"/>
      <c r="W46" s="1179"/>
      <c r="Y46" s="1150"/>
      <c r="Z46" s="1150"/>
      <c r="AA46" s="1150"/>
      <c r="AB46" s="1150"/>
      <c r="AC46" s="1150"/>
      <c r="AD46" s="1150"/>
      <c r="AE46" s="1150"/>
      <c r="AF46" s="1150"/>
      <c r="AG46" s="1150"/>
      <c r="AH46" s="1150"/>
      <c r="AI46" s="1150"/>
      <c r="AJ46" s="1150"/>
      <c r="AK46" s="1150"/>
      <c r="AL46" s="1150"/>
      <c r="AM46" s="1150"/>
      <c r="AN46" s="1150"/>
      <c r="AO46" s="1150"/>
      <c r="AP46" s="1150"/>
      <c r="AQ46" s="1150"/>
    </row>
    <row r="47" spans="1:43" s="4818" customFormat="1" ht="17.25" hidden="1" customHeight="1">
      <c r="A47" s="239"/>
      <c r="C47" s="238"/>
      <c r="D47" s="5283"/>
      <c r="E47" s="5286"/>
      <c r="F47" s="5264"/>
      <c r="G47" s="5286"/>
      <c r="H47" s="1180"/>
      <c r="I47" s="1181"/>
      <c r="J47" s="1181"/>
      <c r="K47" s="1181"/>
      <c r="L47" s="1181"/>
      <c r="M47" s="1181"/>
      <c r="N47" s="1181"/>
      <c r="O47" s="1181"/>
      <c r="P47" s="1181"/>
      <c r="Q47" s="1181"/>
      <c r="R47" s="1181"/>
      <c r="S47" s="1182"/>
      <c r="T47" s="1182"/>
      <c r="U47" s="1182"/>
      <c r="V47" s="1182"/>
      <c r="W47" s="1183"/>
      <c r="X47" s="1143"/>
      <c r="Y47" s="1143"/>
      <c r="Z47" s="1143"/>
      <c r="AA47" s="1143"/>
      <c r="AB47" s="1143"/>
      <c r="AC47" s="1143"/>
      <c r="AD47" s="1143"/>
      <c r="AE47" s="1143"/>
      <c r="AF47" s="1143"/>
      <c r="AG47" s="1143"/>
      <c r="AH47" s="1143"/>
      <c r="AI47" s="1143"/>
      <c r="AJ47" s="1143"/>
      <c r="AK47" s="1143"/>
      <c r="AL47" s="1143"/>
      <c r="AM47" s="1143"/>
      <c r="AN47" s="1143"/>
      <c r="AO47" s="1143"/>
      <c r="AP47" s="1143"/>
      <c r="AQ47" s="1143"/>
    </row>
    <row r="48" spans="1:43" s="4818" customFormat="1" ht="17.25" hidden="1" customHeight="1">
      <c r="A48" s="239"/>
      <c r="C48" s="131"/>
      <c r="D48" s="5252">
        <v>8</v>
      </c>
      <c r="E48" s="5260" t="s">
        <v>213</v>
      </c>
      <c r="F48" s="5262" t="s">
        <v>54</v>
      </c>
      <c r="G48" s="5260"/>
      <c r="H48" s="5265"/>
      <c r="I48" s="5267"/>
      <c r="J48" s="5269"/>
      <c r="K48" s="5254"/>
      <c r="L48" s="5254"/>
      <c r="M48" s="5254"/>
      <c r="N48" s="5256"/>
      <c r="O48" s="5254"/>
      <c r="P48" s="5254"/>
      <c r="Q48" s="5254"/>
      <c r="R48" s="5259"/>
      <c r="S48" s="5254"/>
      <c r="T48" s="1343"/>
      <c r="U48" s="1343"/>
      <c r="V48" s="1345"/>
      <c r="W48" s="1177"/>
      <c r="X48" s="1150"/>
      <c r="Y48" s="1150"/>
      <c r="Z48" s="1150"/>
      <c r="AA48" s="1150"/>
      <c r="AB48" s="1150"/>
      <c r="AC48" s="1150" t="s">
        <v>214</v>
      </c>
      <c r="AD48" s="1150" t="s">
        <v>215</v>
      </c>
      <c r="AE48" s="1150" t="s">
        <v>216</v>
      </c>
      <c r="AF48" s="1150" t="s">
        <v>217</v>
      </c>
      <c r="AG48" s="1150" t="s">
        <v>218</v>
      </c>
      <c r="AH48" s="1150" t="str">
        <f>IF($E$48=0,"",$E$48)</f>
        <v>Плата за подключение (технологическое присоединение) к системе теплоснабжения</v>
      </c>
      <c r="AI48" s="1150" t="str">
        <f>IF($G$48=0,"",$G$48)</f>
        <v/>
      </c>
      <c r="AJ48" s="1150" t="str">
        <f>IF($J$48=0,"",$J$48)</f>
        <v/>
      </c>
      <c r="AK48" s="1150" t="str">
        <f>IF($K$48="нет","без дифференциации",IF($N$48=0,"",$N$48))</f>
        <v/>
      </c>
      <c r="AL48" s="1150" t="str">
        <f>IF($O$48="нет","без дифференциации",IF($R$48=0,"",$R$48))</f>
        <v/>
      </c>
      <c r="AM48" s="1150" t="str">
        <f>IF($S$48="нет","без дифференциации",IF($V$48=0,"",$V$48))</f>
        <v/>
      </c>
      <c r="AN48" s="1635">
        <f>$I$48</f>
        <v>0</v>
      </c>
      <c r="AO48" s="1150" t="str">
        <f>$I$48&amp;"."&amp;$M$48</f>
        <v>.</v>
      </c>
      <c r="AP48" s="1143" t="str">
        <f>$I$48&amp;"."&amp;$M$48&amp;"."&amp;$Q$48</f>
        <v>..</v>
      </c>
      <c r="AQ48" s="1143" t="str">
        <f>$I$48&amp;"."&amp;$M$48&amp;"."&amp;$Q$48&amp;"."&amp;$U$48</f>
        <v>...</v>
      </c>
    </row>
    <row r="49" spans="1:43" s="4818" customFormat="1" ht="17.25" hidden="1" customHeight="1">
      <c r="A49" s="239"/>
      <c r="C49" s="238"/>
      <c r="D49" s="5252"/>
      <c r="E49" s="5260"/>
      <c r="F49" s="5263"/>
      <c r="G49" s="5260"/>
      <c r="H49" s="5266"/>
      <c r="I49" s="5268"/>
      <c r="J49" s="5270"/>
      <c r="K49" s="5255"/>
      <c r="L49" s="5255"/>
      <c r="M49" s="5255"/>
      <c r="N49" s="5257"/>
      <c r="O49" s="5255"/>
      <c r="P49" s="5255"/>
      <c r="Q49" s="5255"/>
      <c r="R49" s="5258"/>
      <c r="S49" s="5255"/>
      <c r="T49" s="1178"/>
      <c r="U49" s="1178"/>
      <c r="V49" s="1178"/>
      <c r="W49" s="1179"/>
      <c r="X49" s="1143"/>
      <c r="Y49" s="1143"/>
      <c r="Z49" s="1143"/>
      <c r="AA49" s="1143"/>
      <c r="AB49" s="1143"/>
      <c r="AC49" s="1143"/>
      <c r="AD49" s="1143"/>
      <c r="AE49" s="1143"/>
      <c r="AF49" s="1143"/>
      <c r="AG49" s="1143"/>
      <c r="AH49" s="1143"/>
      <c r="AI49" s="1143"/>
      <c r="AJ49" s="1143"/>
      <c r="AK49" s="1143"/>
      <c r="AL49" s="1143"/>
      <c r="AM49" s="1143"/>
      <c r="AN49" s="1143"/>
      <c r="AO49" s="1143"/>
      <c r="AP49" s="1143"/>
      <c r="AQ49" s="1143"/>
    </row>
    <row r="50" spans="1:43" s="4818" customFormat="1" ht="17.25" hidden="1" customHeight="1">
      <c r="A50" s="239"/>
      <c r="C50" s="238"/>
      <c r="D50" s="5253"/>
      <c r="E50" s="5261"/>
      <c r="F50" s="5263"/>
      <c r="G50" s="5261"/>
      <c r="H50" s="5266"/>
      <c r="I50" s="5268"/>
      <c r="J50" s="5271"/>
      <c r="K50" s="5255"/>
      <c r="L50" s="5255"/>
      <c r="M50" s="5255"/>
      <c r="N50" s="5258"/>
      <c r="O50" s="5255"/>
      <c r="P50" s="1344"/>
      <c r="Q50" s="1178"/>
      <c r="R50" s="1178"/>
      <c r="S50" s="247"/>
      <c r="T50" s="247"/>
      <c r="U50" s="247"/>
      <c r="V50" s="247"/>
      <c r="W50" s="1179"/>
      <c r="X50" s="1143"/>
      <c r="Y50" s="1143"/>
      <c r="Z50" s="1143"/>
      <c r="AA50" s="1143"/>
      <c r="AB50" s="1143"/>
      <c r="AC50" s="1143"/>
      <c r="AD50" s="1143"/>
      <c r="AE50" s="1143"/>
      <c r="AF50" s="1143"/>
      <c r="AG50" s="1143"/>
      <c r="AH50" s="1143"/>
      <c r="AI50" s="1143"/>
      <c r="AJ50" s="1143"/>
      <c r="AK50" s="1143"/>
      <c r="AL50" s="1143"/>
      <c r="AM50" s="1143"/>
      <c r="AN50" s="1143"/>
      <c r="AO50" s="1143"/>
      <c r="AP50" s="1143"/>
      <c r="AQ50" s="1143"/>
    </row>
    <row r="51" spans="1:43" s="4817" customFormat="1" ht="17.25" hidden="1" customHeight="1">
      <c r="A51" s="239"/>
      <c r="C51" s="131"/>
      <c r="D51" s="5253"/>
      <c r="E51" s="5261"/>
      <c r="F51" s="5263"/>
      <c r="G51" s="5261"/>
      <c r="H51" s="5266"/>
      <c r="I51" s="5268"/>
      <c r="J51" s="5271"/>
      <c r="K51" s="5255"/>
      <c r="L51" s="1178"/>
      <c r="M51" s="1178"/>
      <c r="N51" s="1178"/>
      <c r="O51" s="1178"/>
      <c r="P51" s="1178"/>
      <c r="Q51" s="1178"/>
      <c r="R51" s="1178"/>
      <c r="S51" s="247"/>
      <c r="T51" s="247"/>
      <c r="U51" s="247"/>
      <c r="V51" s="247"/>
      <c r="W51" s="1179"/>
      <c r="Y51" s="1150"/>
      <c r="Z51" s="1150"/>
      <c r="AA51" s="1150"/>
      <c r="AB51" s="1150"/>
      <c r="AC51" s="1150"/>
      <c r="AD51" s="1150"/>
      <c r="AE51" s="1150"/>
      <c r="AF51" s="1150"/>
      <c r="AG51" s="1150"/>
      <c r="AH51" s="1150"/>
      <c r="AI51" s="1150"/>
      <c r="AJ51" s="1150"/>
      <c r="AK51" s="1150"/>
      <c r="AL51" s="1150"/>
      <c r="AM51" s="1150"/>
      <c r="AN51" s="1150"/>
      <c r="AO51" s="1150"/>
      <c r="AP51" s="1150"/>
      <c r="AQ51" s="1150"/>
    </row>
    <row r="52" spans="1:43" s="4818" customFormat="1" ht="17.25" hidden="1" customHeight="1">
      <c r="A52" s="239"/>
      <c r="C52" s="238"/>
      <c r="D52" s="5253"/>
      <c r="E52" s="5261"/>
      <c r="F52" s="5264"/>
      <c r="G52" s="5261"/>
      <c r="H52" s="1180"/>
      <c r="I52" s="1181"/>
      <c r="J52" s="1181"/>
      <c r="K52" s="1181"/>
      <c r="L52" s="1181"/>
      <c r="M52" s="1181"/>
      <c r="N52" s="1181"/>
      <c r="O52" s="1181"/>
      <c r="P52" s="1181"/>
      <c r="Q52" s="1181"/>
      <c r="R52" s="1181"/>
      <c r="S52" s="1182"/>
      <c r="T52" s="1182"/>
      <c r="U52" s="1182"/>
      <c r="V52" s="1182"/>
      <c r="W52" s="1183"/>
      <c r="X52" s="1143"/>
      <c r="Y52" s="1143"/>
      <c r="Z52" s="1143"/>
      <c r="AA52" s="1143"/>
      <c r="AB52" s="1143"/>
      <c r="AC52" s="1143"/>
      <c r="AD52" s="1143"/>
      <c r="AE52" s="1143"/>
      <c r="AF52" s="1143"/>
      <c r="AG52" s="1143"/>
      <c r="AH52" s="1143"/>
      <c r="AI52" s="1143"/>
      <c r="AJ52" s="1143"/>
      <c r="AK52" s="1143"/>
      <c r="AL52" s="1143"/>
      <c r="AM52" s="1143"/>
      <c r="AN52" s="1143"/>
      <c r="AO52" s="1143"/>
      <c r="AP52" s="1143"/>
      <c r="AQ52" s="1143"/>
    </row>
    <row r="53" spans="1:43" s="4819" customFormat="1" ht="17.25" hidden="1" customHeight="1">
      <c r="A53" s="239"/>
      <c r="C53" s="131"/>
      <c r="D53" s="5252">
        <v>9</v>
      </c>
      <c r="E53" s="5260" t="s">
        <v>219</v>
      </c>
      <c r="F53" s="5262" t="s">
        <v>54</v>
      </c>
      <c r="G53" s="5260"/>
      <c r="H53" s="5265"/>
      <c r="I53" s="5267"/>
      <c r="J53" s="5269"/>
      <c r="K53" s="5254"/>
      <c r="L53" s="5254"/>
      <c r="M53" s="5254"/>
      <c r="N53" s="5256"/>
      <c r="O53" s="5254"/>
      <c r="P53" s="5254"/>
      <c r="Q53" s="5254"/>
      <c r="R53" s="5259"/>
      <c r="S53" s="5254"/>
      <c r="T53" s="1792"/>
      <c r="U53" s="1792"/>
      <c r="V53" s="1794"/>
      <c r="W53" s="1177"/>
      <c r="X53" s="1150"/>
      <c r="Y53" s="1150"/>
      <c r="Z53" s="1150"/>
      <c r="AA53" s="1150"/>
      <c r="AB53" s="1150"/>
      <c r="AC53" s="1150" t="s">
        <v>220</v>
      </c>
      <c r="AD53" s="1150" t="s">
        <v>221</v>
      </c>
      <c r="AE53" s="1150" t="s">
        <v>222</v>
      </c>
      <c r="AF53" s="1150" t="s">
        <v>223</v>
      </c>
      <c r="AG53" s="1150" t="s">
        <v>224</v>
      </c>
      <c r="AH53" s="1150" t="str">
        <f>IF($E$53=0,"",$E$53)</f>
        <v>Плата за подключение к системе теплоснабжения (индивидуальная)</v>
      </c>
      <c r="AI53" s="1150" t="str">
        <f>IF($G$53=0,"",$G$53)</f>
        <v/>
      </c>
      <c r="AJ53" s="1150" t="str">
        <f>IF($J$53=0,"",$J$53)</f>
        <v/>
      </c>
      <c r="AK53" s="1150" t="str">
        <f>IF($K$53="нет","без дифференциации",IF($N$53=0,"",$N$53))</f>
        <v/>
      </c>
      <c r="AL53" s="1150" t="str">
        <f>IF($O$53="нет","без дифференциации",IF($R$53=0,"",$R$53))</f>
        <v/>
      </c>
      <c r="AM53" s="1150" t="str">
        <f>IF($S$53="нет","без дифференциации",IF($V$53=0,"",$V$53))</f>
        <v/>
      </c>
      <c r="AN53" s="1635">
        <f>$I$53</f>
        <v>0</v>
      </c>
      <c r="AO53" s="1150" t="str">
        <f>$I$53&amp;"."&amp;$M$53</f>
        <v>.</v>
      </c>
      <c r="AP53" s="1149" t="str">
        <f>$I$53&amp;"."&amp;$M$53&amp;"."&amp;$Q$53</f>
        <v>..</v>
      </c>
      <c r="AQ53" s="1149" t="str">
        <f>$I$53&amp;"."&amp;$M$53&amp;"."&amp;$Q$53&amp;"."&amp;$U$53</f>
        <v>...</v>
      </c>
    </row>
    <row r="54" spans="1:43" s="4819" customFormat="1" ht="17.25" hidden="1" customHeight="1">
      <c r="A54" s="239"/>
      <c r="C54" s="238"/>
      <c r="D54" s="5252"/>
      <c r="E54" s="5260"/>
      <c r="F54" s="5263"/>
      <c r="G54" s="5260"/>
      <c r="H54" s="5266"/>
      <c r="I54" s="5268"/>
      <c r="J54" s="5270"/>
      <c r="K54" s="5255"/>
      <c r="L54" s="5255"/>
      <c r="M54" s="5255"/>
      <c r="N54" s="5257"/>
      <c r="O54" s="5255"/>
      <c r="P54" s="5255"/>
      <c r="Q54" s="5255"/>
      <c r="R54" s="5258"/>
      <c r="S54" s="5255"/>
      <c r="T54" s="1795"/>
      <c r="U54" s="1795"/>
      <c r="V54" s="1795"/>
      <c r="W54" s="1796"/>
      <c r="X54" s="1149"/>
      <c r="Y54" s="1149"/>
      <c r="Z54" s="1149"/>
      <c r="AA54" s="1149"/>
      <c r="AB54" s="1149"/>
      <c r="AC54" s="1149"/>
      <c r="AD54" s="1149"/>
      <c r="AE54" s="1149"/>
      <c r="AF54" s="1149"/>
      <c r="AG54" s="1149"/>
      <c r="AH54" s="1149"/>
      <c r="AI54" s="1149"/>
      <c r="AJ54" s="1149"/>
      <c r="AK54" s="1149"/>
      <c r="AL54" s="1149"/>
      <c r="AM54" s="1149"/>
      <c r="AN54" s="1149"/>
      <c r="AO54" s="1149"/>
      <c r="AP54" s="1149"/>
      <c r="AQ54" s="1149"/>
    </row>
    <row r="55" spans="1:43" s="4819" customFormat="1" ht="17.25" hidden="1" customHeight="1">
      <c r="A55" s="239"/>
      <c r="C55" s="238"/>
      <c r="D55" s="5253"/>
      <c r="E55" s="5261"/>
      <c r="F55" s="5263"/>
      <c r="G55" s="5261"/>
      <c r="H55" s="5266"/>
      <c r="I55" s="5268"/>
      <c r="J55" s="5271"/>
      <c r="K55" s="5255"/>
      <c r="L55" s="5255"/>
      <c r="M55" s="5255"/>
      <c r="N55" s="5258"/>
      <c r="O55" s="5255"/>
      <c r="P55" s="1793"/>
      <c r="Q55" s="1795"/>
      <c r="R55" s="1795"/>
      <c r="S55" s="247"/>
      <c r="T55" s="247"/>
      <c r="U55" s="247"/>
      <c r="V55" s="247"/>
      <c r="W55" s="1796"/>
      <c r="X55" s="1149"/>
      <c r="Y55" s="1149"/>
      <c r="Z55" s="1149"/>
      <c r="AA55" s="1149"/>
      <c r="AB55" s="1149"/>
      <c r="AC55" s="1149"/>
      <c r="AD55" s="1149"/>
      <c r="AE55" s="1149"/>
      <c r="AF55" s="1149"/>
      <c r="AG55" s="1149"/>
      <c r="AH55" s="1149"/>
      <c r="AI55" s="1149"/>
      <c r="AJ55" s="1149"/>
      <c r="AK55" s="1149"/>
      <c r="AL55" s="1149"/>
      <c r="AM55" s="1149"/>
      <c r="AN55" s="1149"/>
      <c r="AO55" s="1149"/>
      <c r="AP55" s="1149"/>
      <c r="AQ55" s="1149"/>
    </row>
    <row r="56" spans="1:43" s="4819" customFormat="1" ht="17.25" hidden="1" customHeight="1">
      <c r="A56" s="239"/>
      <c r="C56" s="131"/>
      <c r="D56" s="5253"/>
      <c r="E56" s="5261"/>
      <c r="F56" s="5263"/>
      <c r="G56" s="5261"/>
      <c r="H56" s="5266"/>
      <c r="I56" s="5268"/>
      <c r="J56" s="5271"/>
      <c r="K56" s="5255"/>
      <c r="L56" s="1795"/>
      <c r="M56" s="1795"/>
      <c r="N56" s="1795"/>
      <c r="O56" s="1795"/>
      <c r="P56" s="1795"/>
      <c r="Q56" s="1795"/>
      <c r="R56" s="1795"/>
      <c r="S56" s="247"/>
      <c r="T56" s="247"/>
      <c r="U56" s="247"/>
      <c r="V56" s="247"/>
      <c r="W56" s="1796"/>
      <c r="Y56" s="1150"/>
      <c r="Z56" s="1150"/>
      <c r="AA56" s="1150"/>
      <c r="AB56" s="1150"/>
      <c r="AC56" s="1150"/>
      <c r="AD56" s="1150"/>
      <c r="AE56" s="1150"/>
      <c r="AF56" s="1150"/>
      <c r="AG56" s="1150"/>
      <c r="AH56" s="1150"/>
      <c r="AI56" s="1150"/>
      <c r="AJ56" s="1150"/>
      <c r="AK56" s="1150"/>
      <c r="AL56" s="1150"/>
      <c r="AM56" s="1150"/>
      <c r="AN56" s="1150"/>
      <c r="AO56" s="1150"/>
      <c r="AP56" s="1150"/>
      <c r="AQ56" s="1150"/>
    </row>
    <row r="57" spans="1:43" s="4819" customFormat="1" ht="17.25" hidden="1" customHeight="1">
      <c r="A57" s="239"/>
      <c r="C57" s="238"/>
      <c r="D57" s="5253"/>
      <c r="E57" s="5261"/>
      <c r="F57" s="5264"/>
      <c r="G57" s="5261"/>
      <c r="H57" s="1180"/>
      <c r="I57" s="1797"/>
      <c r="J57" s="1797"/>
      <c r="K57" s="1797"/>
      <c r="L57" s="1797"/>
      <c r="M57" s="1797"/>
      <c r="N57" s="1797"/>
      <c r="O57" s="1797"/>
      <c r="P57" s="1797"/>
      <c r="Q57" s="1797"/>
      <c r="R57" s="1797"/>
      <c r="S57" s="1182"/>
      <c r="T57" s="1182"/>
      <c r="U57" s="1182"/>
      <c r="V57" s="1182"/>
      <c r="W57" s="1798"/>
      <c r="X57" s="1149"/>
      <c r="Y57" s="1149"/>
      <c r="Z57" s="1149"/>
      <c r="AA57" s="1149"/>
      <c r="AB57" s="1149"/>
      <c r="AC57" s="1149"/>
      <c r="AD57" s="1149"/>
      <c r="AE57" s="1149"/>
      <c r="AF57" s="1149"/>
      <c r="AG57" s="1149"/>
      <c r="AH57" s="1149"/>
      <c r="AI57" s="1149"/>
      <c r="AJ57" s="1149"/>
      <c r="AK57" s="1149"/>
      <c r="AL57" s="1149"/>
      <c r="AM57" s="1149"/>
      <c r="AN57" s="1149"/>
      <c r="AO57" s="1149"/>
      <c r="AP57" s="1149"/>
      <c r="AQ57" s="1149"/>
    </row>
    <row r="58" spans="1:43" s="4819" customFormat="1" ht="17.25" hidden="1" customHeight="1">
      <c r="A58" s="239"/>
      <c r="C58" s="131"/>
      <c r="D58" s="5252">
        <v>10</v>
      </c>
      <c r="E58" s="5260" t="s">
        <v>225</v>
      </c>
      <c r="F58" s="5262" t="s">
        <v>54</v>
      </c>
      <c r="G58" s="5260"/>
      <c r="H58" s="5265"/>
      <c r="I58" s="5267"/>
      <c r="J58" s="5269"/>
      <c r="K58" s="5254"/>
      <c r="L58" s="5254"/>
      <c r="M58" s="5254"/>
      <c r="N58" s="5256"/>
      <c r="O58" s="5254"/>
      <c r="P58" s="5254"/>
      <c r="Q58" s="5254"/>
      <c r="R58" s="5259"/>
      <c r="S58" s="5254"/>
      <c r="T58" s="1792"/>
      <c r="U58" s="1792"/>
      <c r="V58" s="1794"/>
      <c r="W58" s="1177"/>
      <c r="X58" s="1150"/>
      <c r="Y58" s="1150"/>
      <c r="Z58" s="1150"/>
      <c r="AA58" s="1150"/>
      <c r="AB58" s="1150"/>
      <c r="AC58" s="1150" t="s">
        <v>226</v>
      </c>
      <c r="AD58" s="1150" t="s">
        <v>227</v>
      </c>
      <c r="AE58" s="1150" t="s">
        <v>228</v>
      </c>
      <c r="AF58" s="1150" t="s">
        <v>229</v>
      </c>
      <c r="AG58" s="1150" t="s">
        <v>230</v>
      </c>
      <c r="AH58" s="1150" t="str">
        <f>IF($E$58=0,"",$E$58)</f>
        <v>Предельный уровень цены на тепловую энергию (мощность), поставляемую теплоснабжающими организациями потребителям</v>
      </c>
      <c r="AI58" s="1150" t="str">
        <f>IF($G$58=0,"",$G$58)</f>
        <v/>
      </c>
      <c r="AJ58" s="1150" t="str">
        <f>IF($J$58=0,"",$J$58)</f>
        <v/>
      </c>
      <c r="AK58" s="1150" t="str">
        <f>IF($K$58="нет","без дифференциации",IF($N$58=0,"",$N$58))</f>
        <v/>
      </c>
      <c r="AL58" s="1150" t="str">
        <f>IF($O$58="нет","без дифференциации",IF($R$58=0,"",$R$58))</f>
        <v/>
      </c>
      <c r="AM58" s="1150" t="str">
        <f>IF($S$58="нет","без дифференциации",IF($V$58=0,"",$V$58))</f>
        <v/>
      </c>
      <c r="AN58" s="1635">
        <f>$I$58</f>
        <v>0</v>
      </c>
      <c r="AO58" s="1150" t="str">
        <f>$I$58&amp;"."&amp;$M$58</f>
        <v>.</v>
      </c>
      <c r="AP58" s="1149" t="str">
        <f>$I$58&amp;"."&amp;$M$58&amp;"."&amp;$Q$58</f>
        <v>..</v>
      </c>
      <c r="AQ58" s="1149" t="str">
        <f>$I$58&amp;"."&amp;$M$58&amp;"."&amp;$Q$58&amp;"."&amp;$U$58</f>
        <v>...</v>
      </c>
    </row>
    <row r="59" spans="1:43" s="4819" customFormat="1" ht="17.25" hidden="1" customHeight="1">
      <c r="A59" s="239"/>
      <c r="C59" s="238"/>
      <c r="D59" s="5252"/>
      <c r="E59" s="5260"/>
      <c r="F59" s="5263"/>
      <c r="G59" s="5260"/>
      <c r="H59" s="5266"/>
      <c r="I59" s="5268"/>
      <c r="J59" s="5270"/>
      <c r="K59" s="5255"/>
      <c r="L59" s="5255"/>
      <c r="M59" s="5255"/>
      <c r="N59" s="5257"/>
      <c r="O59" s="5255"/>
      <c r="P59" s="5255"/>
      <c r="Q59" s="5255"/>
      <c r="R59" s="5258"/>
      <c r="S59" s="5255"/>
      <c r="T59" s="1795"/>
      <c r="U59" s="1795"/>
      <c r="V59" s="1795"/>
      <c r="W59" s="1796"/>
      <c r="X59" s="1149"/>
      <c r="Y59" s="1149"/>
      <c r="Z59" s="1149"/>
      <c r="AA59" s="1149"/>
      <c r="AB59" s="1149"/>
      <c r="AC59" s="1149"/>
      <c r="AD59" s="1149"/>
      <c r="AE59" s="1149"/>
      <c r="AF59" s="1149"/>
      <c r="AG59" s="1149"/>
      <c r="AH59" s="1149"/>
      <c r="AI59" s="1149"/>
      <c r="AJ59" s="1149"/>
      <c r="AK59" s="1149"/>
      <c r="AL59" s="1149"/>
      <c r="AM59" s="1149"/>
      <c r="AN59" s="1149"/>
      <c r="AO59" s="1149"/>
      <c r="AP59" s="1149"/>
      <c r="AQ59" s="1149"/>
    </row>
    <row r="60" spans="1:43" s="4819" customFormat="1" ht="17.25" hidden="1" customHeight="1">
      <c r="A60" s="239"/>
      <c r="C60" s="238"/>
      <c r="D60" s="5253"/>
      <c r="E60" s="5261"/>
      <c r="F60" s="5263"/>
      <c r="G60" s="5261"/>
      <c r="H60" s="5266"/>
      <c r="I60" s="5268"/>
      <c r="J60" s="5271"/>
      <c r="K60" s="5255"/>
      <c r="L60" s="5255"/>
      <c r="M60" s="5255"/>
      <c r="N60" s="5258"/>
      <c r="O60" s="5255"/>
      <c r="P60" s="1793"/>
      <c r="Q60" s="1795"/>
      <c r="R60" s="1795"/>
      <c r="S60" s="247"/>
      <c r="T60" s="247"/>
      <c r="U60" s="247"/>
      <c r="V60" s="247"/>
      <c r="W60" s="1796"/>
      <c r="X60" s="1149"/>
      <c r="Y60" s="1149"/>
      <c r="Z60" s="1149"/>
      <c r="AA60" s="1149"/>
      <c r="AB60" s="1149"/>
      <c r="AC60" s="1149"/>
      <c r="AD60" s="1149"/>
      <c r="AE60" s="1149"/>
      <c r="AF60" s="1149"/>
      <c r="AG60" s="1149"/>
      <c r="AH60" s="1149"/>
      <c r="AI60" s="1149"/>
      <c r="AJ60" s="1149"/>
      <c r="AK60" s="1149"/>
      <c r="AL60" s="1149"/>
      <c r="AM60" s="1149"/>
      <c r="AN60" s="1149"/>
      <c r="AO60" s="1149"/>
      <c r="AP60" s="1149"/>
      <c r="AQ60" s="1149"/>
    </row>
    <row r="61" spans="1:43" s="4819" customFormat="1" ht="17.25" hidden="1" customHeight="1">
      <c r="A61" s="239"/>
      <c r="C61" s="131"/>
      <c r="D61" s="5253"/>
      <c r="E61" s="5261"/>
      <c r="F61" s="5263"/>
      <c r="G61" s="5261"/>
      <c r="H61" s="5266"/>
      <c r="I61" s="5268"/>
      <c r="J61" s="5271"/>
      <c r="K61" s="5255"/>
      <c r="L61" s="1795"/>
      <c r="M61" s="1795"/>
      <c r="N61" s="1795"/>
      <c r="O61" s="1795"/>
      <c r="P61" s="1795"/>
      <c r="Q61" s="1795"/>
      <c r="R61" s="1795"/>
      <c r="S61" s="247"/>
      <c r="T61" s="247"/>
      <c r="U61" s="247"/>
      <c r="V61" s="247"/>
      <c r="W61" s="1796"/>
      <c r="Y61" s="1150"/>
      <c r="Z61" s="1150"/>
      <c r="AA61" s="1150"/>
      <c r="AB61" s="1150"/>
      <c r="AC61" s="1150"/>
      <c r="AD61" s="1150"/>
      <c r="AE61" s="1150"/>
      <c r="AF61" s="1150"/>
      <c r="AG61" s="1150"/>
      <c r="AH61" s="1150"/>
      <c r="AI61" s="1150"/>
      <c r="AJ61" s="1150"/>
      <c r="AK61" s="1150"/>
      <c r="AL61" s="1150"/>
      <c r="AM61" s="1150"/>
      <c r="AN61" s="1150"/>
      <c r="AO61" s="1150"/>
      <c r="AP61" s="1150"/>
      <c r="AQ61" s="1150"/>
    </row>
    <row r="62" spans="1:43" s="4819" customFormat="1" ht="17.25" hidden="1" customHeight="1">
      <c r="A62" s="239"/>
      <c r="C62" s="238"/>
      <c r="D62" s="5253"/>
      <c r="E62" s="5261"/>
      <c r="F62" s="5264"/>
      <c r="G62" s="5261"/>
      <c r="H62" s="1180"/>
      <c r="I62" s="1797"/>
      <c r="J62" s="1797"/>
      <c r="K62" s="1797"/>
      <c r="L62" s="1797"/>
      <c r="M62" s="1797"/>
      <c r="N62" s="1797"/>
      <c r="O62" s="1797"/>
      <c r="P62" s="1797"/>
      <c r="Q62" s="1797"/>
      <c r="R62" s="1797"/>
      <c r="S62" s="1182"/>
      <c r="T62" s="1182"/>
      <c r="U62" s="1182"/>
      <c r="V62" s="1182"/>
      <c r="W62" s="1798"/>
      <c r="X62" s="1149"/>
      <c r="Y62" s="1149"/>
      <c r="Z62" s="1149"/>
      <c r="AA62" s="1149"/>
      <c r="AB62" s="1149"/>
      <c r="AC62" s="1149"/>
      <c r="AD62" s="1149"/>
      <c r="AE62" s="1149"/>
      <c r="AF62" s="1149"/>
      <c r="AG62" s="1149"/>
      <c r="AH62" s="1149"/>
      <c r="AI62" s="1149"/>
      <c r="AJ62" s="1149"/>
      <c r="AK62" s="1149"/>
      <c r="AL62" s="1149"/>
      <c r="AM62" s="1149"/>
      <c r="AN62" s="1149"/>
      <c r="AO62" s="1149"/>
      <c r="AP62" s="1149"/>
      <c r="AQ62" s="1149"/>
    </row>
    <row r="63" spans="1:43" ht="11.25" hidden="1" customHeight="1"/>
    <row r="64" spans="1:43" ht="11.25" hidden="1" customHeight="1">
      <c r="E64" s="5289" t="s">
        <v>231</v>
      </c>
      <c r="F64" s="5289"/>
      <c r="G64" s="5289"/>
      <c r="H64" s="5289"/>
      <c r="I64" s="5289"/>
      <c r="J64" s="5289"/>
      <c r="K64" s="5289"/>
      <c r="L64" s="5289"/>
      <c r="M64" s="5289"/>
      <c r="N64" s="5289"/>
      <c r="O64" s="5289"/>
      <c r="P64" s="5289"/>
      <c r="Q64" s="5289"/>
      <c r="R64" s="5289"/>
      <c r="S64" s="5289"/>
      <c r="T64" s="5289"/>
      <c r="U64" s="5289"/>
      <c r="V64" s="5289"/>
      <c r="W64" s="5289"/>
    </row>
    <row r="65" spans="1:43" ht="36.75" hidden="1" customHeight="1">
      <c r="E65" s="5287" t="s">
        <v>232</v>
      </c>
      <c r="F65" s="5287"/>
      <c r="G65" s="5288"/>
      <c r="H65" s="5288"/>
      <c r="I65" s="5288"/>
      <c r="J65" s="5288"/>
      <c r="K65" s="5288"/>
      <c r="L65" s="5288"/>
      <c r="M65" s="5288"/>
      <c r="N65" s="5288"/>
      <c r="O65" s="5288"/>
      <c r="P65" s="5288"/>
      <c r="Q65" s="5288"/>
      <c r="R65" s="5288"/>
      <c r="S65" s="5288"/>
      <c r="T65" s="5288"/>
      <c r="U65" s="5288"/>
      <c r="V65" s="5288"/>
      <c r="W65" s="5288"/>
    </row>
    <row r="66" spans="1:43" ht="28.5" hidden="1" customHeight="1">
      <c r="E66" s="5287" t="s">
        <v>233</v>
      </c>
      <c r="F66" s="5287"/>
      <c r="G66" s="5288"/>
      <c r="H66" s="5288"/>
      <c r="I66" s="5288"/>
      <c r="J66" s="5288"/>
      <c r="K66" s="5288"/>
      <c r="L66" s="5288"/>
      <c r="M66" s="5288"/>
      <c r="N66" s="5288"/>
      <c r="O66" s="5288"/>
      <c r="P66" s="5288"/>
      <c r="Q66" s="5288"/>
      <c r="R66" s="5288"/>
      <c r="S66" s="5288"/>
      <c r="T66" s="5288"/>
      <c r="U66" s="5288"/>
      <c r="V66" s="5288"/>
      <c r="W66" s="5288"/>
    </row>
    <row r="67" spans="1:43" ht="27" hidden="1" customHeight="1">
      <c r="E67" s="5287" t="s">
        <v>234</v>
      </c>
      <c r="F67" s="5287"/>
      <c r="G67" s="5288"/>
      <c r="H67" s="5288"/>
      <c r="I67" s="5288"/>
      <c r="J67" s="5288"/>
      <c r="K67" s="5288"/>
      <c r="L67" s="5288"/>
      <c r="M67" s="5288"/>
      <c r="N67" s="5288"/>
      <c r="O67" s="5288"/>
      <c r="P67" s="5288"/>
      <c r="Q67" s="5288"/>
      <c r="R67" s="5288"/>
      <c r="S67" s="5288"/>
      <c r="T67" s="5288"/>
      <c r="U67" s="5288"/>
      <c r="V67" s="5288"/>
      <c r="W67" s="5288"/>
    </row>
    <row r="68" spans="1:43" ht="17.25" hidden="1" customHeight="1">
      <c r="E68" s="5287" t="s">
        <v>235</v>
      </c>
      <c r="F68" s="5287"/>
      <c r="G68" s="5288"/>
      <c r="H68" s="5288"/>
      <c r="I68" s="5288"/>
      <c r="J68" s="5288"/>
      <c r="K68" s="5288"/>
      <c r="L68" s="5288"/>
      <c r="M68" s="5288"/>
      <c r="N68" s="5288"/>
      <c r="O68" s="5288"/>
      <c r="P68" s="5288"/>
      <c r="Q68" s="5288"/>
      <c r="R68" s="5288"/>
      <c r="S68" s="5288"/>
      <c r="T68" s="5288"/>
      <c r="U68" s="5288"/>
      <c r="V68" s="5288"/>
      <c r="W68" s="5288"/>
    </row>
    <row r="69" spans="1:43" ht="15" hidden="1" customHeight="1">
      <c r="E69" s="258"/>
      <c r="F69" s="1167"/>
      <c r="G69" s="81"/>
      <c r="H69" s="81"/>
      <c r="I69" s="81"/>
      <c r="J69" s="81"/>
      <c r="K69" s="81"/>
      <c r="L69" s="81"/>
      <c r="M69" s="81"/>
      <c r="N69" s="81"/>
      <c r="O69" s="81"/>
      <c r="P69" s="81"/>
      <c r="Q69" s="81"/>
      <c r="R69" s="81"/>
      <c r="S69" s="81"/>
      <c r="T69" s="81"/>
      <c r="U69" s="81"/>
      <c r="V69" s="81"/>
      <c r="W69" s="81"/>
    </row>
    <row r="70" spans="1:43" ht="15" hidden="1" customHeight="1">
      <c r="E70" s="5289" t="s">
        <v>236</v>
      </c>
      <c r="F70" s="5289"/>
      <c r="G70" s="5289"/>
      <c r="H70" s="5289"/>
      <c r="I70" s="5289"/>
      <c r="J70" s="5289"/>
      <c r="K70" s="5289"/>
      <c r="L70" s="5289"/>
      <c r="M70" s="5289"/>
      <c r="N70" s="5289"/>
      <c r="O70" s="5289"/>
      <c r="P70" s="5289"/>
      <c r="Q70" s="5289"/>
      <c r="R70" s="5289"/>
      <c r="S70" s="5289"/>
      <c r="T70" s="5289"/>
      <c r="U70" s="5289"/>
      <c r="V70" s="5289"/>
      <c r="W70" s="5289"/>
    </row>
    <row r="71" spans="1:43" ht="17.25" hidden="1" customHeight="1">
      <c r="E71" s="5287" t="s">
        <v>237</v>
      </c>
      <c r="F71" s="5287"/>
      <c r="G71" s="5288"/>
      <c r="H71" s="5288"/>
      <c r="I71" s="5288"/>
      <c r="J71" s="5288"/>
      <c r="K71" s="5288"/>
      <c r="L71" s="5288"/>
      <c r="M71" s="5288"/>
      <c r="N71" s="5288"/>
      <c r="O71" s="5288"/>
      <c r="P71" s="5288"/>
      <c r="Q71" s="5288"/>
      <c r="R71" s="5288"/>
      <c r="S71" s="5288"/>
      <c r="T71" s="5288"/>
      <c r="U71" s="5288"/>
      <c r="V71" s="5288"/>
      <c r="W71" s="5288"/>
    </row>
    <row r="72" spans="1:43" ht="17.25" hidden="1" customHeight="1">
      <c r="E72" s="5287" t="s">
        <v>238</v>
      </c>
      <c r="F72" s="5287"/>
      <c r="G72" s="5288"/>
      <c r="H72" s="5288"/>
      <c r="I72" s="5288"/>
      <c r="J72" s="5288"/>
      <c r="K72" s="5288"/>
      <c r="L72" s="5288"/>
      <c r="M72" s="5288"/>
      <c r="N72" s="5288"/>
      <c r="O72" s="5288"/>
      <c r="P72" s="5288"/>
      <c r="Q72" s="5288"/>
      <c r="R72" s="5288"/>
      <c r="S72" s="5288"/>
      <c r="T72" s="5288"/>
      <c r="U72" s="5288"/>
      <c r="V72" s="5288"/>
      <c r="W72" s="5288"/>
    </row>
    <row r="73" spans="1:43" s="4820" customFormat="1" ht="11.25" hidden="1" customHeight="1">
      <c r="A73" s="196"/>
      <c r="B73" s="196"/>
      <c r="Y73" s="1143"/>
      <c r="Z73" s="1143"/>
      <c r="AA73" s="1143"/>
      <c r="AB73" s="1143"/>
      <c r="AC73" s="1143"/>
      <c r="AD73" s="1143"/>
      <c r="AE73" s="1143"/>
      <c r="AF73" s="1143"/>
      <c r="AG73" s="1143"/>
      <c r="AH73" s="1143"/>
      <c r="AI73" s="1143"/>
      <c r="AJ73" s="1143"/>
      <c r="AK73" s="1143"/>
      <c r="AL73" s="1143"/>
      <c r="AM73" s="1143"/>
      <c r="AN73" s="1143"/>
      <c r="AO73" s="1143"/>
      <c r="AP73" s="1143"/>
      <c r="AQ73" s="1143"/>
    </row>
    <row r="74" spans="1:43" s="4820" customFormat="1" ht="17.25" hidden="1" customHeight="1">
      <c r="A74" s="239"/>
      <c r="C74" s="131"/>
      <c r="D74" s="5252">
        <v>1</v>
      </c>
      <c r="E74" s="5260" t="s">
        <v>239</v>
      </c>
      <c r="F74" s="5262" t="s">
        <v>54</v>
      </c>
      <c r="G74" s="5260"/>
      <c r="H74" s="5265"/>
      <c r="I74" s="5267"/>
      <c r="J74" s="5269"/>
      <c r="K74" s="5254"/>
      <c r="L74" s="5254"/>
      <c r="M74" s="5254"/>
      <c r="N74" s="5256"/>
      <c r="O74" s="5254"/>
      <c r="P74" s="5254"/>
      <c r="Q74" s="5254"/>
      <c r="R74" s="5259"/>
      <c r="S74" s="5254"/>
      <c r="T74" s="1343"/>
      <c r="U74" s="1343"/>
      <c r="V74" s="1345"/>
      <c r="W74" s="1177"/>
      <c r="Y74" s="1150"/>
      <c r="Z74" s="1150"/>
      <c r="AA74" s="1150"/>
      <c r="AB74" s="1150"/>
      <c r="AC74" s="1150" t="s">
        <v>240</v>
      </c>
      <c r="AD74" s="1150" t="s">
        <v>241</v>
      </c>
      <c r="AE74" s="1150" t="s">
        <v>242</v>
      </c>
      <c r="AF74" s="1150" t="s">
        <v>243</v>
      </c>
      <c r="AG74" s="1150"/>
      <c r="AH74" s="1150" t="str">
        <f>IF($E$74=0,"",$E$74)</f>
        <v>Тариф на питьевую воду (питьевое водоснабжение)</v>
      </c>
      <c r="AI74" s="1150" t="str">
        <f>IF($G$74=0,"",$G$74)</f>
        <v/>
      </c>
      <c r="AJ74" s="1150" t="str">
        <f>IF($J$74=0,"",$J$74)</f>
        <v/>
      </c>
      <c r="AK74" s="1150" t="str">
        <f>IF($K$74="нет","без дифференциации",IF($N$74=0,"",$N$74))</f>
        <v/>
      </c>
      <c r="AL74" s="1150" t="str">
        <f>IF($O$74="нет","без дифференциации",IF($R$74=0,"",$R$74))</f>
        <v/>
      </c>
      <c r="AM74" s="1150" t="str">
        <f>IF($S$74="нет","без дифференциации",IF($V$74=0,"",$V$74))</f>
        <v/>
      </c>
      <c r="AN74" s="1150">
        <f>$I$74</f>
        <v>0</v>
      </c>
      <c r="AO74" s="1150" t="str">
        <f>$I$74&amp;"."&amp;$M$74</f>
        <v>.</v>
      </c>
      <c r="AP74" s="1150" t="str">
        <f>$I$74&amp;"."&amp;$M$74&amp;"."&amp;$Q$74</f>
        <v>..</v>
      </c>
      <c r="AQ74" s="1150" t="str">
        <f>$I$74&amp;"."&amp;$M$74&amp;"."&amp;$Q$74&amp;"."&amp;$U$74</f>
        <v>...</v>
      </c>
    </row>
    <row r="75" spans="1:43" s="4820" customFormat="1" ht="17.25" hidden="1" customHeight="1">
      <c r="A75" s="239"/>
      <c r="C75" s="238"/>
      <c r="D75" s="5252"/>
      <c r="E75" s="5260"/>
      <c r="F75" s="5263"/>
      <c r="G75" s="5260"/>
      <c r="H75" s="5266"/>
      <c r="I75" s="5268"/>
      <c r="J75" s="5270"/>
      <c r="K75" s="5255"/>
      <c r="L75" s="5255"/>
      <c r="M75" s="5255"/>
      <c r="N75" s="5257"/>
      <c r="O75" s="5255"/>
      <c r="P75" s="5255"/>
      <c r="Q75" s="5255"/>
      <c r="R75" s="5258"/>
      <c r="S75" s="5255"/>
      <c r="T75" s="1178"/>
      <c r="U75" s="1178"/>
      <c r="V75" s="1178"/>
      <c r="W75" s="1179"/>
      <c r="Y75" s="1143"/>
      <c r="Z75" s="1143"/>
      <c r="AA75" s="1143"/>
      <c r="AB75" s="1143"/>
      <c r="AC75" s="1143"/>
      <c r="AD75" s="1143"/>
      <c r="AE75" s="1143"/>
      <c r="AF75" s="1143"/>
      <c r="AG75" s="1143"/>
      <c r="AH75" s="1143"/>
      <c r="AI75" s="1143"/>
      <c r="AJ75" s="1143"/>
      <c r="AK75" s="1143"/>
      <c r="AL75" s="1143"/>
      <c r="AM75" s="1143"/>
      <c r="AN75" s="1143"/>
      <c r="AO75" s="1143"/>
      <c r="AP75" s="1143"/>
      <c r="AQ75" s="1143"/>
    </row>
    <row r="76" spans="1:43" s="4821" customFormat="1" ht="17.25" hidden="1" customHeight="1">
      <c r="A76" s="239"/>
      <c r="C76" s="131"/>
      <c r="D76" s="5252"/>
      <c r="E76" s="5260"/>
      <c r="F76" s="5263"/>
      <c r="G76" s="5260"/>
      <c r="H76" s="5266"/>
      <c r="I76" s="5268"/>
      <c r="J76" s="5271"/>
      <c r="K76" s="5255"/>
      <c r="L76" s="5255"/>
      <c r="M76" s="5255"/>
      <c r="N76" s="5258"/>
      <c r="O76" s="5255"/>
      <c r="P76" s="1344"/>
      <c r="Q76" s="1178"/>
      <c r="R76" s="1178"/>
      <c r="S76" s="247"/>
      <c r="T76" s="247"/>
      <c r="U76" s="247"/>
      <c r="V76" s="247"/>
      <c r="W76" s="1179"/>
      <c r="Y76" s="1150"/>
      <c r="Z76" s="1150"/>
      <c r="AA76" s="1150"/>
      <c r="AB76" s="1150"/>
      <c r="AC76" s="1150"/>
      <c r="AD76" s="1150"/>
      <c r="AE76" s="1150"/>
      <c r="AF76" s="1150"/>
      <c r="AG76" s="1150"/>
      <c r="AH76" s="1150"/>
      <c r="AI76" s="1150"/>
      <c r="AJ76" s="1150"/>
      <c r="AK76" s="1150"/>
      <c r="AL76" s="1150"/>
      <c r="AM76" s="1150"/>
      <c r="AN76" s="1150"/>
      <c r="AO76" s="1150"/>
      <c r="AP76" s="1150"/>
      <c r="AQ76" s="1150"/>
    </row>
    <row r="77" spans="1:43" s="4821" customFormat="1" ht="17.25" hidden="1" customHeight="1">
      <c r="A77" s="239"/>
      <c r="C77" s="238"/>
      <c r="D77" s="5252"/>
      <c r="E77" s="5260"/>
      <c r="F77" s="5263"/>
      <c r="G77" s="5260"/>
      <c r="H77" s="5266"/>
      <c r="I77" s="5268"/>
      <c r="J77" s="5271"/>
      <c r="K77" s="5255"/>
      <c r="L77" s="1178"/>
      <c r="M77" s="1178"/>
      <c r="N77" s="1178"/>
      <c r="O77" s="1178"/>
      <c r="P77" s="1178"/>
      <c r="Q77" s="1178"/>
      <c r="R77" s="1178"/>
      <c r="S77" s="247"/>
      <c r="T77" s="247"/>
      <c r="U77" s="247"/>
      <c r="V77" s="247"/>
      <c r="W77" s="1179"/>
      <c r="Y77" s="1143"/>
      <c r="Z77" s="1143"/>
      <c r="AA77" s="1143"/>
      <c r="AB77" s="1143"/>
      <c r="AC77" s="1143"/>
      <c r="AD77" s="1143"/>
      <c r="AE77" s="1143"/>
      <c r="AF77" s="1143"/>
      <c r="AG77" s="1143"/>
      <c r="AH77" s="1143"/>
      <c r="AI77" s="1143"/>
      <c r="AJ77" s="1143"/>
      <c r="AK77" s="1143"/>
      <c r="AL77" s="1143"/>
      <c r="AM77" s="1143"/>
      <c r="AN77" s="1143"/>
      <c r="AO77" s="1143"/>
      <c r="AP77" s="1143"/>
      <c r="AQ77" s="1143"/>
    </row>
    <row r="78" spans="1:43" s="4820" customFormat="1" ht="17.25" hidden="1" customHeight="1">
      <c r="A78" s="239"/>
      <c r="C78" s="238"/>
      <c r="D78" s="5253"/>
      <c r="E78" s="5261"/>
      <c r="F78" s="5264"/>
      <c r="G78" s="5261"/>
      <c r="H78" s="1180"/>
      <c r="I78" s="1181"/>
      <c r="J78" s="1181"/>
      <c r="K78" s="1181"/>
      <c r="L78" s="1181"/>
      <c r="M78" s="1181"/>
      <c r="N78" s="1181"/>
      <c r="O78" s="1181"/>
      <c r="P78" s="1181"/>
      <c r="Q78" s="1181"/>
      <c r="R78" s="1181"/>
      <c r="S78" s="1182"/>
      <c r="T78" s="1182"/>
      <c r="U78" s="1182"/>
      <c r="V78" s="1182"/>
      <c r="W78" s="1183"/>
      <c r="Y78" s="1143"/>
      <c r="Z78" s="1143"/>
      <c r="AA78" s="1143"/>
      <c r="AB78" s="1143"/>
      <c r="AC78" s="1143"/>
      <c r="AD78" s="1143"/>
      <c r="AE78" s="1143"/>
      <c r="AF78" s="1143"/>
      <c r="AG78" s="1143"/>
      <c r="AH78" s="1143"/>
      <c r="AI78" s="1143"/>
      <c r="AJ78" s="1143"/>
      <c r="AK78" s="1143"/>
      <c r="AL78" s="1143"/>
      <c r="AM78" s="1143"/>
      <c r="AN78" s="1143"/>
      <c r="AO78" s="1143"/>
      <c r="AP78" s="1143"/>
      <c r="AQ78" s="1143"/>
    </row>
    <row r="79" spans="1:43" s="4820" customFormat="1" ht="17.25" hidden="1" customHeight="1">
      <c r="A79" s="239"/>
      <c r="C79" s="131"/>
      <c r="D79" s="5252">
        <v>2</v>
      </c>
      <c r="E79" s="5260" t="s">
        <v>244</v>
      </c>
      <c r="F79" s="5262" t="s">
        <v>54</v>
      </c>
      <c r="G79" s="5260"/>
      <c r="H79" s="5265"/>
      <c r="I79" s="5267"/>
      <c r="J79" s="5269"/>
      <c r="K79" s="5254"/>
      <c r="L79" s="5254"/>
      <c r="M79" s="5254"/>
      <c r="N79" s="5256"/>
      <c r="O79" s="5254"/>
      <c r="P79" s="5254"/>
      <c r="Q79" s="5254"/>
      <c r="R79" s="5259"/>
      <c r="S79" s="5254"/>
      <c r="T79" s="1319"/>
      <c r="U79" s="1319"/>
      <c r="V79" s="1321"/>
      <c r="W79" s="1177"/>
      <c r="X79" s="1150"/>
      <c r="Y79" s="1150"/>
      <c r="Z79" s="1150"/>
      <c r="AA79" s="1150"/>
      <c r="AB79" s="1150"/>
      <c r="AC79" s="1150" t="s">
        <v>245</v>
      </c>
      <c r="AD79" s="1150" t="s">
        <v>246</v>
      </c>
      <c r="AE79" s="1150" t="s">
        <v>247</v>
      </c>
      <c r="AF79" s="1150" t="s">
        <v>248</v>
      </c>
      <c r="AG79" s="1150"/>
      <c r="AH79" s="1150" t="str">
        <f>IF($E$79=0,"",$E$79)</f>
        <v>Тариф на техническую воду</v>
      </c>
      <c r="AI79" s="1150" t="str">
        <f>IF($G$79=0,"",$G$79)</f>
        <v/>
      </c>
      <c r="AJ79" s="1150" t="str">
        <f>IF($J$79=0,"",$J$79)</f>
        <v/>
      </c>
      <c r="AK79" s="1150" t="str">
        <f>IF($K$79="нет","без дифференциации",IF($N$79=0,"",$N$79))</f>
        <v/>
      </c>
      <c r="AL79" s="1150" t="str">
        <f>IF($O$79="нет","без дифференциации",IF($R$79=0,"",$R$79))</f>
        <v/>
      </c>
      <c r="AM79" s="1150" t="str">
        <f>IF($S$79="нет","без дифференциации",IF($V$79=0,"",$V$79))</f>
        <v/>
      </c>
      <c r="AN79" s="1635">
        <f>$I$79</f>
        <v>0</v>
      </c>
      <c r="AO79" s="1150" t="str">
        <f>$I$79&amp;"."&amp;$M$79</f>
        <v>.</v>
      </c>
      <c r="AP79" s="1143" t="str">
        <f>$I$79&amp;"."&amp;$M$79&amp;"."&amp;$Q$79</f>
        <v>..</v>
      </c>
      <c r="AQ79" s="1143" t="str">
        <f>$I$79&amp;"."&amp;$M$79&amp;"."&amp;$Q$79&amp;"."&amp;$U$79</f>
        <v>...</v>
      </c>
    </row>
    <row r="80" spans="1:43" s="4820" customFormat="1" ht="17.25" hidden="1" customHeight="1">
      <c r="A80" s="239"/>
      <c r="C80" s="238"/>
      <c r="D80" s="5252"/>
      <c r="E80" s="5260"/>
      <c r="F80" s="5263"/>
      <c r="G80" s="5260"/>
      <c r="H80" s="5266"/>
      <c r="I80" s="5268"/>
      <c r="J80" s="5270"/>
      <c r="K80" s="5255"/>
      <c r="L80" s="5255"/>
      <c r="M80" s="5255"/>
      <c r="N80" s="5257"/>
      <c r="O80" s="5255"/>
      <c r="P80" s="5255"/>
      <c r="Q80" s="5255"/>
      <c r="R80" s="5258"/>
      <c r="S80" s="5255"/>
      <c r="T80" s="1178"/>
      <c r="U80" s="1178"/>
      <c r="V80" s="1178"/>
      <c r="W80" s="1179"/>
      <c r="X80" s="1143"/>
      <c r="Y80" s="1143"/>
      <c r="Z80" s="1143"/>
      <c r="AA80" s="1143"/>
      <c r="AB80" s="1143"/>
      <c r="AC80" s="1143"/>
      <c r="AD80" s="1143"/>
      <c r="AE80" s="1143"/>
      <c r="AF80" s="1143"/>
      <c r="AG80" s="1143"/>
      <c r="AH80" s="1143"/>
      <c r="AI80" s="1143"/>
      <c r="AJ80" s="1143"/>
      <c r="AK80" s="1143"/>
      <c r="AL80" s="1143"/>
      <c r="AM80" s="1143"/>
      <c r="AN80" s="1143"/>
      <c r="AO80" s="1143"/>
      <c r="AP80" s="1143"/>
      <c r="AQ80" s="1143"/>
    </row>
    <row r="81" spans="1:43" s="4820" customFormat="1" ht="17.25" hidden="1" customHeight="1">
      <c r="A81" s="239"/>
      <c r="C81" s="238"/>
      <c r="D81" s="5253"/>
      <c r="E81" s="5261"/>
      <c r="F81" s="5263"/>
      <c r="G81" s="5261"/>
      <c r="H81" s="5266"/>
      <c r="I81" s="5268"/>
      <c r="J81" s="5271"/>
      <c r="K81" s="5255"/>
      <c r="L81" s="5255"/>
      <c r="M81" s="5255"/>
      <c r="N81" s="5258"/>
      <c r="O81" s="5255"/>
      <c r="P81" s="1320"/>
      <c r="Q81" s="1178"/>
      <c r="R81" s="1178"/>
      <c r="S81" s="247"/>
      <c r="T81" s="247"/>
      <c r="U81" s="247"/>
      <c r="V81" s="247"/>
      <c r="W81" s="1179"/>
      <c r="X81" s="1143"/>
      <c r="Y81" s="1143"/>
      <c r="Z81" s="1143"/>
      <c r="AA81" s="1143"/>
      <c r="AB81" s="1143"/>
      <c r="AC81" s="1143"/>
      <c r="AD81" s="1143"/>
      <c r="AE81" s="1143"/>
      <c r="AF81" s="1143"/>
      <c r="AG81" s="1143"/>
      <c r="AH81" s="1143"/>
      <c r="AI81" s="1143"/>
      <c r="AJ81" s="1143"/>
      <c r="AK81" s="1143"/>
      <c r="AL81" s="1143"/>
      <c r="AM81" s="1143"/>
      <c r="AN81" s="1143"/>
      <c r="AO81" s="1143"/>
      <c r="AP81" s="1143"/>
      <c r="AQ81" s="1143"/>
    </row>
    <row r="82" spans="1:43" s="4820" customFormat="1" ht="17.25" hidden="1" customHeight="1">
      <c r="A82" s="239"/>
      <c r="C82" s="238"/>
      <c r="D82" s="5253"/>
      <c r="E82" s="5261"/>
      <c r="F82" s="5263"/>
      <c r="G82" s="5261"/>
      <c r="H82" s="5266"/>
      <c r="I82" s="5268"/>
      <c r="J82" s="5271"/>
      <c r="K82" s="5255"/>
      <c r="L82" s="1178"/>
      <c r="M82" s="1178"/>
      <c r="N82" s="1178"/>
      <c r="O82" s="1178"/>
      <c r="P82" s="1178"/>
      <c r="Q82" s="1178"/>
      <c r="R82" s="1178"/>
      <c r="S82" s="247"/>
      <c r="T82" s="247"/>
      <c r="U82" s="247"/>
      <c r="V82" s="247"/>
      <c r="W82" s="1179"/>
      <c r="X82" s="1143"/>
      <c r="Y82" s="1143"/>
      <c r="Z82" s="1143"/>
      <c r="AA82" s="1143"/>
      <c r="AB82" s="1143"/>
      <c r="AC82" s="1143"/>
      <c r="AD82" s="1143"/>
      <c r="AE82" s="1143"/>
      <c r="AF82" s="1143"/>
      <c r="AG82" s="1143"/>
      <c r="AH82" s="1143"/>
      <c r="AI82" s="1143"/>
      <c r="AJ82" s="1143"/>
      <c r="AK82" s="1143"/>
      <c r="AL82" s="1143"/>
      <c r="AM82" s="1143"/>
      <c r="AN82" s="1143"/>
      <c r="AO82" s="1143"/>
      <c r="AP82" s="1143"/>
      <c r="AQ82" s="1143"/>
    </row>
    <row r="83" spans="1:43" s="4820" customFormat="1" ht="17.25" hidden="1" customHeight="1">
      <c r="A83" s="239"/>
      <c r="C83" s="238"/>
      <c r="D83" s="5253"/>
      <c r="E83" s="5261"/>
      <c r="F83" s="5264"/>
      <c r="G83" s="5261"/>
      <c r="H83" s="1180"/>
      <c r="I83" s="1181"/>
      <c r="J83" s="1181"/>
      <c r="K83" s="1181"/>
      <c r="L83" s="1181"/>
      <c r="M83" s="1181"/>
      <c r="N83" s="1181"/>
      <c r="O83" s="1181"/>
      <c r="P83" s="1181"/>
      <c r="Q83" s="1181"/>
      <c r="R83" s="1181"/>
      <c r="S83" s="1182"/>
      <c r="T83" s="1182"/>
      <c r="U83" s="1182"/>
      <c r="V83" s="1182"/>
      <c r="W83" s="1183"/>
      <c r="X83" s="1143"/>
      <c r="Y83" s="1143"/>
      <c r="Z83" s="1143"/>
      <c r="AA83" s="1143"/>
      <c r="AB83" s="1143"/>
      <c r="AC83" s="1143"/>
      <c r="AD83" s="1143"/>
      <c r="AE83" s="1143"/>
      <c r="AF83" s="1143"/>
      <c r="AG83" s="1143"/>
      <c r="AH83" s="1143"/>
      <c r="AI83" s="1143"/>
      <c r="AJ83" s="1143"/>
      <c r="AK83" s="1143"/>
      <c r="AL83" s="1143"/>
      <c r="AM83" s="1143"/>
      <c r="AN83" s="1143"/>
      <c r="AO83" s="1143"/>
      <c r="AP83" s="1143"/>
      <c r="AQ83" s="1143"/>
    </row>
    <row r="84" spans="1:43" s="4820" customFormat="1" ht="17.25" hidden="1" customHeight="1">
      <c r="A84" s="239"/>
      <c r="C84" s="131"/>
      <c r="D84" s="5252">
        <v>3</v>
      </c>
      <c r="E84" s="5260" t="s">
        <v>249</v>
      </c>
      <c r="F84" s="5262" t="s">
        <v>54</v>
      </c>
      <c r="G84" s="5260"/>
      <c r="H84" s="5265"/>
      <c r="I84" s="5267"/>
      <c r="J84" s="5269"/>
      <c r="K84" s="5254"/>
      <c r="L84" s="5254"/>
      <c r="M84" s="5254"/>
      <c r="N84" s="5256"/>
      <c r="O84" s="5254"/>
      <c r="P84" s="5254"/>
      <c r="Q84" s="5254"/>
      <c r="R84" s="5259"/>
      <c r="S84" s="5254"/>
      <c r="T84" s="1319"/>
      <c r="U84" s="1319"/>
      <c r="V84" s="1321"/>
      <c r="W84" s="1177"/>
      <c r="X84" s="1150"/>
      <c r="Y84" s="1150"/>
      <c r="Z84" s="1150"/>
      <c r="AA84" s="1150"/>
      <c r="AB84" s="1150"/>
      <c r="AC84" s="1150" t="s">
        <v>250</v>
      </c>
      <c r="AD84" s="1150" t="s">
        <v>251</v>
      </c>
      <c r="AE84" s="1150" t="s">
        <v>252</v>
      </c>
      <c r="AF84" s="1150" t="s">
        <v>253</v>
      </c>
      <c r="AG84" s="1150"/>
      <c r="AH84" s="1150" t="str">
        <f>IF($E$84=0,"",$E$84)</f>
        <v>Тариф на транспортировку воды</v>
      </c>
      <c r="AI84" s="1150" t="str">
        <f>IF($G$84=0,"",$G$84)</f>
        <v/>
      </c>
      <c r="AJ84" s="1150" t="str">
        <f>IF($J$84=0,"",$J$84)</f>
        <v/>
      </c>
      <c r="AK84" s="1150" t="str">
        <f>IF($K$84="нет","без дифференциации",IF($N$84=0,"",$N$84))</f>
        <v/>
      </c>
      <c r="AL84" s="1150" t="str">
        <f>IF($O$84="нет","без дифференциации",IF($R$84=0,"",$R$84))</f>
        <v/>
      </c>
      <c r="AM84" s="1150" t="str">
        <f>IF($S$84="нет","без дифференциации",IF($V$84=0,"",$V$84))</f>
        <v/>
      </c>
      <c r="AN84" s="1635">
        <f>$I$84</f>
        <v>0</v>
      </c>
      <c r="AO84" s="1150" t="str">
        <f>$I$84&amp;"."&amp;$M$84</f>
        <v>.</v>
      </c>
      <c r="AP84" s="1143" t="str">
        <f>$I$84&amp;"."&amp;$M$84&amp;"."&amp;$Q$84</f>
        <v>..</v>
      </c>
      <c r="AQ84" s="1143" t="str">
        <f>$I$84&amp;"."&amp;$M$84&amp;"."&amp;$Q$84&amp;"."&amp;$U$84</f>
        <v>...</v>
      </c>
    </row>
    <row r="85" spans="1:43" s="4820" customFormat="1" ht="17.25" hidden="1" customHeight="1">
      <c r="A85" s="239"/>
      <c r="C85" s="238"/>
      <c r="D85" s="5252"/>
      <c r="E85" s="5260"/>
      <c r="F85" s="5263"/>
      <c r="G85" s="5260"/>
      <c r="H85" s="5266"/>
      <c r="I85" s="5268"/>
      <c r="J85" s="5270"/>
      <c r="K85" s="5255"/>
      <c r="L85" s="5255"/>
      <c r="M85" s="5255"/>
      <c r="N85" s="5257"/>
      <c r="O85" s="5255"/>
      <c r="P85" s="5255"/>
      <c r="Q85" s="5255"/>
      <c r="R85" s="5258"/>
      <c r="S85" s="5255"/>
      <c r="T85" s="1178"/>
      <c r="U85" s="1178"/>
      <c r="V85" s="1178"/>
      <c r="W85" s="1179"/>
      <c r="X85" s="1143"/>
      <c r="Y85" s="1143"/>
      <c r="Z85" s="1143"/>
      <c r="AA85" s="1143"/>
      <c r="AB85" s="1143"/>
      <c r="AC85" s="1143"/>
      <c r="AD85" s="1143"/>
      <c r="AE85" s="1143"/>
      <c r="AF85" s="1143"/>
      <c r="AG85" s="1143"/>
      <c r="AH85" s="1143"/>
      <c r="AI85" s="1143"/>
      <c r="AJ85" s="1143"/>
      <c r="AK85" s="1143"/>
      <c r="AL85" s="1143"/>
      <c r="AM85" s="1143"/>
      <c r="AN85" s="1143"/>
      <c r="AO85" s="1143"/>
      <c r="AP85" s="1143"/>
      <c r="AQ85" s="1143"/>
    </row>
    <row r="86" spans="1:43" s="4820" customFormat="1" ht="17.25" hidden="1" customHeight="1">
      <c r="A86" s="239"/>
      <c r="C86" s="238"/>
      <c r="D86" s="5253"/>
      <c r="E86" s="5261"/>
      <c r="F86" s="5263"/>
      <c r="G86" s="5261"/>
      <c r="H86" s="5266"/>
      <c r="I86" s="5268"/>
      <c r="J86" s="5271"/>
      <c r="K86" s="5255"/>
      <c r="L86" s="5255"/>
      <c r="M86" s="5255"/>
      <c r="N86" s="5258"/>
      <c r="O86" s="5255"/>
      <c r="P86" s="1320"/>
      <c r="Q86" s="1178"/>
      <c r="R86" s="1178"/>
      <c r="S86" s="247"/>
      <c r="T86" s="247"/>
      <c r="U86" s="247"/>
      <c r="V86" s="247"/>
      <c r="W86" s="1179"/>
      <c r="X86" s="1143"/>
      <c r="Y86" s="1143"/>
      <c r="Z86" s="1143"/>
      <c r="AA86" s="1143"/>
      <c r="AB86" s="1143"/>
      <c r="AC86" s="1143"/>
      <c r="AD86" s="1143"/>
      <c r="AE86" s="1143"/>
      <c r="AF86" s="1143"/>
      <c r="AG86" s="1143"/>
      <c r="AH86" s="1143"/>
      <c r="AI86" s="1143"/>
      <c r="AJ86" s="1143"/>
      <c r="AK86" s="1143"/>
      <c r="AL86" s="1143"/>
      <c r="AM86" s="1143"/>
      <c r="AN86" s="1143"/>
      <c r="AO86" s="1143"/>
      <c r="AP86" s="1143"/>
      <c r="AQ86" s="1143"/>
    </row>
    <row r="87" spans="1:43" s="4820" customFormat="1" ht="17.25" hidden="1" customHeight="1">
      <c r="A87" s="239"/>
      <c r="C87" s="238"/>
      <c r="D87" s="5253"/>
      <c r="E87" s="5261"/>
      <c r="F87" s="5263"/>
      <c r="G87" s="5261"/>
      <c r="H87" s="5266"/>
      <c r="I87" s="5268"/>
      <c r="J87" s="5271"/>
      <c r="K87" s="5255"/>
      <c r="L87" s="1178"/>
      <c r="M87" s="1178"/>
      <c r="N87" s="1178"/>
      <c r="O87" s="1178"/>
      <c r="P87" s="1178"/>
      <c r="Q87" s="1178"/>
      <c r="R87" s="1178"/>
      <c r="S87" s="247"/>
      <c r="T87" s="247"/>
      <c r="U87" s="247"/>
      <c r="V87" s="247"/>
      <c r="W87" s="1179"/>
      <c r="X87" s="1143"/>
      <c r="Y87" s="1143"/>
      <c r="Z87" s="1143"/>
      <c r="AA87" s="1143"/>
      <c r="AB87" s="1143"/>
      <c r="AC87" s="1143"/>
      <c r="AD87" s="1143"/>
      <c r="AE87" s="1143"/>
      <c r="AF87" s="1143"/>
      <c r="AG87" s="1143"/>
      <c r="AH87" s="1143"/>
      <c r="AI87" s="1143"/>
      <c r="AJ87" s="1143"/>
      <c r="AK87" s="1143"/>
      <c r="AL87" s="1143"/>
      <c r="AM87" s="1143"/>
      <c r="AN87" s="1143"/>
      <c r="AO87" s="1143"/>
      <c r="AP87" s="1143"/>
      <c r="AQ87" s="1143"/>
    </row>
    <row r="88" spans="1:43" s="4820" customFormat="1" ht="17.25" hidden="1" customHeight="1">
      <c r="A88" s="239"/>
      <c r="C88" s="238"/>
      <c r="D88" s="5253"/>
      <c r="E88" s="5261"/>
      <c r="F88" s="5264"/>
      <c r="G88" s="5261"/>
      <c r="H88" s="1180"/>
      <c r="I88" s="1181"/>
      <c r="J88" s="1181"/>
      <c r="K88" s="1181"/>
      <c r="L88" s="1181"/>
      <c r="M88" s="1181"/>
      <c r="N88" s="1181"/>
      <c r="O88" s="1181"/>
      <c r="P88" s="1181"/>
      <c r="Q88" s="1181"/>
      <c r="R88" s="1181"/>
      <c r="S88" s="1182"/>
      <c r="T88" s="1182"/>
      <c r="U88" s="1182"/>
      <c r="V88" s="1182"/>
      <c r="W88" s="1183"/>
      <c r="X88" s="1143"/>
      <c r="Y88" s="1143"/>
      <c r="Z88" s="1143"/>
      <c r="AA88" s="1143"/>
      <c r="AB88" s="1143"/>
      <c r="AC88" s="1143"/>
      <c r="AD88" s="1143"/>
      <c r="AE88" s="1143"/>
      <c r="AF88" s="1143"/>
      <c r="AG88" s="1143"/>
      <c r="AH88" s="1143"/>
      <c r="AI88" s="1143"/>
      <c r="AJ88" s="1143"/>
      <c r="AK88" s="1143"/>
      <c r="AL88" s="1143"/>
      <c r="AM88" s="1143"/>
      <c r="AN88" s="1143"/>
      <c r="AO88" s="1143"/>
      <c r="AP88" s="1143"/>
      <c r="AQ88" s="1143"/>
    </row>
    <row r="89" spans="1:43" s="4820" customFormat="1" ht="17.25" hidden="1" customHeight="1">
      <c r="A89" s="239"/>
      <c r="C89" s="131"/>
      <c r="D89" s="5252">
        <v>4</v>
      </c>
      <c r="E89" s="5260" t="s">
        <v>254</v>
      </c>
      <c r="F89" s="5262" t="s">
        <v>54</v>
      </c>
      <c r="G89" s="5260"/>
      <c r="H89" s="5265"/>
      <c r="I89" s="5267"/>
      <c r="J89" s="5269"/>
      <c r="K89" s="5254"/>
      <c r="L89" s="5254"/>
      <c r="M89" s="5254"/>
      <c r="N89" s="5256"/>
      <c r="O89" s="5254"/>
      <c r="P89" s="5254"/>
      <c r="Q89" s="5254"/>
      <c r="R89" s="5259"/>
      <c r="S89" s="5254"/>
      <c r="T89" s="1319"/>
      <c r="U89" s="1319"/>
      <c r="V89" s="1321"/>
      <c r="W89" s="1177"/>
      <c r="X89" s="1150"/>
      <c r="Y89" s="1150"/>
      <c r="Z89" s="1150"/>
      <c r="AA89" s="1150"/>
      <c r="AB89" s="1150"/>
      <c r="AC89" s="1150" t="s">
        <v>255</v>
      </c>
      <c r="AD89" s="1150" t="s">
        <v>256</v>
      </c>
      <c r="AE89" s="1150" t="s">
        <v>257</v>
      </c>
      <c r="AF89" s="1150" t="s">
        <v>258</v>
      </c>
      <c r="AG89" s="1150"/>
      <c r="AH89" s="1150" t="str">
        <f>IF($E$89=0,"",$E$89)</f>
        <v>Тариф на подвоз воды</v>
      </c>
      <c r="AI89" s="1150" t="str">
        <f>IF($G$89=0,"",$G$89)</f>
        <v/>
      </c>
      <c r="AJ89" s="1150" t="str">
        <f>IF($J$89=0,"",$J$89)</f>
        <v/>
      </c>
      <c r="AK89" s="1150" t="str">
        <f>IF($K$89="нет","без дифференциации",IF($N$89=0,"",$N$89))</f>
        <v/>
      </c>
      <c r="AL89" s="1150" t="str">
        <f>IF($O$89="нет","без дифференциации",IF($R$89=0,"",$R$89))</f>
        <v/>
      </c>
      <c r="AM89" s="1150" t="str">
        <f>IF($S$89="нет","без дифференциации",IF($V$89=0,"",$V$89))</f>
        <v/>
      </c>
      <c r="AN89" s="1635">
        <f>$I$89</f>
        <v>0</v>
      </c>
      <c r="AO89" s="1150" t="str">
        <f>$I$89&amp;"."&amp;$M$89</f>
        <v>.</v>
      </c>
      <c r="AP89" s="1143" t="str">
        <f>$I$89&amp;"."&amp;$M$89&amp;"."&amp;$Q$89</f>
        <v>..</v>
      </c>
      <c r="AQ89" s="1143" t="str">
        <f>$I$89&amp;"."&amp;$M$89&amp;"."&amp;$Q$89&amp;"."&amp;$U$89</f>
        <v>...</v>
      </c>
    </row>
    <row r="90" spans="1:43" s="4820" customFormat="1" ht="17.25" hidden="1" customHeight="1">
      <c r="A90" s="239"/>
      <c r="C90" s="238"/>
      <c r="D90" s="5252"/>
      <c r="E90" s="5260"/>
      <c r="F90" s="5263"/>
      <c r="G90" s="5260"/>
      <c r="H90" s="5266"/>
      <c r="I90" s="5268"/>
      <c r="J90" s="5270"/>
      <c r="K90" s="5255"/>
      <c r="L90" s="5255"/>
      <c r="M90" s="5255"/>
      <c r="N90" s="5257"/>
      <c r="O90" s="5255"/>
      <c r="P90" s="5255"/>
      <c r="Q90" s="5255"/>
      <c r="R90" s="5258"/>
      <c r="S90" s="5255"/>
      <c r="T90" s="1178"/>
      <c r="U90" s="1178"/>
      <c r="V90" s="1178"/>
      <c r="W90" s="1179"/>
      <c r="X90" s="1143"/>
      <c r="Y90" s="1143"/>
      <c r="Z90" s="1143"/>
      <c r="AA90" s="1143"/>
      <c r="AB90" s="1143"/>
      <c r="AC90" s="1143"/>
      <c r="AD90" s="1143"/>
      <c r="AE90" s="1143"/>
      <c r="AF90" s="1143"/>
      <c r="AG90" s="1143"/>
      <c r="AH90" s="1143"/>
      <c r="AI90" s="1143"/>
      <c r="AJ90" s="1143"/>
      <c r="AK90" s="1143"/>
      <c r="AL90" s="1143"/>
      <c r="AM90" s="1143"/>
      <c r="AN90" s="1143"/>
      <c r="AO90" s="1143"/>
      <c r="AP90" s="1143"/>
      <c r="AQ90" s="1143"/>
    </row>
    <row r="91" spans="1:43" s="4820" customFormat="1" ht="17.25" hidden="1" customHeight="1">
      <c r="A91" s="239"/>
      <c r="C91" s="238"/>
      <c r="D91" s="5253"/>
      <c r="E91" s="5261"/>
      <c r="F91" s="5263"/>
      <c r="G91" s="5261"/>
      <c r="H91" s="5266"/>
      <c r="I91" s="5268"/>
      <c r="J91" s="5271"/>
      <c r="K91" s="5255"/>
      <c r="L91" s="5255"/>
      <c r="M91" s="5255"/>
      <c r="N91" s="5258"/>
      <c r="O91" s="5255"/>
      <c r="P91" s="1320"/>
      <c r="Q91" s="1178"/>
      <c r="R91" s="1178"/>
      <c r="S91" s="247"/>
      <c r="T91" s="247"/>
      <c r="U91" s="247"/>
      <c r="V91" s="247"/>
      <c r="W91" s="1179"/>
      <c r="X91" s="1143"/>
      <c r="Y91" s="1143"/>
      <c r="Z91" s="1143"/>
      <c r="AA91" s="1143"/>
      <c r="AB91" s="1143"/>
      <c r="AC91" s="1143"/>
      <c r="AD91" s="1143"/>
      <c r="AE91" s="1143"/>
      <c r="AF91" s="1143"/>
      <c r="AG91" s="1143"/>
      <c r="AH91" s="1143"/>
      <c r="AI91" s="1143"/>
      <c r="AJ91" s="1143"/>
      <c r="AK91" s="1143"/>
      <c r="AL91" s="1143"/>
      <c r="AM91" s="1143"/>
      <c r="AN91" s="1143"/>
      <c r="AO91" s="1143"/>
      <c r="AP91" s="1143"/>
      <c r="AQ91" s="1143"/>
    </row>
    <row r="92" spans="1:43" s="4820" customFormat="1" ht="17.25" hidden="1" customHeight="1">
      <c r="A92" s="239"/>
      <c r="C92" s="238"/>
      <c r="D92" s="5253"/>
      <c r="E92" s="5261"/>
      <c r="F92" s="5263"/>
      <c r="G92" s="5261"/>
      <c r="H92" s="5266"/>
      <c r="I92" s="5268"/>
      <c r="J92" s="5271"/>
      <c r="K92" s="5255"/>
      <c r="L92" s="1178"/>
      <c r="M92" s="1178"/>
      <c r="N92" s="1178"/>
      <c r="O92" s="1178"/>
      <c r="P92" s="1178"/>
      <c r="Q92" s="1178"/>
      <c r="R92" s="1178"/>
      <c r="S92" s="247"/>
      <c r="T92" s="247"/>
      <c r="U92" s="247"/>
      <c r="V92" s="247"/>
      <c r="W92" s="1179"/>
      <c r="X92" s="1143"/>
      <c r="Y92" s="1143"/>
      <c r="Z92" s="1143"/>
      <c r="AA92" s="1143"/>
      <c r="AB92" s="1143"/>
      <c r="AC92" s="1143"/>
      <c r="AD92" s="1143"/>
      <c r="AE92" s="1143"/>
      <c r="AF92" s="1143"/>
      <c r="AG92" s="1143"/>
      <c r="AH92" s="1143"/>
      <c r="AI92" s="1143"/>
      <c r="AJ92" s="1143"/>
      <c r="AK92" s="1143"/>
      <c r="AL92" s="1143"/>
      <c r="AM92" s="1143"/>
      <c r="AN92" s="1143"/>
      <c r="AO92" s="1143"/>
      <c r="AP92" s="1143"/>
      <c r="AQ92" s="1143"/>
    </row>
    <row r="93" spans="1:43" s="4820" customFormat="1" ht="17.25" hidden="1" customHeight="1">
      <c r="A93" s="239"/>
      <c r="C93" s="238"/>
      <c r="D93" s="5253"/>
      <c r="E93" s="5261"/>
      <c r="F93" s="5264"/>
      <c r="G93" s="5261"/>
      <c r="H93" s="1180"/>
      <c r="I93" s="1181"/>
      <c r="J93" s="1181"/>
      <c r="K93" s="1181"/>
      <c r="L93" s="1181"/>
      <c r="M93" s="1181"/>
      <c r="N93" s="1181"/>
      <c r="O93" s="1181"/>
      <c r="P93" s="1181"/>
      <c r="Q93" s="1181"/>
      <c r="R93" s="1181"/>
      <c r="S93" s="1182"/>
      <c r="T93" s="1182"/>
      <c r="U93" s="1182"/>
      <c r="V93" s="1182"/>
      <c r="W93" s="1183"/>
      <c r="X93" s="1143"/>
      <c r="Y93" s="1143"/>
      <c r="Z93" s="1143"/>
      <c r="AA93" s="1143"/>
      <c r="AB93" s="1143"/>
      <c r="AC93" s="1143"/>
      <c r="AD93" s="1143"/>
      <c r="AE93" s="1143"/>
      <c r="AF93" s="1143"/>
      <c r="AG93" s="1143"/>
      <c r="AH93" s="1143"/>
      <c r="AI93" s="1143"/>
      <c r="AJ93" s="1143"/>
      <c r="AK93" s="1143"/>
      <c r="AL93" s="1143"/>
      <c r="AM93" s="1143"/>
      <c r="AN93" s="1143"/>
      <c r="AO93" s="1143"/>
      <c r="AP93" s="1143"/>
      <c r="AQ93" s="1143"/>
    </row>
    <row r="94" spans="1:43" s="4819" customFormat="1" ht="17.25" hidden="1" customHeight="1">
      <c r="A94" s="239"/>
      <c r="C94" s="131"/>
      <c r="D94" s="5252">
        <v>5</v>
      </c>
      <c r="E94" s="5260" t="s">
        <v>259</v>
      </c>
      <c r="F94" s="5262" t="s">
        <v>54</v>
      </c>
      <c r="G94" s="5260"/>
      <c r="H94" s="5265"/>
      <c r="I94" s="5267"/>
      <c r="J94" s="5269"/>
      <c r="K94" s="5254"/>
      <c r="L94" s="5254"/>
      <c r="M94" s="5254"/>
      <c r="N94" s="5256"/>
      <c r="O94" s="5254"/>
      <c r="P94" s="5254"/>
      <c r="Q94" s="5254"/>
      <c r="R94" s="5259"/>
      <c r="S94" s="5254"/>
      <c r="T94" s="1804"/>
      <c r="U94" s="1804"/>
      <c r="V94" s="1806"/>
      <c r="W94" s="1177"/>
      <c r="X94" s="1150"/>
      <c r="Y94" s="1150"/>
      <c r="Z94" s="1150"/>
      <c r="AA94" s="1150"/>
      <c r="AB94" s="1150"/>
      <c r="AC94" s="1150" t="s">
        <v>260</v>
      </c>
      <c r="AD94" s="1150" t="s">
        <v>261</v>
      </c>
      <c r="AE94" s="1150" t="s">
        <v>262</v>
      </c>
      <c r="AF94" s="1150" t="s">
        <v>263</v>
      </c>
      <c r="AG94" s="1150"/>
      <c r="AH94" s="1150" t="str">
        <f>IF($E$94=0,"",$E$94)</f>
        <v>Тариф на подключение (технологическое присоединение) к централизованной системе холодного водоснабжения</v>
      </c>
      <c r="AI94" s="1150" t="str">
        <f>IF($G$94=0,"",$G$94)</f>
        <v/>
      </c>
      <c r="AJ94" s="1150" t="str">
        <f>IF($J$94=0,"",$J$94)</f>
        <v/>
      </c>
      <c r="AK94" s="1150" t="str">
        <f>IF($K$94="нет","без дифференциации",IF($N$94=0,"",$N$94))</f>
        <v/>
      </c>
      <c r="AL94" s="1150" t="str">
        <f>IF($O$94="нет","без дифференциации",IF($R$94=0,"",$R$94))</f>
        <v/>
      </c>
      <c r="AM94" s="1150" t="str">
        <f>IF($S$94="нет","без дифференциации",IF($V$94=0,"",$V$94))</f>
        <v/>
      </c>
      <c r="AN94" s="1635">
        <f>$I$94</f>
        <v>0</v>
      </c>
      <c r="AO94" s="1150" t="str">
        <f>$I$94&amp;"."&amp;$M$94</f>
        <v>.</v>
      </c>
      <c r="AP94" s="1149" t="str">
        <f>$I$94&amp;"."&amp;$M$94&amp;"."&amp;$Q$94</f>
        <v>..</v>
      </c>
      <c r="AQ94" s="1149" t="str">
        <f>$I$94&amp;"."&amp;$M$94&amp;"."&amp;$Q$94&amp;"."&amp;$U$94</f>
        <v>...</v>
      </c>
    </row>
    <row r="95" spans="1:43" s="4819" customFormat="1" ht="17.25" hidden="1" customHeight="1">
      <c r="A95" s="239"/>
      <c r="C95" s="238"/>
      <c r="D95" s="5252"/>
      <c r="E95" s="5260"/>
      <c r="F95" s="5263"/>
      <c r="G95" s="5260"/>
      <c r="H95" s="5266"/>
      <c r="I95" s="5268"/>
      <c r="J95" s="5270"/>
      <c r="K95" s="5255"/>
      <c r="L95" s="5255"/>
      <c r="M95" s="5255"/>
      <c r="N95" s="5257"/>
      <c r="O95" s="5255"/>
      <c r="P95" s="5255"/>
      <c r="Q95" s="5255"/>
      <c r="R95" s="5258"/>
      <c r="S95" s="5255"/>
      <c r="T95" s="1809"/>
      <c r="U95" s="1809"/>
      <c r="V95" s="1809"/>
      <c r="W95" s="1810"/>
      <c r="X95" s="1149"/>
      <c r="Y95" s="1149"/>
      <c r="Z95" s="1149"/>
      <c r="AA95" s="1149"/>
      <c r="AB95" s="1149"/>
      <c r="AC95" s="1149"/>
      <c r="AD95" s="1149"/>
      <c r="AE95" s="1149"/>
      <c r="AF95" s="1149"/>
      <c r="AG95" s="1149"/>
      <c r="AH95" s="1149"/>
      <c r="AI95" s="1149"/>
      <c r="AJ95" s="1149"/>
      <c r="AK95" s="1149"/>
      <c r="AL95" s="1149"/>
      <c r="AM95" s="1149"/>
      <c r="AN95" s="1149"/>
      <c r="AO95" s="1149"/>
      <c r="AP95" s="1149"/>
      <c r="AQ95" s="1149"/>
    </row>
    <row r="96" spans="1:43" s="4819" customFormat="1" ht="17.25" hidden="1" customHeight="1">
      <c r="A96" s="239"/>
      <c r="C96" s="238"/>
      <c r="D96" s="5253"/>
      <c r="E96" s="5261"/>
      <c r="F96" s="5263"/>
      <c r="G96" s="5261"/>
      <c r="H96" s="5266"/>
      <c r="I96" s="5268"/>
      <c r="J96" s="5271"/>
      <c r="K96" s="5255"/>
      <c r="L96" s="5255"/>
      <c r="M96" s="5255"/>
      <c r="N96" s="5258"/>
      <c r="O96" s="5255"/>
      <c r="P96" s="1805"/>
      <c r="Q96" s="1809"/>
      <c r="R96" s="1809"/>
      <c r="S96" s="247"/>
      <c r="T96" s="247"/>
      <c r="U96" s="247"/>
      <c r="V96" s="247"/>
      <c r="W96" s="1810"/>
      <c r="X96" s="1149"/>
      <c r="Y96" s="1149"/>
      <c r="Z96" s="1149"/>
      <c r="AA96" s="1149"/>
      <c r="AB96" s="1149"/>
      <c r="AC96" s="1149"/>
      <c r="AD96" s="1149"/>
      <c r="AE96" s="1149"/>
      <c r="AF96" s="1149"/>
      <c r="AG96" s="1149"/>
      <c r="AH96" s="1149"/>
      <c r="AI96" s="1149"/>
      <c r="AJ96" s="1149"/>
      <c r="AK96" s="1149"/>
      <c r="AL96" s="1149"/>
      <c r="AM96" s="1149"/>
      <c r="AN96" s="1149"/>
      <c r="AO96" s="1149"/>
      <c r="AP96" s="1149"/>
      <c r="AQ96" s="1149"/>
    </row>
    <row r="97" spans="1:43" s="4819" customFormat="1" ht="17.25" hidden="1" customHeight="1">
      <c r="A97" s="239"/>
      <c r="C97" s="238"/>
      <c r="D97" s="5253"/>
      <c r="E97" s="5261"/>
      <c r="F97" s="5263"/>
      <c r="G97" s="5261"/>
      <c r="H97" s="5266"/>
      <c r="I97" s="5268"/>
      <c r="J97" s="5271"/>
      <c r="K97" s="5255"/>
      <c r="L97" s="1809"/>
      <c r="M97" s="1809"/>
      <c r="N97" s="1809"/>
      <c r="O97" s="1809"/>
      <c r="P97" s="1809"/>
      <c r="Q97" s="1809"/>
      <c r="R97" s="1809"/>
      <c r="S97" s="247"/>
      <c r="T97" s="247"/>
      <c r="U97" s="247"/>
      <c r="V97" s="247"/>
      <c r="W97" s="1810"/>
      <c r="X97" s="1149"/>
      <c r="Y97" s="1149"/>
      <c r="Z97" s="1149"/>
      <c r="AA97" s="1149"/>
      <c r="AB97" s="1149"/>
      <c r="AC97" s="1149"/>
      <c r="AD97" s="1149"/>
      <c r="AE97" s="1149"/>
      <c r="AF97" s="1149"/>
      <c r="AG97" s="1149"/>
      <c r="AH97" s="1149"/>
      <c r="AI97" s="1149"/>
      <c r="AJ97" s="1149"/>
      <c r="AK97" s="1149"/>
      <c r="AL97" s="1149"/>
      <c r="AM97" s="1149"/>
      <c r="AN97" s="1149"/>
      <c r="AO97" s="1149"/>
      <c r="AP97" s="1149"/>
      <c r="AQ97" s="1149"/>
    </row>
    <row r="98" spans="1:43" s="4819" customFormat="1" ht="17.25" hidden="1" customHeight="1">
      <c r="A98" s="239"/>
      <c r="C98" s="238"/>
      <c r="D98" s="5253"/>
      <c r="E98" s="5261"/>
      <c r="F98" s="5264"/>
      <c r="G98" s="5261"/>
      <c r="H98" s="1180"/>
      <c r="I98" s="1807"/>
      <c r="J98" s="1807"/>
      <c r="K98" s="1807"/>
      <c r="L98" s="1807"/>
      <c r="M98" s="1807"/>
      <c r="N98" s="1807"/>
      <c r="O98" s="1807"/>
      <c r="P98" s="1807"/>
      <c r="Q98" s="1807"/>
      <c r="R98" s="1807"/>
      <c r="S98" s="1182"/>
      <c r="T98" s="1182"/>
      <c r="U98" s="1182"/>
      <c r="V98" s="1182"/>
      <c r="W98" s="1808"/>
      <c r="X98" s="1149"/>
      <c r="Y98" s="1149"/>
      <c r="Z98" s="1149"/>
      <c r="AA98" s="1149"/>
      <c r="AB98" s="1149"/>
      <c r="AC98" s="1149"/>
      <c r="AD98" s="1149"/>
      <c r="AE98" s="1149"/>
      <c r="AF98" s="1149"/>
      <c r="AG98" s="1149"/>
      <c r="AH98" s="1149"/>
      <c r="AI98" s="1149"/>
      <c r="AJ98" s="1149"/>
      <c r="AK98" s="1149"/>
      <c r="AL98" s="1149"/>
      <c r="AM98" s="1149"/>
      <c r="AN98" s="1149"/>
      <c r="AO98" s="1149"/>
      <c r="AP98" s="1149"/>
      <c r="AQ98" s="1149"/>
    </row>
    <row r="99" spans="1:43" s="4819" customFormat="1" ht="11.25" hidden="1" customHeight="1">
      <c r="A99" s="196"/>
      <c r="B99" s="196"/>
      <c r="Y99" s="1143"/>
      <c r="Z99" s="1143"/>
      <c r="AA99" s="1143"/>
      <c r="AB99" s="1143"/>
      <c r="AC99" s="1143"/>
      <c r="AD99" s="1143"/>
      <c r="AE99" s="1143"/>
      <c r="AF99" s="1143"/>
      <c r="AG99" s="1143"/>
      <c r="AH99" s="1143"/>
      <c r="AI99" s="1143"/>
      <c r="AJ99" s="1143"/>
      <c r="AK99" s="1143"/>
      <c r="AL99" s="1143"/>
      <c r="AM99" s="1143"/>
      <c r="AN99" s="1143"/>
      <c r="AO99" s="1143"/>
      <c r="AP99" s="1143"/>
      <c r="AQ99" s="1143"/>
    </row>
    <row r="100" spans="1:43" s="4819" customFormat="1" ht="17.25" customHeight="1">
      <c r="A100" s="239"/>
      <c r="C100" s="131"/>
      <c r="D100" s="5252">
        <v>1</v>
      </c>
      <c r="E100" s="5260" t="s">
        <v>264</v>
      </c>
      <c r="F100" s="5262" t="s">
        <v>64</v>
      </c>
      <c r="G100" s="5292" t="str">
        <f>INDEX(HOTVSNA_PT_VED_NAME,MATCH(4189706,HOTVSNA_PT_VED_ID,0))</f>
        <v>Горячее водоснабжение</v>
      </c>
      <c r="H100" s="5299"/>
      <c r="I100" s="5299">
        <v>1</v>
      </c>
      <c r="J100" s="5295" t="s">
        <v>265</v>
      </c>
      <c r="K100" s="5296" t="s">
        <v>64</v>
      </c>
      <c r="L100" s="5226"/>
      <c r="M100" s="5226" t="s">
        <v>129</v>
      </c>
      <c r="N100" s="5303" t="str">
        <f>IF(Z100="","",INDEX(TERRITORY_MR_LIST,MATCH(Z100,TERRITORY_LIST_ID,0)))</f>
        <v>Воскресенск</v>
      </c>
      <c r="O100" s="5296" t="s">
        <v>54</v>
      </c>
      <c r="P100" s="5226"/>
      <c r="Q100" s="5226" t="s">
        <v>129</v>
      </c>
      <c r="R100" s="5298" t="s">
        <v>24</v>
      </c>
      <c r="S100" s="5302" t="s">
        <v>54</v>
      </c>
      <c r="T100" s="1850"/>
      <c r="U100" s="1850" t="s">
        <v>129</v>
      </c>
      <c r="V100" s="1851"/>
      <c r="W100" s="5295"/>
      <c r="Y100" s="1150"/>
      <c r="Z100" s="1150" t="s">
        <v>95</v>
      </c>
      <c r="AA100" s="1150"/>
      <c r="AB100" s="1150" t="s">
        <v>266</v>
      </c>
      <c r="AC100" s="1150" t="s">
        <v>267</v>
      </c>
      <c r="AD100" s="1150" t="s">
        <v>268</v>
      </c>
      <c r="AE100" s="1150" t="s">
        <v>269</v>
      </c>
      <c r="AF100" s="1150" t="s">
        <v>270</v>
      </c>
      <c r="AG100" s="1150"/>
      <c r="AH100" s="1150" t="str">
        <f>IF($E$100=0,"",$E$100)</f>
        <v>Тариф на горячую воду (горячее водоснабжение)</v>
      </c>
      <c r="AI100" s="1150" t="str">
        <f>IF($G$100=0,"",$G$100)</f>
        <v>Горячее водоснабжение</v>
      </c>
      <c r="AJ100" s="1150" t="str">
        <f>IF($J$100=0,"",$J$100)</f>
        <v>Тариф на горячую воду в закрытых системах горячего водоснабжения</v>
      </c>
      <c r="AK100" s="1150" t="str">
        <f>IF($K$100="нет","без дифференциации",IF($N$100=0,"",$N$100))</f>
        <v>Воскресенск</v>
      </c>
      <c r="AL100" s="1150" t="str">
        <f>IF($O$100="нет","без дифференциации",IF($R$100=0,"",$R$100))</f>
        <v>без дифференциации</v>
      </c>
      <c r="AM100" s="1150" t="str">
        <f>IF($S$100="нет","без дифференциации",IF($V$100=0,"",$V$100))</f>
        <v>без дифференциации</v>
      </c>
      <c r="AN100" s="1150">
        <f>$I$100</f>
        <v>1</v>
      </c>
      <c r="AO100" s="1150" t="str">
        <f>$I$100&amp;"."&amp;$M$100</f>
        <v>1.1</v>
      </c>
      <c r="AP100" s="1150" t="str">
        <f>$I$100&amp;"."&amp;$M$100&amp;"."&amp;$Q$100</f>
        <v>1.1.1</v>
      </c>
      <c r="AQ100" s="1150" t="str">
        <f>$I$100&amp;"."&amp;$M$100&amp;"."&amp;$Q$100&amp;"."&amp;$U$100</f>
        <v>1.1.1.1</v>
      </c>
    </row>
    <row r="101" spans="1:43" s="4819" customFormat="1" ht="17.25" customHeight="1">
      <c r="A101" s="239"/>
      <c r="C101" s="238"/>
      <c r="D101" s="5252"/>
      <c r="E101" s="5260"/>
      <c r="F101" s="5263"/>
      <c r="G101" s="5292"/>
      <c r="H101" s="5299"/>
      <c r="I101" s="5299"/>
      <c r="J101" s="5295"/>
      <c r="K101" s="5297"/>
      <c r="L101" s="5226"/>
      <c r="M101" s="5226"/>
      <c r="N101" s="5303"/>
      <c r="O101" s="5297"/>
      <c r="P101" s="5226"/>
      <c r="Q101" s="5226"/>
      <c r="R101" s="5298" t="s">
        <v>24</v>
      </c>
      <c r="S101" s="5302"/>
      <c r="T101" s="1852"/>
      <c r="U101" s="1853"/>
      <c r="V101" s="1853"/>
      <c r="W101" s="5295"/>
      <c r="Y101" s="1143"/>
      <c r="Z101" s="1143"/>
      <c r="AA101" s="1143"/>
      <c r="AB101" s="1143"/>
      <c r="AC101" s="1143"/>
      <c r="AD101" s="1143"/>
      <c r="AE101" s="1143"/>
      <c r="AF101" s="1143"/>
      <c r="AG101" s="1143"/>
      <c r="AH101" s="1143"/>
      <c r="AI101" s="1143"/>
      <c r="AJ101" s="1143"/>
      <c r="AK101" s="1143"/>
      <c r="AL101" s="1143"/>
      <c r="AM101" s="1143"/>
      <c r="AN101" s="1143"/>
      <c r="AO101" s="1143"/>
      <c r="AP101" s="1143"/>
      <c r="AQ101" s="1143"/>
    </row>
    <row r="102" spans="1:43" s="4819" customFormat="1" ht="17.25" customHeight="1">
      <c r="A102" s="239"/>
      <c r="C102" s="131"/>
      <c r="D102" s="5252"/>
      <c r="E102" s="5260"/>
      <c r="F102" s="5263"/>
      <c r="G102" s="5292"/>
      <c r="H102" s="5253"/>
      <c r="I102" s="5253"/>
      <c r="J102" s="5300"/>
      <c r="K102" s="5297"/>
      <c r="L102" s="5253"/>
      <c r="M102" s="5253"/>
      <c r="N102" s="5304"/>
      <c r="O102" s="5230"/>
      <c r="P102" s="1854"/>
      <c r="Q102" s="1855"/>
      <c r="R102" s="1856" t="s">
        <v>271</v>
      </c>
      <c r="S102" s="1857"/>
      <c r="T102" s="1858"/>
      <c r="U102" s="1859"/>
      <c r="V102" s="1860"/>
      <c r="W102" s="1861"/>
      <c r="Y102" s="1150"/>
      <c r="Z102" s="1150"/>
      <c r="AA102" s="1150"/>
      <c r="AB102" s="1150"/>
      <c r="AC102" s="1150"/>
      <c r="AD102" s="1150"/>
      <c r="AE102" s="1150"/>
      <c r="AF102" s="1150"/>
      <c r="AG102" s="1150"/>
      <c r="AH102" s="1150"/>
      <c r="AI102" s="1150"/>
      <c r="AJ102" s="1150"/>
      <c r="AK102" s="1150"/>
      <c r="AL102" s="1150"/>
      <c r="AM102" s="1150"/>
      <c r="AN102" s="1150"/>
      <c r="AO102" s="1150"/>
      <c r="AP102" s="1150"/>
      <c r="AQ102" s="1150"/>
    </row>
    <row r="103" spans="1:43" ht="17.25" customHeight="1">
      <c r="A103" s="1701"/>
      <c r="B103" s="1862"/>
      <c r="C103" s="1703"/>
      <c r="D103" s="5290"/>
      <c r="E103" s="5291"/>
      <c r="F103" s="5263"/>
      <c r="G103" s="5293"/>
      <c r="H103" s="5290"/>
      <c r="I103" s="5290"/>
      <c r="J103" s="5301"/>
      <c r="K103" s="5293"/>
      <c r="L103" s="5226" t="s">
        <v>101</v>
      </c>
      <c r="M103" s="5226" t="s">
        <v>100</v>
      </c>
      <c r="N103" s="5303" t="str">
        <f>IF(Z103="","",INDEX(TERRITORY_MR_LIST,MATCH(Z103,TERRITORY_LIST_ID,0)))</f>
        <v>Клин</v>
      </c>
      <c r="O103" s="5296" t="s">
        <v>64</v>
      </c>
      <c r="P103" s="5226"/>
      <c r="Q103" s="5226" t="s">
        <v>129</v>
      </c>
      <c r="R103" s="5306" t="s">
        <v>272</v>
      </c>
      <c r="S103" s="5302" t="s">
        <v>54</v>
      </c>
      <c r="T103" s="1665"/>
      <c r="U103" s="1665" t="s">
        <v>129</v>
      </c>
      <c r="V103" s="1311"/>
      <c r="W103" s="5295"/>
      <c r="X103" s="1862"/>
      <c r="Y103" s="1150"/>
      <c r="Z103" s="1150" t="s">
        <v>102</v>
      </c>
      <c r="AA103" s="1150"/>
      <c r="AB103" s="1150"/>
      <c r="AC103" s="1863" t="s">
        <v>267</v>
      </c>
      <c r="AD103" s="1863" t="s">
        <v>268</v>
      </c>
      <c r="AE103" s="1150" t="s">
        <v>273</v>
      </c>
      <c r="AF103" s="1150" t="s">
        <v>274</v>
      </c>
      <c r="AG103" s="1150" t="s">
        <v>275</v>
      </c>
      <c r="AH103" s="1150" t="str">
        <f>IF($E$100=0,"",$E$100)</f>
        <v>Тариф на горячую воду (горячее водоснабжение)</v>
      </c>
      <c r="AI103" s="1150" t="str">
        <f>IF($G$100=0,"",$G$100)</f>
        <v>Горячее водоснабжение</v>
      </c>
      <c r="AJ103" s="1150" t="str">
        <f>IF($J$100=0,"",$J$100)</f>
        <v>Тариф на горячую воду в закрытых системах горячего водоснабжения</v>
      </c>
      <c r="AK103" s="1150" t="str">
        <f>IF($K$103="нет","без дифференциации",IF($N$103=0,"",$N$103))</f>
        <v>Клин</v>
      </c>
      <c r="AL103" s="1705" t="str">
        <f>IF($O$103="нет","без дифференциации",IF($R$103=0,"",$R$103))</f>
        <v>г. Клин</v>
      </c>
      <c r="AM103" s="1705"/>
      <c r="AN103" s="1150">
        <f>$I$100</f>
        <v>1</v>
      </c>
      <c r="AO103" s="1150" t="str">
        <f>$I$100&amp;"."&amp;$M$103</f>
        <v>1.2</v>
      </c>
      <c r="AP103" s="1150" t="str">
        <f>$I$100&amp;"."&amp;$M$103&amp;"."&amp;$Q$103</f>
        <v>1.2.1</v>
      </c>
      <c r="AQ103" s="1150"/>
    </row>
    <row r="104" spans="1:43" ht="17.25" customHeight="1">
      <c r="A104" s="1701"/>
      <c r="B104" s="1862"/>
      <c r="C104" s="1706"/>
      <c r="D104" s="5290"/>
      <c r="E104" s="5291"/>
      <c r="F104" s="5263"/>
      <c r="G104" s="5293"/>
      <c r="H104" s="5290"/>
      <c r="I104" s="5290"/>
      <c r="J104" s="5301"/>
      <c r="K104" s="5293"/>
      <c r="L104" s="5226"/>
      <c r="M104" s="5226"/>
      <c r="N104" s="5303"/>
      <c r="O104" s="5297"/>
      <c r="P104" s="5226"/>
      <c r="Q104" s="5226"/>
      <c r="R104" s="5306"/>
      <c r="S104" s="5302"/>
      <c r="T104" s="1312"/>
      <c r="U104" s="1313"/>
      <c r="V104" s="1313"/>
      <c r="W104" s="5295"/>
      <c r="X104" s="1862"/>
      <c r="Y104" s="1143"/>
      <c r="Z104" s="1143"/>
      <c r="AA104" s="1143"/>
      <c r="AB104" s="1143"/>
      <c r="AC104" s="1143"/>
      <c r="AD104" s="1143"/>
      <c r="AE104" s="1143"/>
      <c r="AF104" s="1143"/>
      <c r="AG104" s="1143"/>
      <c r="AH104" s="1143"/>
      <c r="AI104" s="1143"/>
      <c r="AJ104" s="1143"/>
      <c r="AK104" s="1143"/>
      <c r="AL104" s="1862"/>
      <c r="AM104" s="1862"/>
      <c r="AN104" s="1862"/>
      <c r="AO104" s="1862"/>
      <c r="AP104" s="1862"/>
      <c r="AQ104" s="1862"/>
    </row>
    <row r="105" spans="1:43" ht="17.25" customHeight="1">
      <c r="A105" s="1701"/>
      <c r="B105" s="1862"/>
      <c r="C105" s="1703"/>
      <c r="D105" s="5290"/>
      <c r="E105" s="5291"/>
      <c r="F105" s="5263"/>
      <c r="G105" s="5293"/>
      <c r="H105" s="5290"/>
      <c r="I105" s="5290"/>
      <c r="J105" s="5301"/>
      <c r="K105" s="5293"/>
      <c r="L105" s="5290"/>
      <c r="M105" s="5290"/>
      <c r="N105" s="5305"/>
      <c r="O105" s="5297"/>
      <c r="P105" s="5226" t="s">
        <v>101</v>
      </c>
      <c r="Q105" s="5226" t="s">
        <v>100</v>
      </c>
      <c r="R105" s="5306" t="s">
        <v>276</v>
      </c>
      <c r="S105" s="5302" t="s">
        <v>54</v>
      </c>
      <c r="T105" s="1665"/>
      <c r="U105" s="1665" t="s">
        <v>129</v>
      </c>
      <c r="V105" s="1311"/>
      <c r="W105" s="5295"/>
      <c r="X105" s="1862"/>
      <c r="Y105" s="1150"/>
      <c r="Z105" s="1150"/>
      <c r="AA105" s="1150"/>
      <c r="AB105" s="1150"/>
      <c r="AC105" s="1863" t="s">
        <v>267</v>
      </c>
      <c r="AD105" s="1863" t="s">
        <v>268</v>
      </c>
      <c r="AE105" s="1863" t="s">
        <v>273</v>
      </c>
      <c r="AF105" s="1150" t="s">
        <v>277</v>
      </c>
      <c r="AG105" s="1150" t="s">
        <v>278</v>
      </c>
      <c r="AH105" s="1150" t="str">
        <f>IF($E$100=0,"",$E$100)</f>
        <v>Тариф на горячую воду (горячее водоснабжение)</v>
      </c>
      <c r="AI105" s="1150" t="str">
        <f>IF($G$100=0,"",$G$100)</f>
        <v>Горячее водоснабжение</v>
      </c>
      <c r="AJ105" s="1150" t="str">
        <f>IF($J$100=0,"",$J$100)</f>
        <v>Тариф на горячую воду в закрытых системах горячего водоснабжения</v>
      </c>
      <c r="AK105" s="1150" t="str">
        <f>IF($K$103="нет","без дифференциации",IF($N$103=0,"",$N$103))</f>
        <v>Клин</v>
      </c>
      <c r="AL105" s="1705" t="str">
        <f>IF($O$105="нет","без дифференциации",IF($R$105=0,"",$R$105))</f>
        <v>г.Высоковск, д.Масюгино</v>
      </c>
      <c r="AM105" s="1705"/>
      <c r="AN105" s="1150">
        <f>$I$100</f>
        <v>1</v>
      </c>
      <c r="AO105" s="1150" t="str">
        <f>$I$100&amp;"."&amp;$M$103</f>
        <v>1.2</v>
      </c>
      <c r="AP105" s="1150" t="str">
        <f>$I$100&amp;"."&amp;$M$103&amp;"."&amp;$Q$105</f>
        <v>1.2.2</v>
      </c>
      <c r="AQ105" s="1150"/>
    </row>
    <row r="106" spans="1:43" ht="17.25" customHeight="1">
      <c r="A106" s="1701"/>
      <c r="B106" s="1862"/>
      <c r="C106" s="1706"/>
      <c r="D106" s="5290"/>
      <c r="E106" s="5291"/>
      <c r="F106" s="5263"/>
      <c r="G106" s="5293"/>
      <c r="H106" s="5290"/>
      <c r="I106" s="5290"/>
      <c r="J106" s="5301"/>
      <c r="K106" s="5293"/>
      <c r="L106" s="5290"/>
      <c r="M106" s="5290"/>
      <c r="N106" s="5305"/>
      <c r="O106" s="5297"/>
      <c r="P106" s="5226"/>
      <c r="Q106" s="5226"/>
      <c r="R106" s="5306"/>
      <c r="S106" s="5302"/>
      <c r="T106" s="1312"/>
      <c r="U106" s="1313"/>
      <c r="V106" s="1313"/>
      <c r="W106" s="5295"/>
      <c r="X106" s="1862"/>
      <c r="Y106" s="1143"/>
      <c r="Z106" s="1143"/>
      <c r="AA106" s="1143"/>
      <c r="AB106" s="1143"/>
      <c r="AC106" s="1143"/>
      <c r="AD106" s="1143"/>
      <c r="AE106" s="1143"/>
      <c r="AF106" s="1143"/>
      <c r="AG106" s="1143"/>
      <c r="AH106" s="1143"/>
      <c r="AI106" s="1143"/>
      <c r="AJ106" s="1143"/>
      <c r="AK106" s="1143"/>
      <c r="AL106" s="1862"/>
      <c r="AM106" s="1862"/>
      <c r="AN106" s="1862"/>
      <c r="AO106" s="1862"/>
      <c r="AP106" s="1862"/>
      <c r="AQ106" s="1862"/>
    </row>
    <row r="107" spans="1:43" ht="17.25" customHeight="1">
      <c r="A107" s="1701"/>
      <c r="B107" s="1862"/>
      <c r="C107" s="1706"/>
      <c r="D107" s="5290"/>
      <c r="E107" s="5291"/>
      <c r="F107" s="5263"/>
      <c r="G107" s="5293"/>
      <c r="H107" s="5290"/>
      <c r="I107" s="5290"/>
      <c r="J107" s="5301"/>
      <c r="K107" s="5293"/>
      <c r="L107" s="5253"/>
      <c r="M107" s="5253"/>
      <c r="N107" s="5304"/>
      <c r="O107" s="5230"/>
      <c r="P107" s="235"/>
      <c r="Q107" s="236"/>
      <c r="R107" s="236" t="s">
        <v>271</v>
      </c>
      <c r="S107" s="1707"/>
      <c r="T107" s="1707"/>
      <c r="U107" s="1707"/>
      <c r="V107" s="1707"/>
      <c r="W107" s="1310"/>
      <c r="X107" s="1862"/>
      <c r="Y107" s="1143"/>
      <c r="Z107" s="1143"/>
      <c r="AA107" s="1143"/>
      <c r="AB107" s="1143"/>
      <c r="AC107" s="1143"/>
      <c r="AD107" s="1143"/>
      <c r="AE107" s="1143"/>
      <c r="AF107" s="1143"/>
      <c r="AG107" s="1143"/>
      <c r="AH107" s="1143"/>
      <c r="AI107" s="1143"/>
      <c r="AJ107" s="1143"/>
      <c r="AK107" s="1143"/>
      <c r="AL107" s="1862"/>
      <c r="AM107" s="1862"/>
      <c r="AN107" s="1862"/>
      <c r="AO107" s="1862"/>
      <c r="AP107" s="1862"/>
      <c r="AQ107" s="1862"/>
    </row>
    <row r="108" spans="1:43" ht="17.25" customHeight="1">
      <c r="A108" s="1701"/>
      <c r="B108" s="1862"/>
      <c r="C108" s="1703"/>
      <c r="D108" s="5290"/>
      <c r="E108" s="5291"/>
      <c r="F108" s="5263"/>
      <c r="G108" s="5293"/>
      <c r="H108" s="5290"/>
      <c r="I108" s="5290"/>
      <c r="J108" s="5301"/>
      <c r="K108" s="5293"/>
      <c r="L108" s="5226" t="s">
        <v>101</v>
      </c>
      <c r="M108" s="5226" t="s">
        <v>87</v>
      </c>
      <c r="N108" s="5303" t="str">
        <f>IF(Z108="","",INDEX(TERRITORY_MR_LIST,MATCH(Z108,TERRITORY_LIST_ID,0)))</f>
        <v>Пушкинский</v>
      </c>
      <c r="O108" s="5296" t="s">
        <v>64</v>
      </c>
      <c r="P108" s="5226"/>
      <c r="Q108" s="5226" t="s">
        <v>129</v>
      </c>
      <c r="R108" s="5306" t="s">
        <v>279</v>
      </c>
      <c r="S108" s="5302" t="s">
        <v>54</v>
      </c>
      <c r="T108" s="1665"/>
      <c r="U108" s="1665" t="s">
        <v>129</v>
      </c>
      <c r="V108" s="1311"/>
      <c r="W108" s="5295"/>
      <c r="X108" s="1862"/>
      <c r="Y108" s="1150"/>
      <c r="Z108" s="1150" t="s">
        <v>106</v>
      </c>
      <c r="AA108" s="1150"/>
      <c r="AB108" s="1150"/>
      <c r="AC108" s="1863" t="s">
        <v>267</v>
      </c>
      <c r="AD108" s="1863" t="s">
        <v>268</v>
      </c>
      <c r="AE108" s="1150" t="s">
        <v>280</v>
      </c>
      <c r="AF108" s="1150" t="s">
        <v>281</v>
      </c>
      <c r="AG108" s="1150" t="s">
        <v>282</v>
      </c>
      <c r="AH108" s="1150" t="str">
        <f>IF($E$100=0,"",$E$100)</f>
        <v>Тариф на горячую воду (горячее водоснабжение)</v>
      </c>
      <c r="AI108" s="1150" t="str">
        <f>IF($G$100=0,"",$G$100)</f>
        <v>Горячее водоснабжение</v>
      </c>
      <c r="AJ108" s="1150" t="str">
        <f>IF($J$100=0,"",$J$100)</f>
        <v>Тариф на горячую воду в закрытых системах горячего водоснабжения</v>
      </c>
      <c r="AK108" s="1150" t="str">
        <f>IF($K$108="нет","без дифференциации",IF($N$108=0,"",$N$108))</f>
        <v>Пушкинский</v>
      </c>
      <c r="AL108" s="1705" t="str">
        <f>IF($O$108="нет","без дифференциации",IF($R$108=0,"",$R$108))</f>
        <v>г.Пушкино (постащик ХВС МУП ЩМП "Межрайонный Щелковский водокнал)</v>
      </c>
      <c r="AM108" s="1705"/>
      <c r="AN108" s="1150">
        <f>$I$100</f>
        <v>1</v>
      </c>
      <c r="AO108" s="1150" t="str">
        <f>$I$100&amp;"."&amp;$M$108</f>
        <v>1.3</v>
      </c>
      <c r="AP108" s="1150" t="str">
        <f>$I$100&amp;"."&amp;$M$108&amp;"."&amp;$Q$108</f>
        <v>1.3.1</v>
      </c>
      <c r="AQ108" s="1150"/>
    </row>
    <row r="109" spans="1:43" ht="17.25" customHeight="1">
      <c r="A109" s="1701"/>
      <c r="B109" s="1862"/>
      <c r="C109" s="1706"/>
      <c r="D109" s="5290"/>
      <c r="E109" s="5291"/>
      <c r="F109" s="5263"/>
      <c r="G109" s="5293"/>
      <c r="H109" s="5290"/>
      <c r="I109" s="5290"/>
      <c r="J109" s="5301"/>
      <c r="K109" s="5293"/>
      <c r="L109" s="5226"/>
      <c r="M109" s="5226"/>
      <c r="N109" s="5303"/>
      <c r="O109" s="5297"/>
      <c r="P109" s="5226"/>
      <c r="Q109" s="5226"/>
      <c r="R109" s="5306"/>
      <c r="S109" s="5302"/>
      <c r="T109" s="1312"/>
      <c r="U109" s="1313"/>
      <c r="V109" s="1313"/>
      <c r="W109" s="5295"/>
      <c r="X109" s="1862"/>
      <c r="Y109" s="1143"/>
      <c r="Z109" s="1143"/>
      <c r="AA109" s="1143"/>
      <c r="AB109" s="1143"/>
      <c r="AC109" s="1143"/>
      <c r="AD109" s="1143"/>
      <c r="AE109" s="1143"/>
      <c r="AF109" s="1143"/>
      <c r="AG109" s="1143"/>
      <c r="AH109" s="1143"/>
      <c r="AI109" s="1143"/>
      <c r="AJ109" s="1143"/>
      <c r="AK109" s="1143"/>
      <c r="AL109" s="1862"/>
      <c r="AM109" s="1862"/>
      <c r="AN109" s="1862"/>
      <c r="AO109" s="1862"/>
      <c r="AP109" s="1862"/>
      <c r="AQ109" s="1862"/>
    </row>
    <row r="110" spans="1:43" ht="17.25" customHeight="1">
      <c r="A110" s="1701"/>
      <c r="B110" s="1862"/>
      <c r="C110" s="1703"/>
      <c r="D110" s="5290"/>
      <c r="E110" s="5291"/>
      <c r="F110" s="5263"/>
      <c r="G110" s="5293"/>
      <c r="H110" s="5290"/>
      <c r="I110" s="5290"/>
      <c r="J110" s="5301"/>
      <c r="K110" s="5293"/>
      <c r="L110" s="5290"/>
      <c r="M110" s="5290"/>
      <c r="N110" s="5305"/>
      <c r="O110" s="5297"/>
      <c r="P110" s="5226" t="s">
        <v>101</v>
      </c>
      <c r="Q110" s="5226" t="s">
        <v>100</v>
      </c>
      <c r="R110" s="5306" t="s">
        <v>283</v>
      </c>
      <c r="S110" s="5302" t="s">
        <v>54</v>
      </c>
      <c r="T110" s="1665"/>
      <c r="U110" s="1665" t="s">
        <v>129</v>
      </c>
      <c r="V110" s="1311"/>
      <c r="W110" s="5295"/>
      <c r="X110" s="1862"/>
      <c r="Y110" s="1150"/>
      <c r="Z110" s="1150"/>
      <c r="AA110" s="1150"/>
      <c r="AB110" s="1150"/>
      <c r="AC110" s="1863" t="s">
        <v>267</v>
      </c>
      <c r="AD110" s="1863" t="s">
        <v>268</v>
      </c>
      <c r="AE110" s="1863" t="s">
        <v>280</v>
      </c>
      <c r="AF110" s="1150" t="s">
        <v>284</v>
      </c>
      <c r="AG110" s="1150" t="s">
        <v>285</v>
      </c>
      <c r="AH110" s="1150" t="str">
        <f>IF($E$100=0,"",$E$100)</f>
        <v>Тариф на горячую воду (горячее водоснабжение)</v>
      </c>
      <c r="AI110" s="1150" t="str">
        <f>IF($G$100=0,"",$G$100)</f>
        <v>Горячее водоснабжение</v>
      </c>
      <c r="AJ110" s="1150" t="str">
        <f>IF($J$100=0,"",$J$100)</f>
        <v>Тариф на горячую воду в закрытых системах горячего водоснабжения</v>
      </c>
      <c r="AK110" s="1150" t="str">
        <f>IF($K$108="нет","без дифференциации",IF($N$108=0,"",$N$108))</f>
        <v>Пушкинский</v>
      </c>
      <c r="AL110" s="1705" t="str">
        <f>IF($O$110="нет","без дифференциации",IF($R$110=0,"",$R$110))</f>
        <v>г.Пушкино (постащик ЦЖКУ Минобороны России)</v>
      </c>
      <c r="AM110" s="1705"/>
      <c r="AN110" s="1150">
        <f>$I$100</f>
        <v>1</v>
      </c>
      <c r="AO110" s="1150" t="str">
        <f>$I$100&amp;"."&amp;$M$108</f>
        <v>1.3</v>
      </c>
      <c r="AP110" s="1150" t="str">
        <f>$I$100&amp;"."&amp;$M$108&amp;"."&amp;$Q$110</f>
        <v>1.3.2</v>
      </c>
      <c r="AQ110" s="1150"/>
    </row>
    <row r="111" spans="1:43" ht="17.25" customHeight="1">
      <c r="A111" s="1701"/>
      <c r="B111" s="1862"/>
      <c r="C111" s="1706"/>
      <c r="D111" s="5290"/>
      <c r="E111" s="5291"/>
      <c r="F111" s="5263"/>
      <c r="G111" s="5293"/>
      <c r="H111" s="5290"/>
      <c r="I111" s="5290"/>
      <c r="J111" s="5301"/>
      <c r="K111" s="5293"/>
      <c r="L111" s="5290"/>
      <c r="M111" s="5290"/>
      <c r="N111" s="5305"/>
      <c r="O111" s="5297"/>
      <c r="P111" s="5226"/>
      <c r="Q111" s="5226"/>
      <c r="R111" s="5306"/>
      <c r="S111" s="5302"/>
      <c r="T111" s="1312"/>
      <c r="U111" s="1313"/>
      <c r="V111" s="1313"/>
      <c r="W111" s="5295"/>
      <c r="X111" s="1862"/>
      <c r="Y111" s="1143"/>
      <c r="Z111" s="1143"/>
      <c r="AA111" s="1143"/>
      <c r="AB111" s="1143"/>
      <c r="AC111" s="1143"/>
      <c r="AD111" s="1143"/>
      <c r="AE111" s="1143"/>
      <c r="AF111" s="1143"/>
      <c r="AG111" s="1143"/>
      <c r="AH111" s="1143"/>
      <c r="AI111" s="1143"/>
      <c r="AJ111" s="1143"/>
      <c r="AK111" s="1143"/>
      <c r="AL111" s="1862"/>
      <c r="AM111" s="1862"/>
      <c r="AN111" s="1862"/>
      <c r="AO111" s="1862"/>
      <c r="AP111" s="1862"/>
      <c r="AQ111" s="1862"/>
    </row>
    <row r="112" spans="1:43" ht="17.25" customHeight="1">
      <c r="A112" s="1701"/>
      <c r="B112" s="1862"/>
      <c r="C112" s="1706"/>
      <c r="D112" s="5290"/>
      <c r="E112" s="5291"/>
      <c r="F112" s="5263"/>
      <c r="G112" s="5293"/>
      <c r="H112" s="5290"/>
      <c r="I112" s="5290"/>
      <c r="J112" s="5301"/>
      <c r="K112" s="5293"/>
      <c r="L112" s="5253"/>
      <c r="M112" s="5253"/>
      <c r="N112" s="5304"/>
      <c r="O112" s="5230"/>
      <c r="P112" s="235"/>
      <c r="Q112" s="236"/>
      <c r="R112" s="236" t="s">
        <v>271</v>
      </c>
      <c r="S112" s="1707"/>
      <c r="T112" s="1707"/>
      <c r="U112" s="1707"/>
      <c r="V112" s="1707"/>
      <c r="W112" s="1310"/>
      <c r="X112" s="1862"/>
      <c r="Y112" s="1143"/>
      <c r="Z112" s="1143"/>
      <c r="AA112" s="1143"/>
      <c r="AB112" s="1143"/>
      <c r="AC112" s="1143"/>
      <c r="AD112" s="1143"/>
      <c r="AE112" s="1143"/>
      <c r="AF112" s="1143"/>
      <c r="AG112" s="1143"/>
      <c r="AH112" s="1143"/>
      <c r="AI112" s="1143"/>
      <c r="AJ112" s="1143"/>
      <c r="AK112" s="1143"/>
      <c r="AL112" s="1862"/>
      <c r="AM112" s="1862"/>
      <c r="AN112" s="1862"/>
      <c r="AO112" s="1862"/>
      <c r="AP112" s="1862"/>
      <c r="AQ112" s="1862"/>
    </row>
    <row r="113" spans="1:43" ht="17.25" customHeight="1">
      <c r="A113" s="1701"/>
      <c r="B113" s="1862"/>
      <c r="C113" s="1703"/>
      <c r="D113" s="5290"/>
      <c r="E113" s="5291"/>
      <c r="F113" s="5263"/>
      <c r="G113" s="5293"/>
      <c r="H113" s="5290"/>
      <c r="I113" s="5290"/>
      <c r="J113" s="5301"/>
      <c r="K113" s="5293"/>
      <c r="L113" s="5226" t="s">
        <v>101</v>
      </c>
      <c r="M113" s="5226" t="s">
        <v>88</v>
      </c>
      <c r="N113" s="5303" t="str">
        <f>IF(Z113="","",INDEX(TERRITORY_MR_LIST,MATCH(Z113,TERRITORY_LIST_ID,0)))</f>
        <v>Сергиево-Посадский</v>
      </c>
      <c r="O113" s="5296" t="s">
        <v>64</v>
      </c>
      <c r="P113" s="5226"/>
      <c r="Q113" s="5226" t="s">
        <v>129</v>
      </c>
      <c r="R113" s="5306" t="s">
        <v>286</v>
      </c>
      <c r="S113" s="5302" t="s">
        <v>54</v>
      </c>
      <c r="T113" s="1665"/>
      <c r="U113" s="1665" t="s">
        <v>129</v>
      </c>
      <c r="V113" s="1311"/>
      <c r="W113" s="5295"/>
      <c r="X113" s="1862"/>
      <c r="Y113" s="1150"/>
      <c r="Z113" s="1150" t="s">
        <v>110</v>
      </c>
      <c r="AA113" s="1150"/>
      <c r="AB113" s="1150"/>
      <c r="AC113" s="1863" t="s">
        <v>267</v>
      </c>
      <c r="AD113" s="1863" t="s">
        <v>268</v>
      </c>
      <c r="AE113" s="1150" t="s">
        <v>287</v>
      </c>
      <c r="AF113" s="1150" t="s">
        <v>288</v>
      </c>
      <c r="AG113" s="1150" t="s">
        <v>289</v>
      </c>
      <c r="AH113" s="1150" t="str">
        <f>IF($E$100=0,"",$E$100)</f>
        <v>Тариф на горячую воду (горячее водоснабжение)</v>
      </c>
      <c r="AI113" s="1150" t="str">
        <f>IF($G$100=0,"",$G$100)</f>
        <v>Горячее водоснабжение</v>
      </c>
      <c r="AJ113" s="1150" t="str">
        <f>IF($J$100=0,"",$J$100)</f>
        <v>Тариф на горячую воду в закрытых системах горячего водоснабжения</v>
      </c>
      <c r="AK113" s="1150" t="str">
        <f>IF($K$113="нет","без дифференциации",IF($N$113=0,"",$N$113))</f>
        <v>Сергиево-Посадский</v>
      </c>
      <c r="AL113" s="1705" t="str">
        <f>IF($O$113="нет","без дифференциации",IF($R$113=0,"",$R$113))</f>
        <v>г.Сергиев Посад</v>
      </c>
      <c r="AM113" s="1705"/>
      <c r="AN113" s="1150">
        <f>$I$100</f>
        <v>1</v>
      </c>
      <c r="AO113" s="1150" t="str">
        <f>$I$100&amp;"."&amp;$M$113</f>
        <v>1.4</v>
      </c>
      <c r="AP113" s="1150" t="str">
        <f>$I$100&amp;"."&amp;$M$113&amp;"."&amp;$Q$113</f>
        <v>1.4.1</v>
      </c>
      <c r="AQ113" s="1150"/>
    </row>
    <row r="114" spans="1:43" ht="17.25" customHeight="1">
      <c r="A114" s="1701"/>
      <c r="B114" s="1862"/>
      <c r="C114" s="1706"/>
      <c r="D114" s="5290"/>
      <c r="E114" s="5291"/>
      <c r="F114" s="5263"/>
      <c r="G114" s="5293"/>
      <c r="H114" s="5290"/>
      <c r="I114" s="5290"/>
      <c r="J114" s="5301"/>
      <c r="K114" s="5293"/>
      <c r="L114" s="5226"/>
      <c r="M114" s="5226"/>
      <c r="N114" s="5303"/>
      <c r="O114" s="5297"/>
      <c r="P114" s="5226"/>
      <c r="Q114" s="5226"/>
      <c r="R114" s="5306"/>
      <c r="S114" s="5302"/>
      <c r="T114" s="1312"/>
      <c r="U114" s="1313"/>
      <c r="V114" s="1313"/>
      <c r="W114" s="5295"/>
      <c r="X114" s="1862"/>
      <c r="Y114" s="1143"/>
      <c r="Z114" s="1143"/>
      <c r="AA114" s="1143"/>
      <c r="AB114" s="1143"/>
      <c r="AC114" s="1143"/>
      <c r="AD114" s="1143"/>
      <c r="AE114" s="1143"/>
      <c r="AF114" s="1143"/>
      <c r="AG114" s="1143"/>
      <c r="AH114" s="1143"/>
      <c r="AI114" s="1143"/>
      <c r="AJ114" s="1143"/>
      <c r="AK114" s="1143"/>
      <c r="AL114" s="1862"/>
      <c r="AM114" s="1862"/>
      <c r="AN114" s="1862"/>
      <c r="AO114" s="1862"/>
      <c r="AP114" s="1862"/>
      <c r="AQ114" s="1862"/>
    </row>
    <row r="115" spans="1:43" ht="17.25" customHeight="1">
      <c r="A115" s="1701"/>
      <c r="B115" s="1862"/>
      <c r="C115" s="1703"/>
      <c r="D115" s="5290"/>
      <c r="E115" s="5291"/>
      <c r="F115" s="5263"/>
      <c r="G115" s="5293"/>
      <c r="H115" s="5290"/>
      <c r="I115" s="5290"/>
      <c r="J115" s="5301"/>
      <c r="K115" s="5293"/>
      <c r="L115" s="5290"/>
      <c r="M115" s="5290"/>
      <c r="N115" s="5305"/>
      <c r="O115" s="5297"/>
      <c r="P115" s="5226" t="s">
        <v>101</v>
      </c>
      <c r="Q115" s="5226" t="s">
        <v>100</v>
      </c>
      <c r="R115" s="5306" t="s">
        <v>290</v>
      </c>
      <c r="S115" s="5302" t="s">
        <v>54</v>
      </c>
      <c r="T115" s="1665"/>
      <c r="U115" s="1665" t="s">
        <v>129</v>
      </c>
      <c r="V115" s="1311"/>
      <c r="W115" s="5295"/>
      <c r="X115" s="1862"/>
      <c r="Y115" s="1150"/>
      <c r="Z115" s="1150"/>
      <c r="AA115" s="1150"/>
      <c r="AB115" s="1150"/>
      <c r="AC115" s="1863" t="s">
        <v>267</v>
      </c>
      <c r="AD115" s="1863" t="s">
        <v>268</v>
      </c>
      <c r="AE115" s="1863" t="s">
        <v>287</v>
      </c>
      <c r="AF115" s="1150" t="s">
        <v>291</v>
      </c>
      <c r="AG115" s="1150" t="s">
        <v>292</v>
      </c>
      <c r="AH115" s="1150" t="str">
        <f>IF($E$100=0,"",$E$100)</f>
        <v>Тариф на горячую воду (горячее водоснабжение)</v>
      </c>
      <c r="AI115" s="1150" t="str">
        <f>IF($G$100=0,"",$G$100)</f>
        <v>Горячее водоснабжение</v>
      </c>
      <c r="AJ115" s="1150" t="str">
        <f>IF($J$100=0,"",$J$100)</f>
        <v>Тариф на горячую воду в закрытых системах горячего водоснабжения</v>
      </c>
      <c r="AK115" s="1150" t="str">
        <f>IF($K$113="нет","без дифференциации",IF($N$113=0,"",$N$113))</f>
        <v>Сергиево-Посадский</v>
      </c>
      <c r="AL115" s="1705" t="str">
        <f>IF($O$115="нет","без дифференциации",IF($R$115=0,"",$R$115))</f>
        <v>г.Сергиев Посад (Константиново, Трехселище, Самотовино,Каменки и.др)</v>
      </c>
      <c r="AM115" s="1705"/>
      <c r="AN115" s="1150">
        <f>$I$100</f>
        <v>1</v>
      </c>
      <c r="AO115" s="1150" t="str">
        <f>$I$100&amp;"."&amp;$M$113</f>
        <v>1.4</v>
      </c>
      <c r="AP115" s="1150" t="str">
        <f>$I$100&amp;"."&amp;$M$113&amp;"."&amp;$Q$115</f>
        <v>1.4.2</v>
      </c>
      <c r="AQ115" s="1150"/>
    </row>
    <row r="116" spans="1:43" ht="17.25" customHeight="1">
      <c r="A116" s="1701"/>
      <c r="B116" s="1862"/>
      <c r="C116" s="1706"/>
      <c r="D116" s="5290"/>
      <c r="E116" s="5291"/>
      <c r="F116" s="5263"/>
      <c r="G116" s="5293"/>
      <c r="H116" s="5290"/>
      <c r="I116" s="5290"/>
      <c r="J116" s="5301"/>
      <c r="K116" s="5293"/>
      <c r="L116" s="5290"/>
      <c r="M116" s="5290"/>
      <c r="N116" s="5305"/>
      <c r="O116" s="5297"/>
      <c r="P116" s="5226"/>
      <c r="Q116" s="5226"/>
      <c r="R116" s="5306"/>
      <c r="S116" s="5302"/>
      <c r="T116" s="1312"/>
      <c r="U116" s="1313"/>
      <c r="V116" s="1313"/>
      <c r="W116" s="5295"/>
      <c r="X116" s="1862"/>
      <c r="Y116" s="1143"/>
      <c r="Z116" s="1143"/>
      <c r="AA116" s="1143"/>
      <c r="AB116" s="1143"/>
      <c r="AC116" s="1143"/>
      <c r="AD116" s="1143"/>
      <c r="AE116" s="1143"/>
      <c r="AF116" s="1143"/>
      <c r="AG116" s="1143"/>
      <c r="AH116" s="1143"/>
      <c r="AI116" s="1143"/>
      <c r="AJ116" s="1143"/>
      <c r="AK116" s="1143"/>
      <c r="AL116" s="1862"/>
      <c r="AM116" s="1862"/>
      <c r="AN116" s="1862"/>
      <c r="AO116" s="1862"/>
      <c r="AP116" s="1862"/>
      <c r="AQ116" s="1862"/>
    </row>
    <row r="117" spans="1:43" ht="17.25" customHeight="1">
      <c r="A117" s="1701"/>
      <c r="B117" s="1862"/>
      <c r="C117" s="1703"/>
      <c r="D117" s="5290"/>
      <c r="E117" s="5291"/>
      <c r="F117" s="5263"/>
      <c r="G117" s="5293"/>
      <c r="H117" s="5290"/>
      <c r="I117" s="5290"/>
      <c r="J117" s="5301"/>
      <c r="K117" s="5293"/>
      <c r="L117" s="5290"/>
      <c r="M117" s="5290"/>
      <c r="N117" s="5305"/>
      <c r="O117" s="5297"/>
      <c r="P117" s="5226" t="s">
        <v>101</v>
      </c>
      <c r="Q117" s="5226" t="s">
        <v>87</v>
      </c>
      <c r="R117" s="5306" t="s">
        <v>293</v>
      </c>
      <c r="S117" s="5302" t="s">
        <v>54</v>
      </c>
      <c r="T117" s="1665"/>
      <c r="U117" s="1665" t="s">
        <v>129</v>
      </c>
      <c r="V117" s="1311"/>
      <c r="W117" s="5295"/>
      <c r="X117" s="1862"/>
      <c r="Y117" s="1150"/>
      <c r="Z117" s="1150"/>
      <c r="AA117" s="1150"/>
      <c r="AB117" s="1150"/>
      <c r="AC117" s="1863" t="s">
        <v>267</v>
      </c>
      <c r="AD117" s="1863" t="s">
        <v>268</v>
      </c>
      <c r="AE117" s="1863" t="s">
        <v>287</v>
      </c>
      <c r="AF117" s="1150" t="s">
        <v>294</v>
      </c>
      <c r="AG117" s="1150" t="s">
        <v>295</v>
      </c>
      <c r="AH117" s="1150" t="str">
        <f>IF($E$100=0,"",$E$100)</f>
        <v>Тариф на горячую воду (горячее водоснабжение)</v>
      </c>
      <c r="AI117" s="1150" t="str">
        <f>IF($G$100=0,"",$G$100)</f>
        <v>Горячее водоснабжение</v>
      </c>
      <c r="AJ117" s="1150" t="str">
        <f>IF($J$100=0,"",$J$100)</f>
        <v>Тариф на горячую воду в закрытых системах горячего водоснабжения</v>
      </c>
      <c r="AK117" s="1150" t="str">
        <f>IF($K$113="нет","без дифференциации",IF($N$113=0,"",$N$113))</f>
        <v>Сергиево-Посадский</v>
      </c>
      <c r="AL117" s="1705" t="str">
        <f>IF($O$117="нет","без дифференциации",IF($R$117=0,"",$R$117))</f>
        <v>г.Сергиев Посад, ЖБИ Скобяное шоссе, д6, 6а</v>
      </c>
      <c r="AM117" s="1705"/>
      <c r="AN117" s="1150">
        <f>$I$100</f>
        <v>1</v>
      </c>
      <c r="AO117" s="1150" t="str">
        <f>$I$100&amp;"."&amp;$M$113</f>
        <v>1.4</v>
      </c>
      <c r="AP117" s="1150" t="str">
        <f>$I$100&amp;"."&amp;$M$113&amp;"."&amp;$Q$117</f>
        <v>1.4.3</v>
      </c>
      <c r="AQ117" s="1150"/>
    </row>
    <row r="118" spans="1:43" ht="17.25" customHeight="1">
      <c r="A118" s="1701"/>
      <c r="B118" s="1862"/>
      <c r="C118" s="1706"/>
      <c r="D118" s="5290"/>
      <c r="E118" s="5291"/>
      <c r="F118" s="5263"/>
      <c r="G118" s="5293"/>
      <c r="H118" s="5290"/>
      <c r="I118" s="5290"/>
      <c r="J118" s="5301"/>
      <c r="K118" s="5293"/>
      <c r="L118" s="5290"/>
      <c r="M118" s="5290"/>
      <c r="N118" s="5305"/>
      <c r="O118" s="5297"/>
      <c r="P118" s="5226"/>
      <c r="Q118" s="5226"/>
      <c r="R118" s="5306"/>
      <c r="S118" s="5302"/>
      <c r="T118" s="1312"/>
      <c r="U118" s="1313"/>
      <c r="V118" s="1313"/>
      <c r="W118" s="5295"/>
      <c r="X118" s="1862"/>
      <c r="Y118" s="1143"/>
      <c r="Z118" s="1143"/>
      <c r="AA118" s="1143"/>
      <c r="AB118" s="1143"/>
      <c r="AC118" s="1143"/>
      <c r="AD118" s="1143"/>
      <c r="AE118" s="1143"/>
      <c r="AF118" s="1143"/>
      <c r="AG118" s="1143"/>
      <c r="AH118" s="1143"/>
      <c r="AI118" s="1143"/>
      <c r="AJ118" s="1143"/>
      <c r="AK118" s="1143"/>
      <c r="AL118" s="1862"/>
      <c r="AM118" s="1862"/>
      <c r="AN118" s="1862"/>
      <c r="AO118" s="1862"/>
      <c r="AP118" s="1862"/>
      <c r="AQ118" s="1862"/>
    </row>
    <row r="119" spans="1:43" ht="17.25" customHeight="1">
      <c r="A119" s="1701"/>
      <c r="B119" s="1862"/>
      <c r="C119" s="1703"/>
      <c r="D119" s="5290"/>
      <c r="E119" s="5291"/>
      <c r="F119" s="5263"/>
      <c r="G119" s="5293"/>
      <c r="H119" s="5290"/>
      <c r="I119" s="5290"/>
      <c r="J119" s="5301"/>
      <c r="K119" s="5293"/>
      <c r="L119" s="5290"/>
      <c r="M119" s="5290"/>
      <c r="N119" s="5305"/>
      <c r="O119" s="5297"/>
      <c r="P119" s="5226" t="s">
        <v>101</v>
      </c>
      <c r="Q119" s="5226" t="s">
        <v>88</v>
      </c>
      <c r="R119" s="5306" t="s">
        <v>296</v>
      </c>
      <c r="S119" s="5302" t="s">
        <v>54</v>
      </c>
      <c r="T119" s="1665"/>
      <c r="U119" s="1665" t="s">
        <v>129</v>
      </c>
      <c r="V119" s="1311"/>
      <c r="W119" s="5295"/>
      <c r="X119" s="1862"/>
      <c r="Y119" s="1150"/>
      <c r="Z119" s="1150"/>
      <c r="AA119" s="1150"/>
      <c r="AB119" s="1150"/>
      <c r="AC119" s="1863" t="s">
        <v>267</v>
      </c>
      <c r="AD119" s="1863" t="s">
        <v>268</v>
      </c>
      <c r="AE119" s="1863" t="s">
        <v>287</v>
      </c>
      <c r="AF119" s="1150" t="s">
        <v>297</v>
      </c>
      <c r="AG119" s="1150" t="s">
        <v>298</v>
      </c>
      <c r="AH119" s="1150" t="str">
        <f>IF($E$100=0,"",$E$100)</f>
        <v>Тариф на горячую воду (горячее водоснабжение)</v>
      </c>
      <c r="AI119" s="1150" t="str">
        <f>IF($G$100=0,"",$G$100)</f>
        <v>Горячее водоснабжение</v>
      </c>
      <c r="AJ119" s="1150" t="str">
        <f>IF($J$100=0,"",$J$100)</f>
        <v>Тариф на горячую воду в закрытых системах горячего водоснабжения</v>
      </c>
      <c r="AK119" s="1150" t="str">
        <f>IF($K$113="нет","без дифференциации",IF($N$113=0,"",$N$113))</f>
        <v>Сергиево-Посадский</v>
      </c>
      <c r="AL119" s="1705" t="str">
        <f>IF($O$119="нет","без дифференциации",IF($R$119=0,"",$R$119))</f>
        <v>г.Сергиев Посад, Академика Силина, 3</v>
      </c>
      <c r="AM119" s="1705"/>
      <c r="AN119" s="1150">
        <f>$I$100</f>
        <v>1</v>
      </c>
      <c r="AO119" s="1150" t="str">
        <f>$I$100&amp;"."&amp;$M$113</f>
        <v>1.4</v>
      </c>
      <c r="AP119" s="1150" t="str">
        <f>$I$100&amp;"."&amp;$M$113&amp;"."&amp;$Q$119</f>
        <v>1.4.4</v>
      </c>
      <c r="AQ119" s="1150"/>
    </row>
    <row r="120" spans="1:43" ht="17.25" customHeight="1">
      <c r="A120" s="1701"/>
      <c r="B120" s="1862"/>
      <c r="C120" s="1706"/>
      <c r="D120" s="5290"/>
      <c r="E120" s="5291"/>
      <c r="F120" s="5263"/>
      <c r="G120" s="5293"/>
      <c r="H120" s="5290"/>
      <c r="I120" s="5290"/>
      <c r="J120" s="5301"/>
      <c r="K120" s="5293"/>
      <c r="L120" s="5290"/>
      <c r="M120" s="5290"/>
      <c r="N120" s="5305"/>
      <c r="O120" s="5297"/>
      <c r="P120" s="5226"/>
      <c r="Q120" s="5226"/>
      <c r="R120" s="5306"/>
      <c r="S120" s="5302"/>
      <c r="T120" s="1312"/>
      <c r="U120" s="1313"/>
      <c r="V120" s="1313"/>
      <c r="W120" s="5295"/>
      <c r="X120" s="1862"/>
      <c r="Y120" s="1143"/>
      <c r="Z120" s="1143"/>
      <c r="AA120" s="1143"/>
      <c r="AB120" s="1143"/>
      <c r="AC120" s="1143"/>
      <c r="AD120" s="1143"/>
      <c r="AE120" s="1143"/>
      <c r="AF120" s="1143"/>
      <c r="AG120" s="1143"/>
      <c r="AH120" s="1143"/>
      <c r="AI120" s="1143"/>
      <c r="AJ120" s="1143"/>
      <c r="AK120" s="1143"/>
      <c r="AL120" s="1862"/>
      <c r="AM120" s="1862"/>
      <c r="AN120" s="1862"/>
      <c r="AO120" s="1862"/>
      <c r="AP120" s="1862"/>
      <c r="AQ120" s="1862"/>
    </row>
    <row r="121" spans="1:43" ht="17.25" customHeight="1">
      <c r="A121" s="1701"/>
      <c r="B121" s="1862"/>
      <c r="C121" s="1703"/>
      <c r="D121" s="5290"/>
      <c r="E121" s="5291"/>
      <c r="F121" s="5263"/>
      <c r="G121" s="5293"/>
      <c r="H121" s="5290"/>
      <c r="I121" s="5290"/>
      <c r="J121" s="5301"/>
      <c r="K121" s="5293"/>
      <c r="L121" s="5290"/>
      <c r="M121" s="5290"/>
      <c r="N121" s="5305"/>
      <c r="O121" s="5297"/>
      <c r="P121" s="5226" t="s">
        <v>101</v>
      </c>
      <c r="Q121" s="5226" t="s">
        <v>114</v>
      </c>
      <c r="R121" s="5306" t="s">
        <v>299</v>
      </c>
      <c r="S121" s="5302" t="s">
        <v>54</v>
      </c>
      <c r="T121" s="1665"/>
      <c r="U121" s="1665" t="s">
        <v>129</v>
      </c>
      <c r="V121" s="1311"/>
      <c r="W121" s="5295"/>
      <c r="X121" s="1862"/>
      <c r="Y121" s="1150"/>
      <c r="Z121" s="1150"/>
      <c r="AA121" s="1150"/>
      <c r="AB121" s="1150"/>
      <c r="AC121" s="1863" t="s">
        <v>267</v>
      </c>
      <c r="AD121" s="1863" t="s">
        <v>268</v>
      </c>
      <c r="AE121" s="1863" t="s">
        <v>287</v>
      </c>
      <c r="AF121" s="1150" t="s">
        <v>300</v>
      </c>
      <c r="AG121" s="1150" t="s">
        <v>301</v>
      </c>
      <c r="AH121" s="1150" t="str">
        <f>IF($E$100=0,"",$E$100)</f>
        <v>Тариф на горячую воду (горячее водоснабжение)</v>
      </c>
      <c r="AI121" s="1150" t="str">
        <f>IF($G$100=0,"",$G$100)</f>
        <v>Горячее водоснабжение</v>
      </c>
      <c r="AJ121" s="1150" t="str">
        <f>IF($J$100=0,"",$J$100)</f>
        <v>Тариф на горячую воду в закрытых системах горячего водоснабжения</v>
      </c>
      <c r="AK121" s="1150" t="str">
        <f>IF($K$113="нет","без дифференциации",IF($N$113=0,"",$N$113))</f>
        <v>Сергиево-Посадский</v>
      </c>
      <c r="AL121" s="1705" t="str">
        <f>IF($O$121="нет","без дифференциации",IF($R$121=0,"",$R$121))</f>
        <v>г.Сергиев Посад, Шеметово, Путитно, Сватки, лакокраска и др.</v>
      </c>
      <c r="AM121" s="1705"/>
      <c r="AN121" s="1150">
        <f>$I$100</f>
        <v>1</v>
      </c>
      <c r="AO121" s="1150" t="str">
        <f>$I$100&amp;"."&amp;$M$113</f>
        <v>1.4</v>
      </c>
      <c r="AP121" s="1150" t="str">
        <f>$I$100&amp;"."&amp;$M$113&amp;"."&amp;$Q$121</f>
        <v>1.4.5</v>
      </c>
      <c r="AQ121" s="1150"/>
    </row>
    <row r="122" spans="1:43" ht="17.25" customHeight="1">
      <c r="A122" s="1701"/>
      <c r="B122" s="1862"/>
      <c r="C122" s="1706"/>
      <c r="D122" s="5290"/>
      <c r="E122" s="5291"/>
      <c r="F122" s="5263"/>
      <c r="G122" s="5293"/>
      <c r="H122" s="5290"/>
      <c r="I122" s="5290"/>
      <c r="J122" s="5301"/>
      <c r="K122" s="5293"/>
      <c r="L122" s="5290"/>
      <c r="M122" s="5290"/>
      <c r="N122" s="5305"/>
      <c r="O122" s="5297"/>
      <c r="P122" s="5226"/>
      <c r="Q122" s="5226"/>
      <c r="R122" s="5306"/>
      <c r="S122" s="5302"/>
      <c r="T122" s="1312"/>
      <c r="U122" s="1313"/>
      <c r="V122" s="1313"/>
      <c r="W122" s="5295"/>
      <c r="X122" s="1862"/>
      <c r="Y122" s="1143"/>
      <c r="Z122" s="1143"/>
      <c r="AA122" s="1143"/>
      <c r="AB122" s="1143"/>
      <c r="AC122" s="1143"/>
      <c r="AD122" s="1143"/>
      <c r="AE122" s="1143"/>
      <c r="AF122" s="1143"/>
      <c r="AG122" s="1143"/>
      <c r="AH122" s="1143"/>
      <c r="AI122" s="1143"/>
      <c r="AJ122" s="1143"/>
      <c r="AK122" s="1143"/>
      <c r="AL122" s="1862"/>
      <c r="AM122" s="1862"/>
      <c r="AN122" s="1862"/>
      <c r="AO122" s="1862"/>
      <c r="AP122" s="1862"/>
      <c r="AQ122" s="1862"/>
    </row>
    <row r="123" spans="1:43" ht="17.25" customHeight="1">
      <c r="A123" s="1701"/>
      <c r="B123" s="1862"/>
      <c r="C123" s="1703"/>
      <c r="D123" s="5290"/>
      <c r="E123" s="5291"/>
      <c r="F123" s="5263"/>
      <c r="G123" s="5293"/>
      <c r="H123" s="5290"/>
      <c r="I123" s="5290"/>
      <c r="J123" s="5301"/>
      <c r="K123" s="5293"/>
      <c r="L123" s="5290"/>
      <c r="M123" s="5290"/>
      <c r="N123" s="5305"/>
      <c r="O123" s="5297"/>
      <c r="P123" s="5226" t="s">
        <v>101</v>
      </c>
      <c r="Q123" s="5226" t="s">
        <v>89</v>
      </c>
      <c r="R123" s="5306" t="s">
        <v>302</v>
      </c>
      <c r="S123" s="5302" t="s">
        <v>54</v>
      </c>
      <c r="T123" s="1665"/>
      <c r="U123" s="1665" t="s">
        <v>129</v>
      </c>
      <c r="V123" s="1311"/>
      <c r="W123" s="5295"/>
      <c r="X123" s="1862"/>
      <c r="Y123" s="1150"/>
      <c r="Z123" s="1150"/>
      <c r="AA123" s="1150"/>
      <c r="AB123" s="1150"/>
      <c r="AC123" s="1863" t="s">
        <v>267</v>
      </c>
      <c r="AD123" s="1863" t="s">
        <v>268</v>
      </c>
      <c r="AE123" s="1863" t="s">
        <v>287</v>
      </c>
      <c r="AF123" s="1150" t="s">
        <v>303</v>
      </c>
      <c r="AG123" s="1150" t="s">
        <v>304</v>
      </c>
      <c r="AH123" s="1150" t="str">
        <f>IF($E$100=0,"",$E$100)</f>
        <v>Тариф на горячую воду (горячее водоснабжение)</v>
      </c>
      <c r="AI123" s="1150" t="str">
        <f>IF($G$100=0,"",$G$100)</f>
        <v>Горячее водоснабжение</v>
      </c>
      <c r="AJ123" s="1150" t="str">
        <f>IF($J$100=0,"",$J$100)</f>
        <v>Тариф на горячую воду в закрытых системах горячего водоснабжения</v>
      </c>
      <c r="AK123" s="1150" t="str">
        <f>IF($K$113="нет","без дифференциации",IF($N$113=0,"",$N$113))</f>
        <v>Сергиево-Посадский</v>
      </c>
      <c r="AL123" s="1705" t="str">
        <f>IF($O$123="нет","без дифференциации",IF($R$123=0,"",$R$123))</f>
        <v>г.Сергиев Посад, мкр.Новый, Красной армии, 212 пос.НИИРП</v>
      </c>
      <c r="AM123" s="1705"/>
      <c r="AN123" s="1150">
        <f>$I$100</f>
        <v>1</v>
      </c>
      <c r="AO123" s="1150" t="str">
        <f>$I$100&amp;"."&amp;$M$113</f>
        <v>1.4</v>
      </c>
      <c r="AP123" s="1150" t="str">
        <f>$I$100&amp;"."&amp;$M$113&amp;"."&amp;$Q$123</f>
        <v>1.4.6</v>
      </c>
      <c r="AQ123" s="1150"/>
    </row>
    <row r="124" spans="1:43" ht="17.25" customHeight="1">
      <c r="A124" s="1701"/>
      <c r="B124" s="1862"/>
      <c r="C124" s="1706"/>
      <c r="D124" s="5290"/>
      <c r="E124" s="5291"/>
      <c r="F124" s="5263"/>
      <c r="G124" s="5293"/>
      <c r="H124" s="5290"/>
      <c r="I124" s="5290"/>
      <c r="J124" s="5301"/>
      <c r="K124" s="5293"/>
      <c r="L124" s="5290"/>
      <c r="M124" s="5290"/>
      <c r="N124" s="5305"/>
      <c r="O124" s="5297"/>
      <c r="P124" s="5226"/>
      <c r="Q124" s="5226"/>
      <c r="R124" s="5306"/>
      <c r="S124" s="5302"/>
      <c r="T124" s="1312"/>
      <c r="U124" s="1313"/>
      <c r="V124" s="1313"/>
      <c r="W124" s="5295"/>
      <c r="X124" s="1862"/>
      <c r="Y124" s="1143"/>
      <c r="Z124" s="1143"/>
      <c r="AA124" s="1143"/>
      <c r="AB124" s="1143"/>
      <c r="AC124" s="1143"/>
      <c r="AD124" s="1143"/>
      <c r="AE124" s="1143"/>
      <c r="AF124" s="1143"/>
      <c r="AG124" s="1143"/>
      <c r="AH124" s="1143"/>
      <c r="AI124" s="1143"/>
      <c r="AJ124" s="1143"/>
      <c r="AK124" s="1143"/>
      <c r="AL124" s="1862"/>
      <c r="AM124" s="1862"/>
      <c r="AN124" s="1862"/>
      <c r="AO124" s="1862"/>
      <c r="AP124" s="1862"/>
      <c r="AQ124" s="1862"/>
    </row>
    <row r="125" spans="1:43" ht="17.25" customHeight="1">
      <c r="A125" s="1701"/>
      <c r="B125" s="1862"/>
      <c r="C125" s="1703"/>
      <c r="D125" s="5290"/>
      <c r="E125" s="5291"/>
      <c r="F125" s="5263"/>
      <c r="G125" s="5293"/>
      <c r="H125" s="5290"/>
      <c r="I125" s="5290"/>
      <c r="J125" s="5301"/>
      <c r="K125" s="5293"/>
      <c r="L125" s="5290"/>
      <c r="M125" s="5290"/>
      <c r="N125" s="5305"/>
      <c r="O125" s="5297"/>
      <c r="P125" s="5226" t="s">
        <v>101</v>
      </c>
      <c r="Q125" s="5226" t="s">
        <v>90</v>
      </c>
      <c r="R125" s="5306" t="s">
        <v>305</v>
      </c>
      <c r="S125" s="5302" t="s">
        <v>54</v>
      </c>
      <c r="T125" s="1665"/>
      <c r="U125" s="1665" t="s">
        <v>129</v>
      </c>
      <c r="V125" s="1311"/>
      <c r="W125" s="5295"/>
      <c r="X125" s="1862"/>
      <c r="Y125" s="1150"/>
      <c r="Z125" s="1150"/>
      <c r="AA125" s="1150"/>
      <c r="AB125" s="1150"/>
      <c r="AC125" s="1863" t="s">
        <v>267</v>
      </c>
      <c r="AD125" s="1863" t="s">
        <v>268</v>
      </c>
      <c r="AE125" s="1863" t="s">
        <v>287</v>
      </c>
      <c r="AF125" s="1150" t="s">
        <v>306</v>
      </c>
      <c r="AG125" s="1150" t="s">
        <v>307</v>
      </c>
      <c r="AH125" s="1150" t="str">
        <f>IF($E$100=0,"",$E$100)</f>
        <v>Тариф на горячую воду (горячее водоснабжение)</v>
      </c>
      <c r="AI125" s="1150" t="str">
        <f>IF($G$100=0,"",$G$100)</f>
        <v>Горячее водоснабжение</v>
      </c>
      <c r="AJ125" s="1150" t="str">
        <f>IF($J$100=0,"",$J$100)</f>
        <v>Тариф на горячую воду в закрытых системах горячего водоснабжения</v>
      </c>
      <c r="AK125" s="1150" t="str">
        <f>IF($K$113="нет","без дифференциации",IF($N$113=0,"",$N$113))</f>
        <v>Сергиево-Посадский</v>
      </c>
      <c r="AL125" s="1705" t="str">
        <f>IF($O$125="нет","без дифференциации",IF($R$125=0,"",$R$125))</f>
        <v>г.Сергиев Посад, Загорские Дали</v>
      </c>
      <c r="AM125" s="1705"/>
      <c r="AN125" s="1150">
        <f>$I$100</f>
        <v>1</v>
      </c>
      <c r="AO125" s="1150" t="str">
        <f>$I$100&amp;"."&amp;$M$113</f>
        <v>1.4</v>
      </c>
      <c r="AP125" s="1150" t="str">
        <f>$I$100&amp;"."&amp;$M$113&amp;"."&amp;$Q$125</f>
        <v>1.4.7</v>
      </c>
      <c r="AQ125" s="1150"/>
    </row>
    <row r="126" spans="1:43" ht="17.25" customHeight="1">
      <c r="A126" s="1701"/>
      <c r="B126" s="1862"/>
      <c r="C126" s="1706"/>
      <c r="D126" s="5290"/>
      <c r="E126" s="5291"/>
      <c r="F126" s="5263"/>
      <c r="G126" s="5293"/>
      <c r="H126" s="5290"/>
      <c r="I126" s="5290"/>
      <c r="J126" s="5301"/>
      <c r="K126" s="5293"/>
      <c r="L126" s="5290"/>
      <c r="M126" s="5290"/>
      <c r="N126" s="5305"/>
      <c r="O126" s="5297"/>
      <c r="P126" s="5226"/>
      <c r="Q126" s="5226"/>
      <c r="R126" s="5306"/>
      <c r="S126" s="5302"/>
      <c r="T126" s="1312"/>
      <c r="U126" s="1313"/>
      <c r="V126" s="1313"/>
      <c r="W126" s="5295"/>
      <c r="X126" s="1862"/>
      <c r="Y126" s="1143"/>
      <c r="Z126" s="1143"/>
      <c r="AA126" s="1143"/>
      <c r="AB126" s="1143"/>
      <c r="AC126" s="1143"/>
      <c r="AD126" s="1143"/>
      <c r="AE126" s="1143"/>
      <c r="AF126" s="1143"/>
      <c r="AG126" s="1143"/>
      <c r="AH126" s="1143"/>
      <c r="AI126" s="1143"/>
      <c r="AJ126" s="1143"/>
      <c r="AK126" s="1143"/>
      <c r="AL126" s="1862"/>
      <c r="AM126" s="1862"/>
      <c r="AN126" s="1862"/>
      <c r="AO126" s="1862"/>
      <c r="AP126" s="1862"/>
      <c r="AQ126" s="1862"/>
    </row>
    <row r="127" spans="1:43" ht="17.25" customHeight="1">
      <c r="A127" s="1701"/>
      <c r="B127" s="3929"/>
      <c r="C127" s="1703"/>
      <c r="D127" s="5290"/>
      <c r="E127" s="5291"/>
      <c r="F127" s="5263"/>
      <c r="G127" s="5293"/>
      <c r="H127" s="5290"/>
      <c r="I127" s="5290"/>
      <c r="J127" s="5301"/>
      <c r="K127" s="5293"/>
      <c r="L127" s="5290"/>
      <c r="M127" s="5290"/>
      <c r="N127" s="5305"/>
      <c r="O127" s="5297"/>
      <c r="P127" s="5226" t="s">
        <v>101</v>
      </c>
      <c r="Q127" s="5226" t="s">
        <v>130</v>
      </c>
      <c r="R127" s="5306" t="s">
        <v>308</v>
      </c>
      <c r="S127" s="5302" t="s">
        <v>54</v>
      </c>
      <c r="T127" s="1665"/>
      <c r="U127" s="1665" t="s">
        <v>129</v>
      </c>
      <c r="V127" s="1311"/>
      <c r="W127" s="5295"/>
      <c r="X127" s="3929"/>
      <c r="Y127" s="1150"/>
      <c r="Z127" s="1150"/>
      <c r="AA127" s="1150"/>
      <c r="AB127" s="1150"/>
      <c r="AC127" s="3930" t="s">
        <v>267</v>
      </c>
      <c r="AD127" s="3930" t="s">
        <v>268</v>
      </c>
      <c r="AE127" s="3930" t="s">
        <v>287</v>
      </c>
      <c r="AF127" s="1150" t="s">
        <v>309</v>
      </c>
      <c r="AG127" s="1150" t="s">
        <v>310</v>
      </c>
      <c r="AH127" s="1150" t="str">
        <f>IF($E$100=0,"",$E$100)</f>
        <v>Тариф на горячую воду (горячее водоснабжение)</v>
      </c>
      <c r="AI127" s="1150" t="str">
        <f>IF($G$100=0,"",$G$100)</f>
        <v>Горячее водоснабжение</v>
      </c>
      <c r="AJ127" s="1150" t="str">
        <f>IF($J$100=0,"",$J$100)</f>
        <v>Тариф на горячую воду в закрытых системах горячего водоснабжения</v>
      </c>
      <c r="AK127" s="1150" t="str">
        <f>IF($K$113="нет","без дифференциации",IF($N$113=0,"",$N$113))</f>
        <v>Сергиево-Посадский</v>
      </c>
      <c r="AL127" s="1705" t="str">
        <f>IF($O$127="нет","без дифференциации",IF($R$127=0,"",$R$127))</f>
        <v>г.Сергиев Посад, кот.п.Скобяной пос. ул.Центральная, д.11</v>
      </c>
      <c r="AM127" s="1705"/>
      <c r="AN127" s="1150">
        <f>$I$100</f>
        <v>1</v>
      </c>
      <c r="AO127" s="1150" t="str">
        <f>$I$100&amp;"."&amp;$M$113</f>
        <v>1.4</v>
      </c>
      <c r="AP127" s="1150" t="str">
        <f>$I$100&amp;"."&amp;$M$113&amp;"."&amp;$Q$127</f>
        <v>1.4.8</v>
      </c>
      <c r="AQ127" s="1150"/>
    </row>
    <row r="128" spans="1:43" ht="17.25" customHeight="1">
      <c r="A128" s="1701"/>
      <c r="B128" s="3929"/>
      <c r="C128" s="1706"/>
      <c r="D128" s="5290"/>
      <c r="E128" s="5291"/>
      <c r="F128" s="5263"/>
      <c r="G128" s="5293"/>
      <c r="H128" s="5290"/>
      <c r="I128" s="5290"/>
      <c r="J128" s="5301"/>
      <c r="K128" s="5293"/>
      <c r="L128" s="5290"/>
      <c r="M128" s="5290"/>
      <c r="N128" s="5305"/>
      <c r="O128" s="5297"/>
      <c r="P128" s="5226"/>
      <c r="Q128" s="5226"/>
      <c r="R128" s="5306"/>
      <c r="S128" s="5302"/>
      <c r="T128" s="1312"/>
      <c r="U128" s="1313"/>
      <c r="V128" s="1313"/>
      <c r="W128" s="5295"/>
      <c r="X128" s="3929"/>
      <c r="Y128" s="1143"/>
      <c r="Z128" s="1143"/>
      <c r="AA128" s="1143"/>
      <c r="AB128" s="1143"/>
      <c r="AC128" s="1143"/>
      <c r="AD128" s="1143"/>
      <c r="AE128" s="1143"/>
      <c r="AF128" s="1143"/>
      <c r="AG128" s="1143"/>
      <c r="AH128" s="1143"/>
      <c r="AI128" s="1143"/>
      <c r="AJ128" s="1143"/>
      <c r="AK128" s="1143"/>
      <c r="AL128" s="3929"/>
      <c r="AM128" s="3929"/>
      <c r="AN128" s="3929"/>
      <c r="AO128" s="3929"/>
      <c r="AP128" s="3929"/>
      <c r="AQ128" s="3929"/>
    </row>
    <row r="129" spans="1:43" ht="17.25" customHeight="1">
      <c r="A129" s="1701"/>
      <c r="B129" s="1862"/>
      <c r="C129" s="1706"/>
      <c r="D129" s="5290"/>
      <c r="E129" s="5291"/>
      <c r="F129" s="5263"/>
      <c r="G129" s="5293"/>
      <c r="H129" s="5290"/>
      <c r="I129" s="5290"/>
      <c r="J129" s="5301"/>
      <c r="K129" s="5293"/>
      <c r="L129" s="5253"/>
      <c r="M129" s="5253"/>
      <c r="N129" s="5304"/>
      <c r="O129" s="5230"/>
      <c r="P129" s="235"/>
      <c r="Q129" s="236"/>
      <c r="R129" s="236" t="s">
        <v>271</v>
      </c>
      <c r="S129" s="1707"/>
      <c r="T129" s="1707"/>
      <c r="U129" s="1707"/>
      <c r="V129" s="1707"/>
      <c r="W129" s="1310"/>
      <c r="X129" s="1862"/>
      <c r="Y129" s="1143"/>
      <c r="Z129" s="1143"/>
      <c r="AA129" s="1143"/>
      <c r="AB129" s="1143"/>
      <c r="AC129" s="1143"/>
      <c r="AD129" s="1143"/>
      <c r="AE129" s="1143"/>
      <c r="AF129" s="1143"/>
      <c r="AG129" s="1143"/>
      <c r="AH129" s="1143"/>
      <c r="AI129" s="1143"/>
      <c r="AJ129" s="1143"/>
      <c r="AK129" s="1143"/>
      <c r="AL129" s="1862"/>
      <c r="AM129" s="1862"/>
      <c r="AN129" s="1862"/>
      <c r="AO129" s="1862"/>
      <c r="AP129" s="1862"/>
      <c r="AQ129" s="1862"/>
    </row>
    <row r="130" spans="1:43" ht="17.25" customHeight="1">
      <c r="A130" s="1701"/>
      <c r="B130" s="1862"/>
      <c r="C130" s="1703"/>
      <c r="D130" s="5290"/>
      <c r="E130" s="5291"/>
      <c r="F130" s="5263"/>
      <c r="G130" s="5293"/>
      <c r="H130" s="5290"/>
      <c r="I130" s="5290"/>
      <c r="J130" s="5301"/>
      <c r="K130" s="5293"/>
      <c r="L130" s="5226" t="s">
        <v>101</v>
      </c>
      <c r="M130" s="5226" t="s">
        <v>114</v>
      </c>
      <c r="N130" s="5303" t="str">
        <f>IF(Z130="","",INDEX(TERRITORY_MR_LIST,MATCH(Z130,TERRITORY_LIST_ID,0)))</f>
        <v>городской округ Серпухов</v>
      </c>
      <c r="O130" s="5296" t="s">
        <v>54</v>
      </c>
      <c r="P130" s="5226"/>
      <c r="Q130" s="5226" t="s">
        <v>129</v>
      </c>
      <c r="R130" s="5298" t="s">
        <v>24</v>
      </c>
      <c r="S130" s="5302" t="s">
        <v>54</v>
      </c>
      <c r="T130" s="1665"/>
      <c r="U130" s="1665" t="s">
        <v>129</v>
      </c>
      <c r="V130" s="1311"/>
      <c r="W130" s="5295"/>
      <c r="X130" s="1862"/>
      <c r="Y130" s="1150"/>
      <c r="Z130" s="1150" t="s">
        <v>115</v>
      </c>
      <c r="AA130" s="1150"/>
      <c r="AB130" s="1150"/>
      <c r="AC130" s="1863" t="s">
        <v>267</v>
      </c>
      <c r="AD130" s="1863" t="s">
        <v>268</v>
      </c>
      <c r="AE130" s="1150" t="s">
        <v>311</v>
      </c>
      <c r="AF130" s="1150" t="s">
        <v>312</v>
      </c>
      <c r="AG130" s="1150" t="s">
        <v>313</v>
      </c>
      <c r="AH130" s="1150" t="str">
        <f>IF($E$100=0,"",$E$100)</f>
        <v>Тариф на горячую воду (горячее водоснабжение)</v>
      </c>
      <c r="AI130" s="1150" t="str">
        <f>IF($G$100=0,"",$G$100)</f>
        <v>Горячее водоснабжение</v>
      </c>
      <c r="AJ130" s="1150" t="str">
        <f>IF($J$100=0,"",$J$100)</f>
        <v>Тариф на горячую воду в закрытых системах горячего водоснабжения</v>
      </c>
      <c r="AK130" s="1150" t="str">
        <f>IF($K$130="нет","без дифференциации",IF($N$130=0,"",$N$130))</f>
        <v>городской округ Серпухов</v>
      </c>
      <c r="AL130" s="1705" t="str">
        <f>IF($O$130="нет","без дифференциации",IF($R$130=0,"",$R$130))</f>
        <v>без дифференциации</v>
      </c>
      <c r="AM130" s="1705"/>
      <c r="AN130" s="1150">
        <f>$I$100</f>
        <v>1</v>
      </c>
      <c r="AO130" s="1150" t="str">
        <f>$I$100&amp;"."&amp;$M$130</f>
        <v>1.5</v>
      </c>
      <c r="AP130" s="1150" t="str">
        <f>$I$100&amp;"."&amp;$M$130&amp;"."&amp;$Q$130</f>
        <v>1.5.1</v>
      </c>
      <c r="AQ130" s="1150"/>
    </row>
    <row r="131" spans="1:43" ht="17.25" customHeight="1">
      <c r="A131" s="1701"/>
      <c r="B131" s="1862"/>
      <c r="C131" s="1706"/>
      <c r="D131" s="5290"/>
      <c r="E131" s="5291"/>
      <c r="F131" s="5263"/>
      <c r="G131" s="5293"/>
      <c r="H131" s="5290"/>
      <c r="I131" s="5290"/>
      <c r="J131" s="5301"/>
      <c r="K131" s="5293"/>
      <c r="L131" s="5226"/>
      <c r="M131" s="5226"/>
      <c r="N131" s="5303"/>
      <c r="O131" s="5297"/>
      <c r="P131" s="5226"/>
      <c r="Q131" s="5226"/>
      <c r="R131" s="5298" t="s">
        <v>24</v>
      </c>
      <c r="S131" s="5302"/>
      <c r="T131" s="1312"/>
      <c r="U131" s="1313"/>
      <c r="V131" s="1313"/>
      <c r="W131" s="5295"/>
      <c r="X131" s="1862"/>
      <c r="Y131" s="1143"/>
      <c r="Z131" s="1143"/>
      <c r="AA131" s="1143"/>
      <c r="AB131" s="1143"/>
      <c r="AC131" s="1143"/>
      <c r="AD131" s="1143"/>
      <c r="AE131" s="1143"/>
      <c r="AF131" s="1143"/>
      <c r="AG131" s="1143"/>
      <c r="AH131" s="1143"/>
      <c r="AI131" s="1143"/>
      <c r="AJ131" s="1143"/>
      <c r="AK131" s="1143"/>
      <c r="AL131" s="1862"/>
      <c r="AM131" s="1862"/>
      <c r="AN131" s="1862"/>
      <c r="AO131" s="1862"/>
      <c r="AP131" s="1862"/>
      <c r="AQ131" s="1862"/>
    </row>
    <row r="132" spans="1:43" ht="17.25" customHeight="1">
      <c r="A132" s="1701"/>
      <c r="B132" s="1862"/>
      <c r="C132" s="1706"/>
      <c r="D132" s="5290"/>
      <c r="E132" s="5291"/>
      <c r="F132" s="5263"/>
      <c r="G132" s="5293"/>
      <c r="H132" s="5290"/>
      <c r="I132" s="5290"/>
      <c r="J132" s="5301"/>
      <c r="K132" s="5293"/>
      <c r="L132" s="5253"/>
      <c r="M132" s="5253"/>
      <c r="N132" s="5304"/>
      <c r="O132" s="5230"/>
      <c r="P132" s="235"/>
      <c r="Q132" s="236"/>
      <c r="R132" s="236" t="s">
        <v>271</v>
      </c>
      <c r="S132" s="1707"/>
      <c r="T132" s="1707"/>
      <c r="U132" s="1707"/>
      <c r="V132" s="1707"/>
      <c r="W132" s="1310"/>
      <c r="X132" s="1862"/>
      <c r="Y132" s="1143"/>
      <c r="Z132" s="1143"/>
      <c r="AA132" s="1143"/>
      <c r="AB132" s="1143"/>
      <c r="AC132" s="1143"/>
      <c r="AD132" s="1143"/>
      <c r="AE132" s="1143"/>
      <c r="AF132" s="1143"/>
      <c r="AG132" s="1143"/>
      <c r="AH132" s="1143"/>
      <c r="AI132" s="1143"/>
      <c r="AJ132" s="1143"/>
      <c r="AK132" s="1143"/>
      <c r="AL132" s="1862"/>
      <c r="AM132" s="1862"/>
      <c r="AN132" s="1862"/>
      <c r="AO132" s="1862"/>
      <c r="AP132" s="1862"/>
      <c r="AQ132" s="1862"/>
    </row>
    <row r="133" spans="1:43" ht="17.25" customHeight="1">
      <c r="A133" s="1701"/>
      <c r="B133" s="1862"/>
      <c r="C133" s="1703"/>
      <c r="D133" s="5290"/>
      <c r="E133" s="5291"/>
      <c r="F133" s="5263"/>
      <c r="G133" s="5293"/>
      <c r="H133" s="5290"/>
      <c r="I133" s="5290"/>
      <c r="J133" s="5301"/>
      <c r="K133" s="5293"/>
      <c r="L133" s="5226" t="s">
        <v>101</v>
      </c>
      <c r="M133" s="5226" t="s">
        <v>89</v>
      </c>
      <c r="N133" s="5303" t="str">
        <f>IF(Z133="","",INDEX(TERRITORY_MR_LIST,MATCH(Z133,TERRITORY_LIST_ID,0)))</f>
        <v>Солнечногорск</v>
      </c>
      <c r="O133" s="5296" t="s">
        <v>64</v>
      </c>
      <c r="P133" s="5226"/>
      <c r="Q133" s="5226" t="s">
        <v>129</v>
      </c>
      <c r="R133" s="5306" t="s">
        <v>314</v>
      </c>
      <c r="S133" s="5302" t="s">
        <v>54</v>
      </c>
      <c r="T133" s="1665"/>
      <c r="U133" s="1665" t="s">
        <v>129</v>
      </c>
      <c r="V133" s="1311"/>
      <c r="W133" s="5295"/>
      <c r="X133" s="1862"/>
      <c r="Y133" s="1150"/>
      <c r="Z133" s="1150" t="s">
        <v>119</v>
      </c>
      <c r="AA133" s="1150"/>
      <c r="AB133" s="1150"/>
      <c r="AC133" s="1863" t="s">
        <v>267</v>
      </c>
      <c r="AD133" s="1863" t="s">
        <v>268</v>
      </c>
      <c r="AE133" s="1150" t="s">
        <v>315</v>
      </c>
      <c r="AF133" s="1150" t="s">
        <v>316</v>
      </c>
      <c r="AG133" s="1150" t="s">
        <v>317</v>
      </c>
      <c r="AH133" s="1150" t="str">
        <f>IF($E$100=0,"",$E$100)</f>
        <v>Тариф на горячую воду (горячее водоснабжение)</v>
      </c>
      <c r="AI133" s="1150" t="str">
        <f>IF($G$100=0,"",$G$100)</f>
        <v>Горячее водоснабжение</v>
      </c>
      <c r="AJ133" s="1150" t="str">
        <f>IF($J$100=0,"",$J$100)</f>
        <v>Тариф на горячую воду в закрытых системах горячего водоснабжения</v>
      </c>
      <c r="AK133" s="1150" t="str">
        <f>IF($K$133="нет","без дифференциации",IF($N$133=0,"",$N$133))</f>
        <v>Солнечногорск</v>
      </c>
      <c r="AL133" s="1705" t="str">
        <f>IF($O$133="нет","без дифференциации",IF($R$133=0,"",$R$133))</f>
        <v>г.Солнечногорск</v>
      </c>
      <c r="AM133" s="1705"/>
      <c r="AN133" s="1150">
        <f>$I$100</f>
        <v>1</v>
      </c>
      <c r="AO133" s="1150" t="str">
        <f>$I$100&amp;"."&amp;$M$133</f>
        <v>1.6</v>
      </c>
      <c r="AP133" s="1150" t="str">
        <f>$I$100&amp;"."&amp;$M$133&amp;"."&amp;$Q$133</f>
        <v>1.6.1</v>
      </c>
      <c r="AQ133" s="1150"/>
    </row>
    <row r="134" spans="1:43" ht="17.25" customHeight="1">
      <c r="A134" s="1701"/>
      <c r="B134" s="1862"/>
      <c r="C134" s="1706"/>
      <c r="D134" s="5290"/>
      <c r="E134" s="5291"/>
      <c r="F134" s="5263"/>
      <c r="G134" s="5293"/>
      <c r="H134" s="5290"/>
      <c r="I134" s="5290"/>
      <c r="J134" s="5301"/>
      <c r="K134" s="5293"/>
      <c r="L134" s="5226"/>
      <c r="M134" s="5226"/>
      <c r="N134" s="5303"/>
      <c r="O134" s="5297"/>
      <c r="P134" s="5226"/>
      <c r="Q134" s="5226"/>
      <c r="R134" s="5306"/>
      <c r="S134" s="5302"/>
      <c r="T134" s="1312"/>
      <c r="U134" s="1313"/>
      <c r="V134" s="1313"/>
      <c r="W134" s="5295"/>
      <c r="X134" s="1862"/>
      <c r="Y134" s="1143"/>
      <c r="Z134" s="1143"/>
      <c r="AA134" s="1143"/>
      <c r="AB134" s="1143"/>
      <c r="AC134" s="1143"/>
      <c r="AD134" s="1143"/>
      <c r="AE134" s="1143"/>
      <c r="AF134" s="1143"/>
      <c r="AG134" s="1143"/>
      <c r="AH134" s="1143"/>
      <c r="AI134" s="1143"/>
      <c r="AJ134" s="1143"/>
      <c r="AK134" s="1143"/>
      <c r="AL134" s="1862"/>
      <c r="AM134" s="1862"/>
      <c r="AN134" s="1862"/>
      <c r="AO134" s="1862"/>
      <c r="AP134" s="1862"/>
      <c r="AQ134" s="1862"/>
    </row>
    <row r="135" spans="1:43" ht="17.25" customHeight="1">
      <c r="A135" s="1701"/>
      <c r="B135" s="1862"/>
      <c r="C135" s="1703"/>
      <c r="D135" s="5290"/>
      <c r="E135" s="5291"/>
      <c r="F135" s="5263"/>
      <c r="G135" s="5293"/>
      <c r="H135" s="5290"/>
      <c r="I135" s="5290"/>
      <c r="J135" s="5301"/>
      <c r="K135" s="5293"/>
      <c r="L135" s="5290"/>
      <c r="M135" s="5290"/>
      <c r="N135" s="5305"/>
      <c r="O135" s="5297"/>
      <c r="P135" s="5226" t="s">
        <v>101</v>
      </c>
      <c r="Q135" s="5226" t="s">
        <v>100</v>
      </c>
      <c r="R135" s="5306" t="s">
        <v>318</v>
      </c>
      <c r="S135" s="5302" t="s">
        <v>54</v>
      </c>
      <c r="T135" s="1665"/>
      <c r="U135" s="1665" t="s">
        <v>129</v>
      </c>
      <c r="V135" s="1311"/>
      <c r="W135" s="5295"/>
      <c r="X135" s="1862"/>
      <c r="Y135" s="1150"/>
      <c r="Z135" s="1150"/>
      <c r="AA135" s="1150"/>
      <c r="AB135" s="1150"/>
      <c r="AC135" s="1863" t="s">
        <v>267</v>
      </c>
      <c r="AD135" s="1863" t="s">
        <v>268</v>
      </c>
      <c r="AE135" s="1863" t="s">
        <v>315</v>
      </c>
      <c r="AF135" s="1150" t="s">
        <v>319</v>
      </c>
      <c r="AG135" s="1150" t="s">
        <v>320</v>
      </c>
      <c r="AH135" s="1150" t="str">
        <f>IF($E$100=0,"",$E$100)</f>
        <v>Тариф на горячую воду (горячее водоснабжение)</v>
      </c>
      <c r="AI135" s="1150" t="str">
        <f>IF($G$100=0,"",$G$100)</f>
        <v>Горячее водоснабжение</v>
      </c>
      <c r="AJ135" s="1150" t="str">
        <f>IF($J$100=0,"",$J$100)</f>
        <v>Тариф на горячую воду в закрытых системах горячего водоснабжения</v>
      </c>
      <c r="AK135" s="1150" t="str">
        <f>IF($K$133="нет","без дифференциации",IF($N$133=0,"",$N$133))</f>
        <v>Солнечногорск</v>
      </c>
      <c r="AL135" s="1705" t="str">
        <f>IF($O$135="нет","без дифференциации",IF($R$135=0,"",$R$135))</f>
        <v>г.Солнечногорск, Ржавки</v>
      </c>
      <c r="AM135" s="1705"/>
      <c r="AN135" s="1150">
        <f>$I$100</f>
        <v>1</v>
      </c>
      <c r="AO135" s="1150" t="str">
        <f>$I$100&amp;"."&amp;$M$133</f>
        <v>1.6</v>
      </c>
      <c r="AP135" s="1150" t="str">
        <f>$I$100&amp;"."&amp;$M$133&amp;"."&amp;$Q$135</f>
        <v>1.6.2</v>
      </c>
      <c r="AQ135" s="1150"/>
    </row>
    <row r="136" spans="1:43" ht="17.25" customHeight="1">
      <c r="A136" s="1701"/>
      <c r="B136" s="1862"/>
      <c r="C136" s="1706"/>
      <c r="D136" s="5290"/>
      <c r="E136" s="5291"/>
      <c r="F136" s="5263"/>
      <c r="G136" s="5293"/>
      <c r="H136" s="5290"/>
      <c r="I136" s="5290"/>
      <c r="J136" s="5301"/>
      <c r="K136" s="5293"/>
      <c r="L136" s="5290"/>
      <c r="M136" s="5290"/>
      <c r="N136" s="5305"/>
      <c r="O136" s="5297"/>
      <c r="P136" s="5226"/>
      <c r="Q136" s="5226"/>
      <c r="R136" s="5306"/>
      <c r="S136" s="5302"/>
      <c r="T136" s="1312"/>
      <c r="U136" s="1313"/>
      <c r="V136" s="1313"/>
      <c r="W136" s="5295"/>
      <c r="X136" s="1862"/>
      <c r="Y136" s="1143"/>
      <c r="Z136" s="1143"/>
      <c r="AA136" s="1143"/>
      <c r="AB136" s="1143"/>
      <c r="AC136" s="1143"/>
      <c r="AD136" s="1143"/>
      <c r="AE136" s="1143"/>
      <c r="AF136" s="1143"/>
      <c r="AG136" s="1143"/>
      <c r="AH136" s="1143"/>
      <c r="AI136" s="1143"/>
      <c r="AJ136" s="1143"/>
      <c r="AK136" s="1143"/>
      <c r="AL136" s="1862"/>
      <c r="AM136" s="1862"/>
      <c r="AN136" s="1862"/>
      <c r="AO136" s="1862"/>
      <c r="AP136" s="1862"/>
      <c r="AQ136" s="1862"/>
    </row>
    <row r="137" spans="1:43" ht="17.25" customHeight="1">
      <c r="A137" s="1701"/>
      <c r="B137" s="1862"/>
      <c r="C137" s="1703"/>
      <c r="D137" s="5290"/>
      <c r="E137" s="5291"/>
      <c r="F137" s="5263"/>
      <c r="G137" s="5293"/>
      <c r="H137" s="5290"/>
      <c r="I137" s="5290"/>
      <c r="J137" s="5301"/>
      <c r="K137" s="5293"/>
      <c r="L137" s="5290"/>
      <c r="M137" s="5290"/>
      <c r="N137" s="5305"/>
      <c r="O137" s="5297"/>
      <c r="P137" s="5226" t="s">
        <v>101</v>
      </c>
      <c r="Q137" s="5226" t="s">
        <v>87</v>
      </c>
      <c r="R137" s="5306" t="s">
        <v>321</v>
      </c>
      <c r="S137" s="5302" t="s">
        <v>54</v>
      </c>
      <c r="T137" s="1665"/>
      <c r="U137" s="1665" t="s">
        <v>129</v>
      </c>
      <c r="V137" s="1311"/>
      <c r="W137" s="5295"/>
      <c r="X137" s="1862"/>
      <c r="Y137" s="1150"/>
      <c r="Z137" s="1150"/>
      <c r="AA137" s="1150"/>
      <c r="AB137" s="1150"/>
      <c r="AC137" s="1863" t="s">
        <v>267</v>
      </c>
      <c r="AD137" s="1863" t="s">
        <v>268</v>
      </c>
      <c r="AE137" s="1863" t="s">
        <v>315</v>
      </c>
      <c r="AF137" s="1150" t="s">
        <v>322</v>
      </c>
      <c r="AG137" s="1150" t="s">
        <v>323</v>
      </c>
      <c r="AH137" s="1150" t="str">
        <f>IF($E$100=0,"",$E$100)</f>
        <v>Тариф на горячую воду (горячее водоснабжение)</v>
      </c>
      <c r="AI137" s="1150" t="str">
        <f>IF($G$100=0,"",$G$100)</f>
        <v>Горячее водоснабжение</v>
      </c>
      <c r="AJ137" s="1150" t="str">
        <f>IF($J$100=0,"",$J$100)</f>
        <v>Тариф на горячую воду в закрытых системах горячего водоснабжения</v>
      </c>
      <c r="AK137" s="1150" t="str">
        <f>IF($K$133="нет","без дифференциации",IF($N$133=0,"",$N$133))</f>
        <v>Солнечногорск</v>
      </c>
      <c r="AL137" s="1705" t="str">
        <f>IF($O$137="нет","без дифференциации",IF($R$137=0,"",$R$137))</f>
        <v>г.Солнечногорск, ул.Ленина, 7</v>
      </c>
      <c r="AM137" s="1705"/>
      <c r="AN137" s="1150">
        <f>$I$100</f>
        <v>1</v>
      </c>
      <c r="AO137" s="1150" t="str">
        <f>$I$100&amp;"."&amp;$M$133</f>
        <v>1.6</v>
      </c>
      <c r="AP137" s="1150" t="str">
        <f>$I$100&amp;"."&amp;$M$133&amp;"."&amp;$Q$137</f>
        <v>1.6.3</v>
      </c>
      <c r="AQ137" s="1150"/>
    </row>
    <row r="138" spans="1:43" ht="17.25" customHeight="1">
      <c r="A138" s="1701"/>
      <c r="B138" s="1862"/>
      <c r="C138" s="1706"/>
      <c r="D138" s="5290"/>
      <c r="E138" s="5291"/>
      <c r="F138" s="5263"/>
      <c r="G138" s="5293"/>
      <c r="H138" s="5290"/>
      <c r="I138" s="5290"/>
      <c r="J138" s="5301"/>
      <c r="K138" s="5293"/>
      <c r="L138" s="5290"/>
      <c r="M138" s="5290"/>
      <c r="N138" s="5305"/>
      <c r="O138" s="5297"/>
      <c r="P138" s="5226"/>
      <c r="Q138" s="5226"/>
      <c r="R138" s="5306"/>
      <c r="S138" s="5302"/>
      <c r="T138" s="1312"/>
      <c r="U138" s="1313"/>
      <c r="V138" s="1313"/>
      <c r="W138" s="5295"/>
      <c r="X138" s="1862"/>
      <c r="Y138" s="1143"/>
      <c r="Z138" s="1143"/>
      <c r="AA138" s="1143"/>
      <c r="AB138" s="1143"/>
      <c r="AC138" s="1143"/>
      <c r="AD138" s="1143"/>
      <c r="AE138" s="1143"/>
      <c r="AF138" s="1143"/>
      <c r="AG138" s="1143"/>
      <c r="AH138" s="1143"/>
      <c r="AI138" s="1143"/>
      <c r="AJ138" s="1143"/>
      <c r="AK138" s="1143"/>
      <c r="AL138" s="1862"/>
      <c r="AM138" s="1862"/>
      <c r="AN138" s="1862"/>
      <c r="AO138" s="1862"/>
      <c r="AP138" s="1862"/>
      <c r="AQ138" s="1862"/>
    </row>
    <row r="139" spans="1:43" ht="17.25" customHeight="1">
      <c r="A139" s="1701"/>
      <c r="B139" s="1862"/>
      <c r="C139" s="1703"/>
      <c r="D139" s="5290"/>
      <c r="E139" s="5291"/>
      <c r="F139" s="5263"/>
      <c r="G139" s="5293"/>
      <c r="H139" s="5290"/>
      <c r="I139" s="5290"/>
      <c r="J139" s="5301"/>
      <c r="K139" s="5293"/>
      <c r="L139" s="5290"/>
      <c r="M139" s="5290"/>
      <c r="N139" s="5305"/>
      <c r="O139" s="5297"/>
      <c r="P139" s="5226" t="s">
        <v>101</v>
      </c>
      <c r="Q139" s="5226" t="s">
        <v>88</v>
      </c>
      <c r="R139" s="5306" t="s">
        <v>324</v>
      </c>
      <c r="S139" s="5302" t="s">
        <v>54</v>
      </c>
      <c r="T139" s="1665"/>
      <c r="U139" s="1665" t="s">
        <v>129</v>
      </c>
      <c r="V139" s="1311"/>
      <c r="W139" s="5295"/>
      <c r="X139" s="1862"/>
      <c r="Y139" s="1150"/>
      <c r="Z139" s="1150"/>
      <c r="AA139" s="1150"/>
      <c r="AB139" s="1150"/>
      <c r="AC139" s="1863" t="s">
        <v>267</v>
      </c>
      <c r="AD139" s="1863" t="s">
        <v>268</v>
      </c>
      <c r="AE139" s="1863" t="s">
        <v>315</v>
      </c>
      <c r="AF139" s="1150" t="s">
        <v>325</v>
      </c>
      <c r="AG139" s="1150" t="s">
        <v>326</v>
      </c>
      <c r="AH139" s="1150" t="str">
        <f>IF($E$100=0,"",$E$100)</f>
        <v>Тариф на горячую воду (горячее водоснабжение)</v>
      </c>
      <c r="AI139" s="1150" t="str">
        <f>IF($G$100=0,"",$G$100)</f>
        <v>Горячее водоснабжение</v>
      </c>
      <c r="AJ139" s="1150" t="str">
        <f>IF($J$100=0,"",$J$100)</f>
        <v>Тариф на горячую воду в закрытых системах горячего водоснабжения</v>
      </c>
      <c r="AK139" s="1150" t="str">
        <f>IF($K$133="нет","без дифференциации",IF($N$133=0,"",$N$133))</f>
        <v>Солнечногорск</v>
      </c>
      <c r="AL139" s="1705" t="str">
        <f>IF($O$139="нет","без дифференциации",IF($R$139=0,"",$R$139))</f>
        <v>г.Солнечногорск, д.Жилино, ст.Жилино</v>
      </c>
      <c r="AM139" s="1705"/>
      <c r="AN139" s="1150">
        <f>$I$100</f>
        <v>1</v>
      </c>
      <c r="AO139" s="1150" t="str">
        <f>$I$100&amp;"."&amp;$M$133</f>
        <v>1.6</v>
      </c>
      <c r="AP139" s="1150" t="str">
        <f>$I$100&amp;"."&amp;$M$133&amp;"."&amp;$Q$139</f>
        <v>1.6.4</v>
      </c>
      <c r="AQ139" s="1150"/>
    </row>
    <row r="140" spans="1:43" ht="17.25" customHeight="1">
      <c r="A140" s="1701"/>
      <c r="B140" s="1862"/>
      <c r="C140" s="1706"/>
      <c r="D140" s="5290"/>
      <c r="E140" s="5291"/>
      <c r="F140" s="5263"/>
      <c r="G140" s="5293"/>
      <c r="H140" s="5290"/>
      <c r="I140" s="5290"/>
      <c r="J140" s="5301"/>
      <c r="K140" s="5293"/>
      <c r="L140" s="5290"/>
      <c r="M140" s="5290"/>
      <c r="N140" s="5305"/>
      <c r="O140" s="5297"/>
      <c r="P140" s="5226"/>
      <c r="Q140" s="5226"/>
      <c r="R140" s="5306"/>
      <c r="S140" s="5302"/>
      <c r="T140" s="1312"/>
      <c r="U140" s="1313"/>
      <c r="V140" s="1313"/>
      <c r="W140" s="5295"/>
      <c r="X140" s="1862"/>
      <c r="Y140" s="1143"/>
      <c r="Z140" s="1143"/>
      <c r="AA140" s="1143"/>
      <c r="AB140" s="1143"/>
      <c r="AC140" s="1143"/>
      <c r="AD140" s="1143"/>
      <c r="AE140" s="1143"/>
      <c r="AF140" s="1143"/>
      <c r="AG140" s="1143"/>
      <c r="AH140" s="1143"/>
      <c r="AI140" s="1143"/>
      <c r="AJ140" s="1143"/>
      <c r="AK140" s="1143"/>
      <c r="AL140" s="1862"/>
      <c r="AM140" s="1862"/>
      <c r="AN140" s="1862"/>
      <c r="AO140" s="1862"/>
      <c r="AP140" s="1862"/>
      <c r="AQ140" s="1862"/>
    </row>
    <row r="141" spans="1:43" ht="17.25" customHeight="1">
      <c r="A141" s="1701"/>
      <c r="B141" s="1862"/>
      <c r="C141" s="1703"/>
      <c r="D141" s="5290"/>
      <c r="E141" s="5291"/>
      <c r="F141" s="5263"/>
      <c r="G141" s="5293"/>
      <c r="H141" s="5290"/>
      <c r="I141" s="5290"/>
      <c r="J141" s="5301"/>
      <c r="K141" s="5293"/>
      <c r="L141" s="5290"/>
      <c r="M141" s="5290"/>
      <c r="N141" s="5305"/>
      <c r="O141" s="5297"/>
      <c r="P141" s="5226" t="s">
        <v>101</v>
      </c>
      <c r="Q141" s="5226" t="s">
        <v>114</v>
      </c>
      <c r="R141" s="5306" t="s">
        <v>327</v>
      </c>
      <c r="S141" s="5302" t="s">
        <v>54</v>
      </c>
      <c r="T141" s="1665"/>
      <c r="U141" s="1665" t="s">
        <v>129</v>
      </c>
      <c r="V141" s="1311"/>
      <c r="W141" s="5295"/>
      <c r="X141" s="1862"/>
      <c r="Y141" s="1150"/>
      <c r="Z141" s="1150"/>
      <c r="AA141" s="1150"/>
      <c r="AB141" s="1150"/>
      <c r="AC141" s="1863" t="s">
        <v>267</v>
      </c>
      <c r="AD141" s="1863" t="s">
        <v>268</v>
      </c>
      <c r="AE141" s="1863" t="s">
        <v>315</v>
      </c>
      <c r="AF141" s="1150" t="s">
        <v>328</v>
      </c>
      <c r="AG141" s="1150" t="s">
        <v>329</v>
      </c>
      <c r="AH141" s="1150" t="str">
        <f>IF($E$100=0,"",$E$100)</f>
        <v>Тариф на горячую воду (горячее водоснабжение)</v>
      </c>
      <c r="AI141" s="1150" t="str">
        <f>IF($G$100=0,"",$G$100)</f>
        <v>Горячее водоснабжение</v>
      </c>
      <c r="AJ141" s="1150" t="str">
        <f>IF($J$100=0,"",$J$100)</f>
        <v>Тариф на горячую воду в закрытых системах горячего водоснабжения</v>
      </c>
      <c r="AK141" s="1150" t="str">
        <f>IF($K$133="нет","без дифференциации",IF($N$133=0,"",$N$133))</f>
        <v>Солнечногорск</v>
      </c>
      <c r="AL141" s="1705" t="str">
        <f>IF($O$141="нет","без дифференциации",IF($R$141=0,"",$R$141))</f>
        <v>г.Солнечнгорск, Алабушево,Андреевка</v>
      </c>
      <c r="AM141" s="1705"/>
      <c r="AN141" s="1150">
        <f>$I$100</f>
        <v>1</v>
      </c>
      <c r="AO141" s="1150" t="str">
        <f>$I$100&amp;"."&amp;$M$133</f>
        <v>1.6</v>
      </c>
      <c r="AP141" s="1150" t="str">
        <f>$I$100&amp;"."&amp;$M$133&amp;"."&amp;$Q$141</f>
        <v>1.6.5</v>
      </c>
      <c r="AQ141" s="1150"/>
    </row>
    <row r="142" spans="1:43" ht="17.25" customHeight="1">
      <c r="A142" s="1701"/>
      <c r="B142" s="1862"/>
      <c r="C142" s="1706"/>
      <c r="D142" s="5290"/>
      <c r="E142" s="5291"/>
      <c r="F142" s="5263"/>
      <c r="G142" s="5293"/>
      <c r="H142" s="5290"/>
      <c r="I142" s="5290"/>
      <c r="J142" s="5301"/>
      <c r="K142" s="5293"/>
      <c r="L142" s="5290"/>
      <c r="M142" s="5290"/>
      <c r="N142" s="5305"/>
      <c r="O142" s="5297"/>
      <c r="P142" s="5226"/>
      <c r="Q142" s="5226"/>
      <c r="R142" s="5306"/>
      <c r="S142" s="5302"/>
      <c r="T142" s="1312"/>
      <c r="U142" s="1313"/>
      <c r="V142" s="1313"/>
      <c r="W142" s="5295"/>
      <c r="X142" s="1862"/>
      <c r="Y142" s="1143"/>
      <c r="Z142" s="1143"/>
      <c r="AA142" s="1143"/>
      <c r="AB142" s="1143"/>
      <c r="AC142" s="1143"/>
      <c r="AD142" s="1143"/>
      <c r="AE142" s="1143"/>
      <c r="AF142" s="1143"/>
      <c r="AG142" s="1143"/>
      <c r="AH142" s="1143"/>
      <c r="AI142" s="1143"/>
      <c r="AJ142" s="1143"/>
      <c r="AK142" s="1143"/>
      <c r="AL142" s="1862"/>
      <c r="AM142" s="1862"/>
      <c r="AN142" s="1862"/>
      <c r="AO142" s="1862"/>
      <c r="AP142" s="1862"/>
      <c r="AQ142" s="1862"/>
    </row>
    <row r="143" spans="1:43" ht="17.25" customHeight="1">
      <c r="A143" s="1701"/>
      <c r="B143" s="1862"/>
      <c r="C143" s="1706"/>
      <c r="D143" s="5290"/>
      <c r="E143" s="5291"/>
      <c r="F143" s="5263"/>
      <c r="G143" s="5293"/>
      <c r="H143" s="5290"/>
      <c r="I143" s="5290"/>
      <c r="J143" s="5301"/>
      <c r="K143" s="5293"/>
      <c r="L143" s="5253"/>
      <c r="M143" s="5253"/>
      <c r="N143" s="5304"/>
      <c r="O143" s="5230"/>
      <c r="P143" s="235"/>
      <c r="Q143" s="236"/>
      <c r="R143" s="236" t="s">
        <v>271</v>
      </c>
      <c r="S143" s="1707"/>
      <c r="T143" s="1707"/>
      <c r="U143" s="1707"/>
      <c r="V143" s="1707"/>
      <c r="W143" s="1310"/>
      <c r="X143" s="1862"/>
      <c r="Y143" s="1143"/>
      <c r="Z143" s="1143"/>
      <c r="AA143" s="1143"/>
      <c r="AB143" s="1143"/>
      <c r="AC143" s="1143"/>
      <c r="AD143" s="1143"/>
      <c r="AE143" s="1143"/>
      <c r="AF143" s="1143"/>
      <c r="AG143" s="1143"/>
      <c r="AH143" s="1143"/>
      <c r="AI143" s="1143"/>
      <c r="AJ143" s="1143"/>
      <c r="AK143" s="1143"/>
      <c r="AL143" s="1862"/>
      <c r="AM143" s="1862"/>
      <c r="AN143" s="1862"/>
      <c r="AO143" s="1862"/>
      <c r="AP143" s="1862"/>
      <c r="AQ143" s="1862"/>
    </row>
    <row r="144" spans="1:43" s="4819" customFormat="1" ht="17.25" customHeight="1">
      <c r="A144" s="239"/>
      <c r="C144" s="238"/>
      <c r="D144" s="5252"/>
      <c r="E144" s="5260"/>
      <c r="F144" s="5263"/>
      <c r="G144" s="5292"/>
      <c r="H144" s="5253"/>
      <c r="I144" s="5253"/>
      <c r="J144" s="5300"/>
      <c r="K144" s="5230"/>
      <c r="L144" s="1864"/>
      <c r="M144" s="1865"/>
      <c r="N144" s="1866" t="s">
        <v>330</v>
      </c>
      <c r="O144" s="1867"/>
      <c r="P144" s="1868"/>
      <c r="Q144" s="1869"/>
      <c r="R144" s="1870"/>
      <c r="S144" s="1871"/>
      <c r="T144" s="1872"/>
      <c r="U144" s="1873"/>
      <c r="V144" s="1874"/>
      <c r="W144" s="1875"/>
      <c r="Y144" s="1143"/>
      <c r="Z144" s="1143"/>
      <c r="AA144" s="1143"/>
      <c r="AB144" s="1143"/>
      <c r="AC144" s="1143"/>
      <c r="AD144" s="1143"/>
      <c r="AE144" s="1143"/>
      <c r="AF144" s="1143"/>
      <c r="AG144" s="1143"/>
      <c r="AH144" s="1143"/>
      <c r="AI144" s="1143"/>
      <c r="AJ144" s="1143"/>
      <c r="AK144" s="1143"/>
      <c r="AL144" s="1143"/>
      <c r="AM144" s="1143"/>
      <c r="AN144" s="1143"/>
      <c r="AO144" s="1143"/>
      <c r="AP144" s="1143"/>
      <c r="AQ144" s="1143"/>
    </row>
    <row r="145" spans="1:43" s="4819" customFormat="1" ht="17.25" customHeight="1">
      <c r="A145" s="239"/>
      <c r="C145" s="238"/>
      <c r="D145" s="5253"/>
      <c r="E145" s="5261"/>
      <c r="F145" s="5264"/>
      <c r="G145" s="5294"/>
      <c r="H145" s="1876"/>
      <c r="I145" s="1877"/>
      <c r="J145" s="1878" t="s">
        <v>331</v>
      </c>
      <c r="K145" s="1879"/>
      <c r="L145" s="1880"/>
      <c r="M145" s="1881"/>
      <c r="N145" s="1882"/>
      <c r="O145" s="1883"/>
      <c r="P145" s="1884"/>
      <c r="Q145" s="1885"/>
      <c r="R145" s="1886"/>
      <c r="S145" s="1887"/>
      <c r="T145" s="1888"/>
      <c r="U145" s="1889"/>
      <c r="V145" s="1890"/>
      <c r="W145" s="1891"/>
      <c r="Y145" s="1143"/>
      <c r="Z145" s="1143"/>
      <c r="AA145" s="1143"/>
      <c r="AB145" s="1143"/>
      <c r="AC145" s="1143"/>
      <c r="AD145" s="1143"/>
      <c r="AE145" s="1143"/>
      <c r="AF145" s="1143"/>
      <c r="AG145" s="1143"/>
      <c r="AH145" s="1143"/>
      <c r="AI145" s="1143"/>
      <c r="AJ145" s="1143"/>
      <c r="AK145" s="1143"/>
      <c r="AL145" s="1143"/>
      <c r="AM145" s="1143"/>
      <c r="AN145" s="1143"/>
      <c r="AO145" s="1143"/>
      <c r="AP145" s="1143"/>
      <c r="AQ145" s="1143"/>
    </row>
    <row r="146" spans="1:43" s="4819" customFormat="1" ht="17.25" customHeight="1">
      <c r="A146" s="239"/>
      <c r="C146" s="131"/>
      <c r="D146" s="5252">
        <v>2</v>
      </c>
      <c r="E146" s="5260" t="s">
        <v>332</v>
      </c>
      <c r="F146" s="5262" t="s">
        <v>54</v>
      </c>
      <c r="G146" s="5260"/>
      <c r="H146" s="5265"/>
      <c r="I146" s="5267"/>
      <c r="J146" s="5269"/>
      <c r="K146" s="5254"/>
      <c r="L146" s="5254"/>
      <c r="M146" s="5254"/>
      <c r="N146" s="5256"/>
      <c r="O146" s="5254"/>
      <c r="P146" s="5254"/>
      <c r="Q146" s="5254"/>
      <c r="R146" s="5259"/>
      <c r="S146" s="5254"/>
      <c r="T146" s="1343"/>
      <c r="U146" s="1343"/>
      <c r="V146" s="1345"/>
      <c r="W146" s="1177"/>
      <c r="X146" s="1150"/>
      <c r="Y146" s="1150"/>
      <c r="Z146" s="1150"/>
      <c r="AA146" s="1150"/>
      <c r="AB146" s="1150"/>
      <c r="AC146" s="1150" t="s">
        <v>333</v>
      </c>
      <c r="AD146" s="1150" t="s">
        <v>334</v>
      </c>
      <c r="AE146" s="1150" t="s">
        <v>335</v>
      </c>
      <c r="AF146" s="1150" t="s">
        <v>336</v>
      </c>
      <c r="AG146" s="1150"/>
      <c r="AH146" s="1150" t="str">
        <f>IF($E$146=0,"",$E$146)</f>
        <v>Тариф на транспортировку горячей воды</v>
      </c>
      <c r="AI146" s="1150" t="str">
        <f>IF($G$146=0,"",$G$146)</f>
        <v/>
      </c>
      <c r="AJ146" s="1150" t="str">
        <f>IF($J$146=0,"",$J$146)</f>
        <v/>
      </c>
      <c r="AK146" s="1150" t="str">
        <f>IF($K$146="нет","без дифференциации",IF($N$146=0,"",$N$146))</f>
        <v/>
      </c>
      <c r="AL146" s="1150" t="str">
        <f>IF($O$146="нет","без дифференциации",IF($R$146=0,"",$R$146))</f>
        <v/>
      </c>
      <c r="AM146" s="1150" t="str">
        <f>IF($S$146="нет","без дифференциации",IF($V$146=0,"",$V$146))</f>
        <v/>
      </c>
      <c r="AN146" s="1635">
        <f>$I$146</f>
        <v>0</v>
      </c>
      <c r="AO146" s="1150" t="str">
        <f>$I$146&amp;"."&amp;$M$146</f>
        <v>.</v>
      </c>
      <c r="AP146" s="1143" t="str">
        <f>$I$146&amp;"."&amp;$M$146&amp;"."&amp;$Q$146</f>
        <v>..</v>
      </c>
      <c r="AQ146" s="1143" t="str">
        <f>$I$146&amp;"."&amp;$M$146&amp;"."&amp;$Q$146&amp;"."&amp;$U$146</f>
        <v>...</v>
      </c>
    </row>
    <row r="147" spans="1:43" s="4819" customFormat="1" ht="17.25" customHeight="1">
      <c r="A147" s="239"/>
      <c r="C147" s="238"/>
      <c r="D147" s="5252"/>
      <c r="E147" s="5260"/>
      <c r="F147" s="5263"/>
      <c r="G147" s="5260"/>
      <c r="H147" s="5266"/>
      <c r="I147" s="5268"/>
      <c r="J147" s="5270"/>
      <c r="K147" s="5255"/>
      <c r="L147" s="5255"/>
      <c r="M147" s="5255"/>
      <c r="N147" s="5257"/>
      <c r="O147" s="5255"/>
      <c r="P147" s="5255"/>
      <c r="Q147" s="5255"/>
      <c r="R147" s="5258"/>
      <c r="S147" s="5255"/>
      <c r="T147" s="1178"/>
      <c r="U147" s="1178"/>
      <c r="V147" s="1178"/>
      <c r="W147" s="1179"/>
      <c r="X147" s="1143"/>
      <c r="Y147" s="1143"/>
      <c r="Z147" s="1143"/>
      <c r="AA147" s="1143"/>
      <c r="AB147" s="1143"/>
      <c r="AC147" s="1143"/>
      <c r="AD147" s="1143"/>
      <c r="AE147" s="1143"/>
      <c r="AF147" s="1143"/>
      <c r="AG147" s="1143"/>
      <c r="AH147" s="1143"/>
      <c r="AI147" s="1143"/>
      <c r="AJ147" s="1143"/>
      <c r="AK147" s="1143"/>
      <c r="AL147" s="1143"/>
      <c r="AM147" s="1143"/>
      <c r="AN147" s="1143"/>
      <c r="AO147" s="1143"/>
      <c r="AP147" s="1143"/>
      <c r="AQ147" s="1143"/>
    </row>
    <row r="148" spans="1:43" s="4819" customFormat="1" ht="17.25" customHeight="1">
      <c r="A148" s="239"/>
      <c r="C148" s="238"/>
      <c r="D148" s="5253"/>
      <c r="E148" s="5261"/>
      <c r="F148" s="5263"/>
      <c r="G148" s="5261"/>
      <c r="H148" s="5266"/>
      <c r="I148" s="5268"/>
      <c r="J148" s="5271"/>
      <c r="K148" s="5255"/>
      <c r="L148" s="5255"/>
      <c r="M148" s="5255"/>
      <c r="N148" s="5258"/>
      <c r="O148" s="5255"/>
      <c r="P148" s="1344"/>
      <c r="Q148" s="1178"/>
      <c r="R148" s="1178"/>
      <c r="S148" s="247"/>
      <c r="T148" s="247"/>
      <c r="U148" s="247"/>
      <c r="V148" s="247"/>
      <c r="W148" s="1179"/>
      <c r="X148" s="1143"/>
      <c r="Y148" s="1143"/>
      <c r="Z148" s="1143"/>
      <c r="AA148" s="1143"/>
      <c r="AB148" s="1143"/>
      <c r="AC148" s="1143"/>
      <c r="AD148" s="1143"/>
      <c r="AE148" s="1143"/>
      <c r="AF148" s="1143"/>
      <c r="AG148" s="1143"/>
      <c r="AH148" s="1143"/>
      <c r="AI148" s="1143"/>
      <c r="AJ148" s="1143"/>
      <c r="AK148" s="1143"/>
      <c r="AL148" s="1143"/>
      <c r="AM148" s="1143"/>
      <c r="AN148" s="1143"/>
      <c r="AO148" s="1143"/>
      <c r="AP148" s="1143"/>
      <c r="AQ148" s="1143"/>
    </row>
    <row r="149" spans="1:43" s="4819" customFormat="1" ht="17.25" customHeight="1">
      <c r="A149" s="239"/>
      <c r="C149" s="238"/>
      <c r="D149" s="5253"/>
      <c r="E149" s="5261"/>
      <c r="F149" s="5263"/>
      <c r="G149" s="5261"/>
      <c r="H149" s="5266"/>
      <c r="I149" s="5268"/>
      <c r="J149" s="5271"/>
      <c r="K149" s="5255"/>
      <c r="L149" s="1178"/>
      <c r="M149" s="1178"/>
      <c r="N149" s="1178"/>
      <c r="O149" s="1178"/>
      <c r="P149" s="1178"/>
      <c r="Q149" s="1178"/>
      <c r="R149" s="1178"/>
      <c r="S149" s="247"/>
      <c r="T149" s="247"/>
      <c r="U149" s="247"/>
      <c r="V149" s="247"/>
      <c r="W149" s="1179"/>
      <c r="X149" s="1143"/>
      <c r="Y149" s="1143"/>
      <c r="Z149" s="1143"/>
      <c r="AA149" s="1143"/>
      <c r="AB149" s="1143"/>
      <c r="AC149" s="1143"/>
      <c r="AD149" s="1143"/>
      <c r="AE149" s="1143"/>
      <c r="AF149" s="1143"/>
      <c r="AG149" s="1143"/>
      <c r="AH149" s="1143"/>
      <c r="AI149" s="1143"/>
      <c r="AJ149" s="1143"/>
      <c r="AK149" s="1143"/>
      <c r="AL149" s="1143"/>
      <c r="AM149" s="1143"/>
      <c r="AN149" s="1143"/>
      <c r="AO149" s="1143"/>
      <c r="AP149" s="1143"/>
      <c r="AQ149" s="1143"/>
    </row>
    <row r="150" spans="1:43" s="4819" customFormat="1" ht="17.25" customHeight="1">
      <c r="A150" s="239"/>
      <c r="C150" s="238"/>
      <c r="D150" s="5253"/>
      <c r="E150" s="5261"/>
      <c r="F150" s="5264"/>
      <c r="G150" s="5261"/>
      <c r="H150" s="1180"/>
      <c r="I150" s="1181"/>
      <c r="J150" s="1181"/>
      <c r="K150" s="1181"/>
      <c r="L150" s="1181"/>
      <c r="M150" s="1181"/>
      <c r="N150" s="1181"/>
      <c r="O150" s="1181"/>
      <c r="P150" s="1181"/>
      <c r="Q150" s="1181"/>
      <c r="R150" s="1181"/>
      <c r="S150" s="1182"/>
      <c r="T150" s="1182"/>
      <c r="U150" s="1182"/>
      <c r="V150" s="1182"/>
      <c r="W150" s="1183"/>
      <c r="X150" s="1143"/>
      <c r="Y150" s="1143"/>
      <c r="Z150" s="1143"/>
      <c r="AA150" s="1143"/>
      <c r="AB150" s="1143"/>
      <c r="AC150" s="1143"/>
      <c r="AD150" s="1143"/>
      <c r="AE150" s="1143"/>
      <c r="AF150" s="1143"/>
      <c r="AG150" s="1143"/>
      <c r="AH150" s="1143"/>
      <c r="AI150" s="1143"/>
      <c r="AJ150" s="1143"/>
      <c r="AK150" s="1143"/>
      <c r="AL150" s="1143"/>
      <c r="AM150" s="1143"/>
      <c r="AN150" s="1143"/>
      <c r="AO150" s="1143"/>
      <c r="AP150" s="1143"/>
      <c r="AQ150" s="1143"/>
    </row>
    <row r="151" spans="1:43" s="4819" customFormat="1" ht="17.25" customHeight="1">
      <c r="A151" s="239"/>
      <c r="C151" s="131"/>
      <c r="D151" s="5252">
        <v>3</v>
      </c>
      <c r="E151" s="5260" t="s">
        <v>337</v>
      </c>
      <c r="F151" s="5262" t="s">
        <v>54</v>
      </c>
      <c r="G151" s="5260"/>
      <c r="H151" s="5265"/>
      <c r="I151" s="5267"/>
      <c r="J151" s="5269"/>
      <c r="K151" s="5254"/>
      <c r="L151" s="5254"/>
      <c r="M151" s="5254"/>
      <c r="N151" s="5256"/>
      <c r="O151" s="5254"/>
      <c r="P151" s="5254"/>
      <c r="Q151" s="5254"/>
      <c r="R151" s="5259"/>
      <c r="S151" s="5254"/>
      <c r="T151" s="1804"/>
      <c r="U151" s="1804"/>
      <c r="V151" s="1806"/>
      <c r="W151" s="1177"/>
      <c r="X151" s="1150"/>
      <c r="Y151" s="1150"/>
      <c r="Z151" s="1150"/>
      <c r="AA151" s="1150"/>
      <c r="AB151" s="1150"/>
      <c r="AC151" s="1150" t="s">
        <v>338</v>
      </c>
      <c r="AD151" s="1150" t="s">
        <v>339</v>
      </c>
      <c r="AE151" s="1150" t="s">
        <v>340</v>
      </c>
      <c r="AF151" s="1150" t="s">
        <v>341</v>
      </c>
      <c r="AG151" s="1150"/>
      <c r="AH151" s="1150" t="str">
        <f>IF($E$151=0,"",$E$151)</f>
        <v>Тариф на подключение (технологическое присоединение) к централизованной системе горячего водоснабжения</v>
      </c>
      <c r="AI151" s="1150" t="str">
        <f>IF($G$151=0,"",$G$151)</f>
        <v/>
      </c>
      <c r="AJ151" s="1150" t="str">
        <f>IF($J$151=0,"",$J$151)</f>
        <v/>
      </c>
      <c r="AK151" s="1150" t="str">
        <f>IF($K$151="нет","без дифференциации",IF($N$151=0,"",$N$151))</f>
        <v/>
      </c>
      <c r="AL151" s="1150" t="str">
        <f>IF($O$151="нет","без дифференциации",IF($R$151=0,"",$R$151))</f>
        <v/>
      </c>
      <c r="AM151" s="1150" t="str">
        <f>IF($S$151="нет","без дифференциации",IF($V$151=0,"",$V$151))</f>
        <v/>
      </c>
      <c r="AN151" s="1635">
        <f>$I$151</f>
        <v>0</v>
      </c>
      <c r="AO151" s="1150" t="str">
        <f>$I$151&amp;"."&amp;$M$151</f>
        <v>.</v>
      </c>
      <c r="AP151" s="1149" t="str">
        <f>$I$151&amp;"."&amp;$M$151&amp;"."&amp;$Q$151</f>
        <v>..</v>
      </c>
      <c r="AQ151" s="1149" t="str">
        <f>$I$151&amp;"."&amp;$M$151&amp;"."&amp;$Q$151&amp;"."&amp;$U$151</f>
        <v>...</v>
      </c>
    </row>
    <row r="152" spans="1:43" s="4819" customFormat="1" ht="17.25" customHeight="1">
      <c r="A152" s="239"/>
      <c r="C152" s="238"/>
      <c r="D152" s="5252"/>
      <c r="E152" s="5260"/>
      <c r="F152" s="5263"/>
      <c r="G152" s="5260"/>
      <c r="H152" s="5266"/>
      <c r="I152" s="5268"/>
      <c r="J152" s="5270"/>
      <c r="K152" s="5255"/>
      <c r="L152" s="5255"/>
      <c r="M152" s="5255"/>
      <c r="N152" s="5257"/>
      <c r="O152" s="5255"/>
      <c r="P152" s="5255"/>
      <c r="Q152" s="5255"/>
      <c r="R152" s="5258"/>
      <c r="S152" s="5255"/>
      <c r="T152" s="1809"/>
      <c r="U152" s="1809"/>
      <c r="V152" s="1809"/>
      <c r="W152" s="1810"/>
      <c r="X152" s="1149"/>
      <c r="Y152" s="1149"/>
      <c r="Z152" s="1149"/>
      <c r="AA152" s="1149"/>
      <c r="AB152" s="1149"/>
      <c r="AC152" s="1149"/>
      <c r="AD152" s="1149"/>
      <c r="AE152" s="1149"/>
      <c r="AF152" s="1149"/>
      <c r="AG152" s="1149"/>
      <c r="AH152" s="1149"/>
      <c r="AI152" s="1149"/>
      <c r="AJ152" s="1149"/>
      <c r="AK152" s="1149"/>
      <c r="AL152" s="1149"/>
      <c r="AM152" s="1149"/>
      <c r="AN152" s="1149"/>
      <c r="AO152" s="1149"/>
      <c r="AP152" s="1149"/>
      <c r="AQ152" s="1149"/>
    </row>
    <row r="153" spans="1:43" s="4819" customFormat="1" ht="17.25" customHeight="1">
      <c r="A153" s="239"/>
      <c r="C153" s="238"/>
      <c r="D153" s="5253"/>
      <c r="E153" s="5261"/>
      <c r="F153" s="5263"/>
      <c r="G153" s="5261"/>
      <c r="H153" s="5266"/>
      <c r="I153" s="5268"/>
      <c r="J153" s="5271"/>
      <c r="K153" s="5255"/>
      <c r="L153" s="5255"/>
      <c r="M153" s="5255"/>
      <c r="N153" s="5258"/>
      <c r="O153" s="5255"/>
      <c r="P153" s="1805"/>
      <c r="Q153" s="1809"/>
      <c r="R153" s="1809"/>
      <c r="S153" s="247"/>
      <c r="T153" s="247"/>
      <c r="U153" s="247"/>
      <c r="V153" s="247"/>
      <c r="W153" s="1810"/>
      <c r="X153" s="1149"/>
      <c r="Y153" s="1149"/>
      <c r="Z153" s="1149"/>
      <c r="AA153" s="1149"/>
      <c r="AB153" s="1149"/>
      <c r="AC153" s="1149"/>
      <c r="AD153" s="1149"/>
      <c r="AE153" s="1149"/>
      <c r="AF153" s="1149"/>
      <c r="AG153" s="1149"/>
      <c r="AH153" s="1149"/>
      <c r="AI153" s="1149"/>
      <c r="AJ153" s="1149"/>
      <c r="AK153" s="1149"/>
      <c r="AL153" s="1149"/>
      <c r="AM153" s="1149"/>
      <c r="AN153" s="1149"/>
      <c r="AO153" s="1149"/>
      <c r="AP153" s="1149"/>
      <c r="AQ153" s="1149"/>
    </row>
    <row r="154" spans="1:43" s="4819" customFormat="1" ht="17.25" customHeight="1">
      <c r="A154" s="239"/>
      <c r="C154" s="238"/>
      <c r="D154" s="5253"/>
      <c r="E154" s="5261"/>
      <c r="F154" s="5263"/>
      <c r="G154" s="5261"/>
      <c r="H154" s="5266"/>
      <c r="I154" s="5268"/>
      <c r="J154" s="5271"/>
      <c r="K154" s="5255"/>
      <c r="L154" s="1809"/>
      <c r="M154" s="1809"/>
      <c r="N154" s="1809"/>
      <c r="O154" s="1809"/>
      <c r="P154" s="1809"/>
      <c r="Q154" s="1809"/>
      <c r="R154" s="1809"/>
      <c r="S154" s="247"/>
      <c r="T154" s="247"/>
      <c r="U154" s="247"/>
      <c r="V154" s="247"/>
      <c r="W154" s="1810"/>
      <c r="X154" s="1149"/>
      <c r="Y154" s="1149"/>
      <c r="Z154" s="1149"/>
      <c r="AA154" s="1149"/>
      <c r="AB154" s="1149"/>
      <c r="AC154" s="1149"/>
      <c r="AD154" s="1149"/>
      <c r="AE154" s="1149"/>
      <c r="AF154" s="1149"/>
      <c r="AG154" s="1149"/>
      <c r="AH154" s="1149"/>
      <c r="AI154" s="1149"/>
      <c r="AJ154" s="1149"/>
      <c r="AK154" s="1149"/>
      <c r="AL154" s="1149"/>
      <c r="AM154" s="1149"/>
      <c r="AN154" s="1149"/>
      <c r="AO154" s="1149"/>
      <c r="AP154" s="1149"/>
      <c r="AQ154" s="1149"/>
    </row>
    <row r="155" spans="1:43" s="4819" customFormat="1" ht="17.25" customHeight="1">
      <c r="A155" s="239"/>
      <c r="C155" s="238"/>
      <c r="D155" s="5253"/>
      <c r="E155" s="5261"/>
      <c r="F155" s="5264"/>
      <c r="G155" s="5261"/>
      <c r="H155" s="1180"/>
      <c r="I155" s="1807"/>
      <c r="J155" s="1807"/>
      <c r="K155" s="1807"/>
      <c r="L155" s="1807"/>
      <c r="M155" s="1807"/>
      <c r="N155" s="1807"/>
      <c r="O155" s="1807"/>
      <c r="P155" s="1807"/>
      <c r="Q155" s="1807"/>
      <c r="R155" s="1807"/>
      <c r="S155" s="1182"/>
      <c r="T155" s="1182"/>
      <c r="U155" s="1182"/>
      <c r="V155" s="1182"/>
      <c r="W155" s="1808"/>
      <c r="X155" s="1149"/>
      <c r="Y155" s="1149"/>
      <c r="Z155" s="1149"/>
      <c r="AA155" s="1149"/>
      <c r="AB155" s="1149"/>
      <c r="AC155" s="1149"/>
      <c r="AD155" s="1149"/>
      <c r="AE155" s="1149"/>
      <c r="AF155" s="1149"/>
      <c r="AG155" s="1149"/>
      <c r="AH155" s="1149"/>
      <c r="AI155" s="1149"/>
      <c r="AJ155" s="1149"/>
      <c r="AK155" s="1149"/>
      <c r="AL155" s="1149"/>
      <c r="AM155" s="1149"/>
      <c r="AN155" s="1149"/>
      <c r="AO155" s="1149"/>
      <c r="AP155" s="1149"/>
      <c r="AQ155" s="1149"/>
    </row>
    <row r="156" spans="1:43" s="4819" customFormat="1" ht="11.25" hidden="1" customHeight="1">
      <c r="A156" s="196"/>
      <c r="B156" s="196"/>
      <c r="Y156" s="1143"/>
      <c r="Z156" s="1143"/>
      <c r="AA156" s="1143"/>
      <c r="AB156" s="1143"/>
      <c r="AC156" s="1143"/>
      <c r="AD156" s="1143"/>
      <c r="AE156" s="1143"/>
      <c r="AF156" s="1143"/>
      <c r="AG156" s="1143"/>
      <c r="AH156" s="1143"/>
      <c r="AI156" s="1143"/>
      <c r="AJ156" s="1143"/>
      <c r="AK156" s="1143"/>
      <c r="AL156" s="1143"/>
      <c r="AM156" s="1143"/>
      <c r="AN156" s="1143"/>
      <c r="AO156" s="1143"/>
      <c r="AP156" s="1143"/>
      <c r="AQ156" s="1143"/>
    </row>
    <row r="157" spans="1:43" s="4819" customFormat="1" ht="17.25" hidden="1" customHeight="1">
      <c r="A157" s="239"/>
      <c r="C157" s="131"/>
      <c r="D157" s="5252">
        <v>1</v>
      </c>
      <c r="E157" s="5260" t="s">
        <v>342</v>
      </c>
      <c r="F157" s="5262" t="s">
        <v>54</v>
      </c>
      <c r="G157" s="5260"/>
      <c r="H157" s="5265"/>
      <c r="I157" s="5267"/>
      <c r="J157" s="5269"/>
      <c r="K157" s="5254"/>
      <c r="L157" s="5254"/>
      <c r="M157" s="5254"/>
      <c r="N157" s="5256"/>
      <c r="O157" s="5254"/>
      <c r="P157" s="5254"/>
      <c r="Q157" s="5254"/>
      <c r="R157" s="5259"/>
      <c r="S157" s="5254"/>
      <c r="T157" s="1343"/>
      <c r="U157" s="1343"/>
      <c r="V157" s="1345"/>
      <c r="W157" s="1177"/>
      <c r="Y157" s="1150"/>
      <c r="Z157" s="1150"/>
      <c r="AA157" s="1150"/>
      <c r="AB157" s="1150"/>
      <c r="AC157" s="1150" t="s">
        <v>343</v>
      </c>
      <c r="AD157" s="1150" t="s">
        <v>344</v>
      </c>
      <c r="AE157" s="1150" t="s">
        <v>345</v>
      </c>
      <c r="AF157" s="1150" t="s">
        <v>346</v>
      </c>
      <c r="AG157" s="1150"/>
      <c r="AH157" s="1150" t="str">
        <f>IF($E$157=0,"",$E$157)</f>
        <v>Тариф на водоотведение</v>
      </c>
      <c r="AI157" s="1150" t="str">
        <f>IF($G$157=0,"",$G$157)</f>
        <v/>
      </c>
      <c r="AJ157" s="1150" t="str">
        <f>IF($J$157=0,"",$J$157)</f>
        <v/>
      </c>
      <c r="AK157" s="1150" t="str">
        <f>IF($K$157="нет","без дифференциации",IF($N$157=0,"",$N$157))</f>
        <v/>
      </c>
      <c r="AL157" s="1150" t="str">
        <f>IF($O$157="нет","без дифференциации",IF($R$157=0,"",$R$157))</f>
        <v/>
      </c>
      <c r="AM157" s="1150" t="str">
        <f>IF($S$157="нет","без дифференциации",IF($V$157=0,"",$V$157))</f>
        <v/>
      </c>
      <c r="AN157" s="1150">
        <f>$I$157</f>
        <v>0</v>
      </c>
      <c r="AO157" s="1150" t="str">
        <f>$I$157&amp;"."&amp;$M$157</f>
        <v>.</v>
      </c>
      <c r="AP157" s="1150" t="str">
        <f>$I$157&amp;"."&amp;$M$157&amp;"."&amp;$Q$157</f>
        <v>..</v>
      </c>
      <c r="AQ157" s="1150" t="str">
        <f>$I$157&amp;"."&amp;$M$157&amp;"."&amp;$Q$157&amp;"."&amp;$U$157</f>
        <v>...</v>
      </c>
    </row>
    <row r="158" spans="1:43" s="4819" customFormat="1" ht="17.25" hidden="1" customHeight="1">
      <c r="A158" s="239"/>
      <c r="C158" s="238"/>
      <c r="D158" s="5252"/>
      <c r="E158" s="5260"/>
      <c r="F158" s="5263"/>
      <c r="G158" s="5260"/>
      <c r="H158" s="5266"/>
      <c r="I158" s="5268"/>
      <c r="J158" s="5270"/>
      <c r="K158" s="5255"/>
      <c r="L158" s="5255"/>
      <c r="M158" s="5255"/>
      <c r="N158" s="5257"/>
      <c r="O158" s="5255"/>
      <c r="P158" s="5255"/>
      <c r="Q158" s="5255"/>
      <c r="R158" s="5258"/>
      <c r="S158" s="5255"/>
      <c r="T158" s="1178"/>
      <c r="U158" s="1178"/>
      <c r="V158" s="1178"/>
      <c r="W158" s="1179"/>
      <c r="Y158" s="1143"/>
      <c r="Z158" s="1143"/>
      <c r="AA158" s="1143"/>
      <c r="AB158" s="1143"/>
      <c r="AC158" s="1143"/>
      <c r="AD158" s="1143"/>
      <c r="AE158" s="1143"/>
      <c r="AF158" s="1143"/>
      <c r="AG158" s="1143"/>
      <c r="AH158" s="1143"/>
      <c r="AI158" s="1143"/>
      <c r="AJ158" s="1143"/>
      <c r="AK158" s="1143"/>
      <c r="AL158" s="1143"/>
      <c r="AM158" s="1143"/>
      <c r="AN158" s="1143"/>
      <c r="AO158" s="1143"/>
      <c r="AP158" s="1143"/>
      <c r="AQ158" s="1143"/>
    </row>
    <row r="159" spans="1:43" s="4819" customFormat="1" ht="17.25" hidden="1" customHeight="1">
      <c r="A159" s="239"/>
      <c r="C159" s="131"/>
      <c r="D159" s="5252"/>
      <c r="E159" s="5260"/>
      <c r="F159" s="5263"/>
      <c r="G159" s="5260"/>
      <c r="H159" s="5266"/>
      <c r="I159" s="5268"/>
      <c r="J159" s="5271"/>
      <c r="K159" s="5255"/>
      <c r="L159" s="5255"/>
      <c r="M159" s="5255"/>
      <c r="N159" s="5258"/>
      <c r="O159" s="5255"/>
      <c r="P159" s="1344"/>
      <c r="Q159" s="1178"/>
      <c r="R159" s="1178"/>
      <c r="S159" s="247"/>
      <c r="T159" s="247"/>
      <c r="U159" s="247"/>
      <c r="V159" s="247"/>
      <c r="W159" s="1179"/>
      <c r="Y159" s="1150"/>
      <c r="Z159" s="1150"/>
      <c r="AA159" s="1150"/>
      <c r="AB159" s="1150"/>
      <c r="AC159" s="1150"/>
      <c r="AD159" s="1150"/>
      <c r="AE159" s="1150"/>
      <c r="AF159" s="1150"/>
      <c r="AG159" s="1150"/>
      <c r="AH159" s="1150"/>
      <c r="AI159" s="1150"/>
      <c r="AJ159" s="1150"/>
      <c r="AK159" s="1150"/>
      <c r="AL159" s="1150"/>
      <c r="AM159" s="1150"/>
      <c r="AN159" s="1150"/>
      <c r="AO159" s="1150"/>
      <c r="AP159" s="1150"/>
      <c r="AQ159" s="1150"/>
    </row>
    <row r="160" spans="1:43" s="4819" customFormat="1" ht="17.25" hidden="1" customHeight="1">
      <c r="A160" s="239"/>
      <c r="C160" s="238"/>
      <c r="D160" s="5252"/>
      <c r="E160" s="5260"/>
      <c r="F160" s="5263"/>
      <c r="G160" s="5260"/>
      <c r="H160" s="5266"/>
      <c r="I160" s="5268"/>
      <c r="J160" s="5271"/>
      <c r="K160" s="5255"/>
      <c r="L160" s="1178"/>
      <c r="M160" s="1178"/>
      <c r="N160" s="1178"/>
      <c r="O160" s="1178"/>
      <c r="P160" s="1178"/>
      <c r="Q160" s="1178"/>
      <c r="R160" s="1178"/>
      <c r="S160" s="247"/>
      <c r="T160" s="247"/>
      <c r="U160" s="247"/>
      <c r="V160" s="247"/>
      <c r="W160" s="1179"/>
      <c r="Y160" s="1143"/>
      <c r="Z160" s="1143"/>
      <c r="AA160" s="1143"/>
      <c r="AB160" s="1143"/>
      <c r="AC160" s="1143"/>
      <c r="AD160" s="1143"/>
      <c r="AE160" s="1143"/>
      <c r="AF160" s="1143"/>
      <c r="AG160" s="1143"/>
      <c r="AH160" s="1143"/>
      <c r="AI160" s="1143"/>
      <c r="AJ160" s="1143"/>
      <c r="AK160" s="1143"/>
      <c r="AL160" s="1143"/>
      <c r="AM160" s="1143"/>
      <c r="AN160" s="1143"/>
      <c r="AO160" s="1143"/>
      <c r="AP160" s="1143"/>
      <c r="AQ160" s="1143"/>
    </row>
    <row r="161" spans="1:43" s="4819" customFormat="1" ht="17.25" hidden="1" customHeight="1">
      <c r="A161" s="239"/>
      <c r="C161" s="238"/>
      <c r="D161" s="5253"/>
      <c r="E161" s="5261"/>
      <c r="F161" s="5264"/>
      <c r="G161" s="5261"/>
      <c r="H161" s="1180"/>
      <c r="I161" s="1181"/>
      <c r="J161" s="1181"/>
      <c r="K161" s="1181"/>
      <c r="L161" s="1181"/>
      <c r="M161" s="1181"/>
      <c r="N161" s="1181"/>
      <c r="O161" s="1181"/>
      <c r="P161" s="1181"/>
      <c r="Q161" s="1181"/>
      <c r="R161" s="1181"/>
      <c r="S161" s="1182"/>
      <c r="T161" s="1182"/>
      <c r="U161" s="1182"/>
      <c r="V161" s="1182"/>
      <c r="W161" s="1183"/>
      <c r="Y161" s="1143"/>
      <c r="Z161" s="1143"/>
      <c r="AA161" s="1143"/>
      <c r="AB161" s="1143"/>
      <c r="AC161" s="1143"/>
      <c r="AD161" s="1143"/>
      <c r="AE161" s="1143"/>
      <c r="AF161" s="1143"/>
      <c r="AG161" s="1143"/>
      <c r="AH161" s="1143"/>
      <c r="AI161" s="1143"/>
      <c r="AJ161" s="1143"/>
      <c r="AK161" s="1143"/>
      <c r="AL161" s="1143"/>
      <c r="AM161" s="1143"/>
      <c r="AN161" s="1143"/>
      <c r="AO161" s="1143"/>
      <c r="AP161" s="1143"/>
      <c r="AQ161" s="1143"/>
    </row>
    <row r="162" spans="1:43" s="4819" customFormat="1" ht="17.25" hidden="1" customHeight="1">
      <c r="A162" s="239"/>
      <c r="C162" s="131"/>
      <c r="D162" s="5252">
        <v>2</v>
      </c>
      <c r="E162" s="5260" t="s">
        <v>347</v>
      </c>
      <c r="F162" s="5262" t="s">
        <v>54</v>
      </c>
      <c r="G162" s="5260"/>
      <c r="H162" s="5265"/>
      <c r="I162" s="5267"/>
      <c r="J162" s="5269"/>
      <c r="K162" s="5254"/>
      <c r="L162" s="5254"/>
      <c r="M162" s="5254"/>
      <c r="N162" s="5256"/>
      <c r="O162" s="5254"/>
      <c r="P162" s="5254"/>
      <c r="Q162" s="5254"/>
      <c r="R162" s="5259"/>
      <c r="S162" s="5254"/>
      <c r="T162" s="1343"/>
      <c r="U162" s="1343"/>
      <c r="V162" s="1345"/>
      <c r="W162" s="1177"/>
      <c r="X162" s="1150"/>
      <c r="Y162" s="1150"/>
      <c r="Z162" s="1150"/>
      <c r="AA162" s="1150"/>
      <c r="AB162" s="1150"/>
      <c r="AC162" s="1150" t="s">
        <v>348</v>
      </c>
      <c r="AD162" s="1150" t="s">
        <v>349</v>
      </c>
      <c r="AE162" s="1150" t="s">
        <v>350</v>
      </c>
      <c r="AF162" s="1150" t="s">
        <v>351</v>
      </c>
      <c r="AG162" s="1150"/>
      <c r="AH162" s="1150" t="str">
        <f>IF($E$162=0,"",$E$162)</f>
        <v>Тариф на транспортировку сточных вод</v>
      </c>
      <c r="AI162" s="1150" t="str">
        <f>IF($G$162=0,"",$G$162)</f>
        <v/>
      </c>
      <c r="AJ162" s="1150" t="str">
        <f>IF($J$162=0,"",$J$162)</f>
        <v/>
      </c>
      <c r="AK162" s="1150" t="str">
        <f>IF($K$162="нет","без дифференциации",IF($N$162=0,"",$N$162))</f>
        <v/>
      </c>
      <c r="AL162" s="1150" t="str">
        <f>IF($O$162="нет","без дифференциации",IF($R$162=0,"",$R$162))</f>
        <v/>
      </c>
      <c r="AM162" s="1150" t="str">
        <f>IF($S$162="нет","без дифференциации",IF($V$162=0,"",$V$162))</f>
        <v/>
      </c>
      <c r="AN162" s="1635">
        <f>$I$162</f>
        <v>0</v>
      </c>
      <c r="AO162" s="1150" t="str">
        <f>$I$162&amp;"."&amp;$M$162</f>
        <v>.</v>
      </c>
      <c r="AP162" s="1143" t="str">
        <f>$I$162&amp;"."&amp;$M$162&amp;"."&amp;$Q$162</f>
        <v>..</v>
      </c>
      <c r="AQ162" s="1143" t="str">
        <f>$I$162&amp;"."&amp;$M$162&amp;"."&amp;$Q$162&amp;"."&amp;$U$162</f>
        <v>...</v>
      </c>
    </row>
    <row r="163" spans="1:43" s="4819" customFormat="1" ht="17.25" hidden="1" customHeight="1">
      <c r="A163" s="239"/>
      <c r="C163" s="238"/>
      <c r="D163" s="5252"/>
      <c r="E163" s="5260"/>
      <c r="F163" s="5263"/>
      <c r="G163" s="5260"/>
      <c r="H163" s="5266"/>
      <c r="I163" s="5268"/>
      <c r="J163" s="5270"/>
      <c r="K163" s="5255"/>
      <c r="L163" s="5255"/>
      <c r="M163" s="5255"/>
      <c r="N163" s="5257"/>
      <c r="O163" s="5255"/>
      <c r="P163" s="5255"/>
      <c r="Q163" s="5255"/>
      <c r="R163" s="5258"/>
      <c r="S163" s="5255"/>
      <c r="T163" s="1178"/>
      <c r="U163" s="1178"/>
      <c r="V163" s="1178"/>
      <c r="W163" s="1179"/>
      <c r="X163" s="1143"/>
      <c r="Y163" s="1143"/>
      <c r="Z163" s="1143"/>
      <c r="AA163" s="1143"/>
      <c r="AB163" s="1143"/>
      <c r="AC163" s="1143"/>
      <c r="AD163" s="1143"/>
      <c r="AE163" s="1143"/>
      <c r="AF163" s="1143"/>
      <c r="AG163" s="1143"/>
      <c r="AH163" s="1143"/>
      <c r="AI163" s="1143"/>
      <c r="AJ163" s="1143"/>
      <c r="AK163" s="1143"/>
      <c r="AL163" s="1143"/>
      <c r="AM163" s="1143"/>
      <c r="AN163" s="1143"/>
      <c r="AO163" s="1143"/>
      <c r="AP163" s="1143"/>
      <c r="AQ163" s="1143"/>
    </row>
    <row r="164" spans="1:43" s="4819" customFormat="1" ht="17.25" hidden="1" customHeight="1">
      <c r="A164" s="239"/>
      <c r="C164" s="238"/>
      <c r="D164" s="5253"/>
      <c r="E164" s="5261"/>
      <c r="F164" s="5263"/>
      <c r="G164" s="5261"/>
      <c r="H164" s="5266"/>
      <c r="I164" s="5268"/>
      <c r="J164" s="5271"/>
      <c r="K164" s="5255"/>
      <c r="L164" s="5255"/>
      <c r="M164" s="5255"/>
      <c r="N164" s="5258"/>
      <c r="O164" s="5255"/>
      <c r="P164" s="1344"/>
      <c r="Q164" s="1178"/>
      <c r="R164" s="1178"/>
      <c r="S164" s="247"/>
      <c r="T164" s="247"/>
      <c r="U164" s="247"/>
      <c r="V164" s="247"/>
      <c r="W164" s="1179"/>
      <c r="X164" s="1143"/>
      <c r="Y164" s="1143"/>
      <c r="Z164" s="1143"/>
      <c r="AA164" s="1143"/>
      <c r="AB164" s="1143"/>
      <c r="AC164" s="1143"/>
      <c r="AD164" s="1143"/>
      <c r="AE164" s="1143"/>
      <c r="AF164" s="1143"/>
      <c r="AG164" s="1143"/>
      <c r="AH164" s="1143"/>
      <c r="AI164" s="1143"/>
      <c r="AJ164" s="1143"/>
      <c r="AK164" s="1143"/>
      <c r="AL164" s="1143"/>
      <c r="AM164" s="1143"/>
      <c r="AN164" s="1143"/>
      <c r="AO164" s="1143"/>
      <c r="AP164" s="1143"/>
      <c r="AQ164" s="1143"/>
    </row>
    <row r="165" spans="1:43" s="4819" customFormat="1" ht="17.25" hidden="1" customHeight="1">
      <c r="A165" s="239"/>
      <c r="C165" s="238"/>
      <c r="D165" s="5253"/>
      <c r="E165" s="5261"/>
      <c r="F165" s="5263"/>
      <c r="G165" s="5261"/>
      <c r="H165" s="5266"/>
      <c r="I165" s="5268"/>
      <c r="J165" s="5271"/>
      <c r="K165" s="5255"/>
      <c r="L165" s="1178"/>
      <c r="M165" s="1178"/>
      <c r="N165" s="1178"/>
      <c r="O165" s="1178"/>
      <c r="P165" s="1178"/>
      <c r="Q165" s="1178"/>
      <c r="R165" s="1178"/>
      <c r="S165" s="247"/>
      <c r="T165" s="247"/>
      <c r="U165" s="247"/>
      <c r="V165" s="247"/>
      <c r="W165" s="1179"/>
      <c r="X165" s="1143"/>
      <c r="Y165" s="1143"/>
      <c r="Z165" s="1143"/>
      <c r="AA165" s="1143"/>
      <c r="AB165" s="1143"/>
      <c r="AC165" s="1143"/>
      <c r="AD165" s="1143"/>
      <c r="AE165" s="1143"/>
      <c r="AF165" s="1143"/>
      <c r="AG165" s="1143"/>
      <c r="AH165" s="1143"/>
      <c r="AI165" s="1143"/>
      <c r="AJ165" s="1143"/>
      <c r="AK165" s="1143"/>
      <c r="AL165" s="1143"/>
      <c r="AM165" s="1143"/>
      <c r="AN165" s="1143"/>
      <c r="AO165" s="1143"/>
      <c r="AP165" s="1143"/>
      <c r="AQ165" s="1143"/>
    </row>
    <row r="166" spans="1:43" s="4819" customFormat="1" ht="17.25" hidden="1" customHeight="1">
      <c r="A166" s="239"/>
      <c r="C166" s="238"/>
      <c r="D166" s="5253"/>
      <c r="E166" s="5261"/>
      <c r="F166" s="5264"/>
      <c r="G166" s="5261"/>
      <c r="H166" s="1180"/>
      <c r="I166" s="1181"/>
      <c r="J166" s="1181"/>
      <c r="K166" s="1181"/>
      <c r="L166" s="1181"/>
      <c r="M166" s="1181"/>
      <c r="N166" s="1181"/>
      <c r="O166" s="1181"/>
      <c r="P166" s="1181"/>
      <c r="Q166" s="1181"/>
      <c r="R166" s="1181"/>
      <c r="S166" s="1182"/>
      <c r="T166" s="1182"/>
      <c r="U166" s="1182"/>
      <c r="V166" s="1182"/>
      <c r="W166" s="1183"/>
      <c r="X166" s="1143"/>
      <c r="Y166" s="1143"/>
      <c r="Z166" s="1143"/>
      <c r="AA166" s="1143"/>
      <c r="AB166" s="1143"/>
      <c r="AC166" s="1143"/>
      <c r="AD166" s="1143"/>
      <c r="AE166" s="1143"/>
      <c r="AF166" s="1143"/>
      <c r="AG166" s="1143"/>
      <c r="AH166" s="1143"/>
      <c r="AI166" s="1143"/>
      <c r="AJ166" s="1143"/>
      <c r="AK166" s="1143"/>
      <c r="AL166" s="1143"/>
      <c r="AM166" s="1143"/>
      <c r="AN166" s="1143"/>
      <c r="AO166" s="1143"/>
      <c r="AP166" s="1143"/>
      <c r="AQ166" s="1143"/>
    </row>
    <row r="167" spans="1:43" s="4819" customFormat="1" ht="17.25" hidden="1" customHeight="1">
      <c r="A167" s="239"/>
      <c r="C167" s="131"/>
      <c r="D167" s="5252">
        <v>3</v>
      </c>
      <c r="E167" s="5260" t="s">
        <v>352</v>
      </c>
      <c r="F167" s="5262" t="s">
        <v>54</v>
      </c>
      <c r="G167" s="5260"/>
      <c r="H167" s="5265"/>
      <c r="I167" s="5267"/>
      <c r="J167" s="5269"/>
      <c r="K167" s="5254"/>
      <c r="L167" s="5254"/>
      <c r="M167" s="5254"/>
      <c r="N167" s="5256"/>
      <c r="O167" s="5254"/>
      <c r="P167" s="5254"/>
      <c r="Q167" s="5254"/>
      <c r="R167" s="5259"/>
      <c r="S167" s="5254"/>
      <c r="T167" s="1804"/>
      <c r="U167" s="1804"/>
      <c r="V167" s="1806"/>
      <c r="W167" s="1177"/>
      <c r="X167" s="1150"/>
      <c r="Y167" s="1150"/>
      <c r="Z167" s="1150"/>
      <c r="AA167" s="1150"/>
      <c r="AB167" s="1150"/>
      <c r="AC167" s="1150" t="s">
        <v>353</v>
      </c>
      <c r="AD167" s="1150" t="s">
        <v>354</v>
      </c>
      <c r="AE167" s="1150" t="s">
        <v>355</v>
      </c>
      <c r="AF167" s="1150" t="s">
        <v>356</v>
      </c>
      <c r="AG167" s="1150"/>
      <c r="AH167" s="1150" t="str">
        <f>IF($E$167=0,"",$E$167)</f>
        <v>Тариф на подключение (технологическое присоединение) к централизованной системе водоотведения</v>
      </c>
      <c r="AI167" s="1150" t="str">
        <f>IF($G$167=0,"",$G$167)</f>
        <v/>
      </c>
      <c r="AJ167" s="1150" t="str">
        <f>IF($J$167=0,"",$J$167)</f>
        <v/>
      </c>
      <c r="AK167" s="1150" t="str">
        <f>IF($K$167="нет","без дифференциации",IF($N$167=0,"",$N$167))</f>
        <v/>
      </c>
      <c r="AL167" s="1150" t="str">
        <f>IF($O$167="нет","без дифференциации",IF($R$167=0,"",$R$167))</f>
        <v/>
      </c>
      <c r="AM167" s="1150" t="str">
        <f>IF($S$167="нет","без дифференциации",IF($V$167=0,"",$V$167))</f>
        <v/>
      </c>
      <c r="AN167" s="1635">
        <f>$I$167</f>
        <v>0</v>
      </c>
      <c r="AO167" s="1150" t="str">
        <f>$I$167&amp;"."&amp;$M$167</f>
        <v>.</v>
      </c>
      <c r="AP167" s="1149" t="str">
        <f>$I$167&amp;"."&amp;$M$167&amp;"."&amp;$Q$167</f>
        <v>..</v>
      </c>
      <c r="AQ167" s="1149" t="str">
        <f>$I$167&amp;"."&amp;$M$167&amp;"."&amp;$Q$167&amp;"."&amp;$U$167</f>
        <v>...</v>
      </c>
    </row>
    <row r="168" spans="1:43" s="4819" customFormat="1" ht="17.25" hidden="1" customHeight="1">
      <c r="A168" s="239"/>
      <c r="C168" s="238"/>
      <c r="D168" s="5252"/>
      <c r="E168" s="5260"/>
      <c r="F168" s="5263"/>
      <c r="G168" s="5260"/>
      <c r="H168" s="5266"/>
      <c r="I168" s="5268"/>
      <c r="J168" s="5270"/>
      <c r="K168" s="5255"/>
      <c r="L168" s="5255"/>
      <c r="M168" s="5255"/>
      <c r="N168" s="5257"/>
      <c r="O168" s="5255"/>
      <c r="P168" s="5255"/>
      <c r="Q168" s="5255"/>
      <c r="R168" s="5258"/>
      <c r="S168" s="5255"/>
      <c r="T168" s="1809"/>
      <c r="U168" s="1809"/>
      <c r="V168" s="1809"/>
      <c r="W168" s="1810"/>
      <c r="X168" s="1149"/>
      <c r="Y168" s="1149"/>
      <c r="Z168" s="1149"/>
      <c r="AA168" s="1149"/>
      <c r="AB168" s="1149"/>
      <c r="AC168" s="1149"/>
      <c r="AD168" s="1149"/>
      <c r="AE168" s="1149"/>
      <c r="AF168" s="1149"/>
      <c r="AG168" s="1149"/>
      <c r="AH168" s="1149"/>
      <c r="AI168" s="1149"/>
      <c r="AJ168" s="1149"/>
      <c r="AK168" s="1149"/>
      <c r="AL168" s="1149"/>
      <c r="AM168" s="1149"/>
      <c r="AN168" s="1149"/>
      <c r="AO168" s="1149"/>
      <c r="AP168" s="1149"/>
      <c r="AQ168" s="1149"/>
    </row>
    <row r="169" spans="1:43" s="4819" customFormat="1" ht="17.25" hidden="1" customHeight="1">
      <c r="A169" s="239"/>
      <c r="C169" s="238"/>
      <c r="D169" s="5253"/>
      <c r="E169" s="5261"/>
      <c r="F169" s="5263"/>
      <c r="G169" s="5261"/>
      <c r="H169" s="5266"/>
      <c r="I169" s="5268"/>
      <c r="J169" s="5271"/>
      <c r="K169" s="5255"/>
      <c r="L169" s="5255"/>
      <c r="M169" s="5255"/>
      <c r="N169" s="5258"/>
      <c r="O169" s="5255"/>
      <c r="P169" s="1805"/>
      <c r="Q169" s="1809"/>
      <c r="R169" s="1809"/>
      <c r="S169" s="247"/>
      <c r="T169" s="247"/>
      <c r="U169" s="247"/>
      <c r="V169" s="247"/>
      <c r="W169" s="1810"/>
      <c r="X169" s="1149"/>
      <c r="Y169" s="1149"/>
      <c r="Z169" s="1149"/>
      <c r="AA169" s="1149"/>
      <c r="AB169" s="1149"/>
      <c r="AC169" s="1149"/>
      <c r="AD169" s="1149"/>
      <c r="AE169" s="1149"/>
      <c r="AF169" s="1149"/>
      <c r="AG169" s="1149"/>
      <c r="AH169" s="1149"/>
      <c r="AI169" s="1149"/>
      <c r="AJ169" s="1149"/>
      <c r="AK169" s="1149"/>
      <c r="AL169" s="1149"/>
      <c r="AM169" s="1149"/>
      <c r="AN169" s="1149"/>
      <c r="AO169" s="1149"/>
      <c r="AP169" s="1149"/>
      <c r="AQ169" s="1149"/>
    </row>
    <row r="170" spans="1:43" s="4819" customFormat="1" ht="17.25" hidden="1" customHeight="1">
      <c r="A170" s="239"/>
      <c r="C170" s="238"/>
      <c r="D170" s="5253"/>
      <c r="E170" s="5261"/>
      <c r="F170" s="5263"/>
      <c r="G170" s="5261"/>
      <c r="H170" s="5266"/>
      <c r="I170" s="5268"/>
      <c r="J170" s="5271"/>
      <c r="K170" s="5255"/>
      <c r="L170" s="1809"/>
      <c r="M170" s="1809"/>
      <c r="N170" s="1809"/>
      <c r="O170" s="1809"/>
      <c r="P170" s="1809"/>
      <c r="Q170" s="1809"/>
      <c r="R170" s="1809"/>
      <c r="S170" s="247"/>
      <c r="T170" s="247"/>
      <c r="U170" s="247"/>
      <c r="V170" s="247"/>
      <c r="W170" s="1810"/>
      <c r="X170" s="1149"/>
      <c r="Y170" s="1149"/>
      <c r="Z170" s="1149"/>
      <c r="AA170" s="1149"/>
      <c r="AB170" s="1149"/>
      <c r="AC170" s="1149"/>
      <c r="AD170" s="1149"/>
      <c r="AE170" s="1149"/>
      <c r="AF170" s="1149"/>
      <c r="AG170" s="1149"/>
      <c r="AH170" s="1149"/>
      <c r="AI170" s="1149"/>
      <c r="AJ170" s="1149"/>
      <c r="AK170" s="1149"/>
      <c r="AL170" s="1149"/>
      <c r="AM170" s="1149"/>
      <c r="AN170" s="1149"/>
      <c r="AO170" s="1149"/>
      <c r="AP170" s="1149"/>
      <c r="AQ170" s="1149"/>
    </row>
    <row r="171" spans="1:43" s="4819" customFormat="1" ht="17.25" hidden="1" customHeight="1">
      <c r="A171" s="239"/>
      <c r="C171" s="238"/>
      <c r="D171" s="5253"/>
      <c r="E171" s="5261"/>
      <c r="F171" s="5264"/>
      <c r="G171" s="5261"/>
      <c r="H171" s="1180"/>
      <c r="I171" s="1807"/>
      <c r="J171" s="1807"/>
      <c r="K171" s="1807"/>
      <c r="L171" s="1807"/>
      <c r="M171" s="1807"/>
      <c r="N171" s="1807"/>
      <c r="O171" s="1807"/>
      <c r="P171" s="1807"/>
      <c r="Q171" s="1807"/>
      <c r="R171" s="1807"/>
      <c r="S171" s="1182"/>
      <c r="T171" s="1182"/>
      <c r="U171" s="1182"/>
      <c r="V171" s="1182"/>
      <c r="W171" s="1808"/>
      <c r="X171" s="1149"/>
      <c r="Y171" s="1149"/>
      <c r="Z171" s="1149"/>
      <c r="AA171" s="1149"/>
      <c r="AB171" s="1149"/>
      <c r="AC171" s="1149"/>
      <c r="AD171" s="1149"/>
      <c r="AE171" s="1149"/>
      <c r="AF171" s="1149"/>
      <c r="AG171" s="1149"/>
      <c r="AH171" s="1149"/>
      <c r="AI171" s="1149"/>
      <c r="AJ171" s="1149"/>
      <c r="AK171" s="1149"/>
      <c r="AL171" s="1149"/>
      <c r="AM171" s="1149"/>
      <c r="AN171" s="1149"/>
      <c r="AO171" s="1149"/>
      <c r="AP171" s="1149"/>
      <c r="AQ171" s="1149"/>
    </row>
    <row r="175" spans="1:43" ht="11.25" customHeight="1">
      <c r="E175" s="1229"/>
    </row>
    <row r="176" spans="1:43" ht="11.25" customHeight="1">
      <c r="E176" s="1229"/>
    </row>
    <row r="177" spans="5:5" ht="11.25" customHeight="1">
      <c r="E177" s="1229"/>
    </row>
    <row r="178" spans="5:5" ht="11.25" customHeight="1">
      <c r="E178" s="1229"/>
    </row>
    <row r="179" spans="5:5" ht="11.25" customHeight="1">
      <c r="E179" s="1229"/>
    </row>
    <row r="180" spans="5:5" ht="11.25" customHeight="1">
      <c r="E180" s="1229"/>
    </row>
    <row r="181" spans="5:5" ht="11.25" customHeight="1">
      <c r="E181" s="1229"/>
    </row>
  </sheetData>
  <sheetProtection formatColumns="0" formatRows="0" insertRows="0" deleteColumns="0" deleteRows="0" sort="0" autoFilter="0"/>
  <mergeCells count="474">
    <mergeCell ref="S141:S142"/>
    <mergeCell ref="W141:W142"/>
    <mergeCell ref="P141:P142"/>
    <mergeCell ref="Q141:Q142"/>
    <mergeCell ref="R141:R142"/>
    <mergeCell ref="S127:S128"/>
    <mergeCell ref="W127:W128"/>
    <mergeCell ref="P127:P128"/>
    <mergeCell ref="Q127:Q128"/>
    <mergeCell ref="R127:R128"/>
    <mergeCell ref="L133:L143"/>
    <mergeCell ref="M133:M143"/>
    <mergeCell ref="N133:N143"/>
    <mergeCell ref="O133:O143"/>
    <mergeCell ref="P133:P134"/>
    <mergeCell ref="Q133:Q134"/>
    <mergeCell ref="R133:R134"/>
    <mergeCell ref="S133:S134"/>
    <mergeCell ref="W133:W134"/>
    <mergeCell ref="S135:S136"/>
    <mergeCell ref="W135:W136"/>
    <mergeCell ref="P135:P136"/>
    <mergeCell ref="Q135:Q136"/>
    <mergeCell ref="R135:R136"/>
    <mergeCell ref="S137:S138"/>
    <mergeCell ref="W137:W138"/>
    <mergeCell ref="P137:P138"/>
    <mergeCell ref="Q137:Q138"/>
    <mergeCell ref="R137:R138"/>
    <mergeCell ref="S139:S140"/>
    <mergeCell ref="W139:W140"/>
    <mergeCell ref="P139:P140"/>
    <mergeCell ref="Q139:Q140"/>
    <mergeCell ref="R139:R140"/>
    <mergeCell ref="S125:S126"/>
    <mergeCell ref="W125:W126"/>
    <mergeCell ref="P125:P126"/>
    <mergeCell ref="Q125:Q126"/>
    <mergeCell ref="R125:R126"/>
    <mergeCell ref="L130:L132"/>
    <mergeCell ref="M130:M132"/>
    <mergeCell ref="N130:N132"/>
    <mergeCell ref="O130:O132"/>
    <mergeCell ref="P130:P131"/>
    <mergeCell ref="Q130:Q131"/>
    <mergeCell ref="R130:R131"/>
    <mergeCell ref="S130:S131"/>
    <mergeCell ref="W130:W131"/>
    <mergeCell ref="S121:S122"/>
    <mergeCell ref="W121:W122"/>
    <mergeCell ref="P121:P122"/>
    <mergeCell ref="Q121:Q122"/>
    <mergeCell ref="R121:R122"/>
    <mergeCell ref="S123:S124"/>
    <mergeCell ref="W123:W124"/>
    <mergeCell ref="P123:P124"/>
    <mergeCell ref="Q123:Q124"/>
    <mergeCell ref="R123:R124"/>
    <mergeCell ref="L113:L129"/>
    <mergeCell ref="M113:M129"/>
    <mergeCell ref="N113:N129"/>
    <mergeCell ref="O113:O129"/>
    <mergeCell ref="P113:P114"/>
    <mergeCell ref="Q113:Q114"/>
    <mergeCell ref="R113:R114"/>
    <mergeCell ref="S113:S114"/>
    <mergeCell ref="W113:W114"/>
    <mergeCell ref="S115:S116"/>
    <mergeCell ref="W115:W116"/>
    <mergeCell ref="P115:P116"/>
    <mergeCell ref="Q115:Q116"/>
    <mergeCell ref="R115:R116"/>
    <mergeCell ref="S117:S118"/>
    <mergeCell ref="W117:W118"/>
    <mergeCell ref="P117:P118"/>
    <mergeCell ref="Q117:Q118"/>
    <mergeCell ref="R117:R118"/>
    <mergeCell ref="S119:S120"/>
    <mergeCell ref="W119:W120"/>
    <mergeCell ref="P119:P120"/>
    <mergeCell ref="Q119:Q120"/>
    <mergeCell ref="R119:R120"/>
    <mergeCell ref="N108:N112"/>
    <mergeCell ref="O108:O112"/>
    <mergeCell ref="P108:P109"/>
    <mergeCell ref="Q108:Q109"/>
    <mergeCell ref="R108:R109"/>
    <mergeCell ref="S108:S109"/>
    <mergeCell ref="W108:W109"/>
    <mergeCell ref="S110:S111"/>
    <mergeCell ref="W110:W111"/>
    <mergeCell ref="P110:P111"/>
    <mergeCell ref="Q110:Q111"/>
    <mergeCell ref="R110:R111"/>
    <mergeCell ref="W100:W101"/>
    <mergeCell ref="O100:O102"/>
    <mergeCell ref="P100:P101"/>
    <mergeCell ref="Q100:Q101"/>
    <mergeCell ref="R100:R101"/>
    <mergeCell ref="H100:H144"/>
    <mergeCell ref="I100:I144"/>
    <mergeCell ref="J100:J144"/>
    <mergeCell ref="K100:K144"/>
    <mergeCell ref="L100:L102"/>
    <mergeCell ref="S100:S101"/>
    <mergeCell ref="M100:M102"/>
    <mergeCell ref="N100:N102"/>
    <mergeCell ref="L103:L107"/>
    <mergeCell ref="M103:M107"/>
    <mergeCell ref="N103:N107"/>
    <mergeCell ref="O103:O107"/>
    <mergeCell ref="P103:P104"/>
    <mergeCell ref="Q103:Q104"/>
    <mergeCell ref="R103:R104"/>
    <mergeCell ref="S103:S104"/>
    <mergeCell ref="W103:W104"/>
    <mergeCell ref="S105:S106"/>
    <mergeCell ref="W105:W106"/>
    <mergeCell ref="M167:M169"/>
    <mergeCell ref="N167:N169"/>
    <mergeCell ref="O167:O169"/>
    <mergeCell ref="P167:P168"/>
    <mergeCell ref="Q167:Q168"/>
    <mergeCell ref="R167:R168"/>
    <mergeCell ref="S167:S168"/>
    <mergeCell ref="D167:D171"/>
    <mergeCell ref="E167:E171"/>
    <mergeCell ref="F167:F171"/>
    <mergeCell ref="G167:G171"/>
    <mergeCell ref="H167:H170"/>
    <mergeCell ref="I167:I170"/>
    <mergeCell ref="J167:J170"/>
    <mergeCell ref="K167:K170"/>
    <mergeCell ref="L167:L169"/>
    <mergeCell ref="S94:S95"/>
    <mergeCell ref="D151:D155"/>
    <mergeCell ref="E151:E155"/>
    <mergeCell ref="F151:F155"/>
    <mergeCell ref="G151:G155"/>
    <mergeCell ref="H151:H154"/>
    <mergeCell ref="I151:I154"/>
    <mergeCell ref="J151:J154"/>
    <mergeCell ref="K151:K154"/>
    <mergeCell ref="L151:L153"/>
    <mergeCell ref="M151:M153"/>
    <mergeCell ref="N151:N153"/>
    <mergeCell ref="O151:O153"/>
    <mergeCell ref="P151:P152"/>
    <mergeCell ref="Q151:Q152"/>
    <mergeCell ref="R151:R152"/>
    <mergeCell ref="S151:S152"/>
    <mergeCell ref="D94:D98"/>
    <mergeCell ref="E94:E98"/>
    <mergeCell ref="P105:P106"/>
    <mergeCell ref="Q105:Q106"/>
    <mergeCell ref="R105:R106"/>
    <mergeCell ref="L108:L112"/>
    <mergeCell ref="M108:M112"/>
    <mergeCell ref="K94:K97"/>
    <mergeCell ref="L94:L96"/>
    <mergeCell ref="S162:S163"/>
    <mergeCell ref="D162:D166"/>
    <mergeCell ref="E162:E166"/>
    <mergeCell ref="F162:F166"/>
    <mergeCell ref="G162:G166"/>
    <mergeCell ref="H162:H165"/>
    <mergeCell ref="I162:I165"/>
    <mergeCell ref="J162:J165"/>
    <mergeCell ref="K162:K165"/>
    <mergeCell ref="L162:L164"/>
    <mergeCell ref="H157:H160"/>
    <mergeCell ref="I157:I160"/>
    <mergeCell ref="J157:J160"/>
    <mergeCell ref="K157:K160"/>
    <mergeCell ref="L157:L159"/>
    <mergeCell ref="M157:M159"/>
    <mergeCell ref="N157:N159"/>
    <mergeCell ref="N94:N96"/>
    <mergeCell ref="O94:O96"/>
    <mergeCell ref="P94:P95"/>
    <mergeCell ref="Q94:Q95"/>
    <mergeCell ref="R94:R95"/>
    <mergeCell ref="M162:M164"/>
    <mergeCell ref="N162:N164"/>
    <mergeCell ref="O162:O164"/>
    <mergeCell ref="P157:P158"/>
    <mergeCell ref="Q157:Q158"/>
    <mergeCell ref="R157:R158"/>
    <mergeCell ref="P162:P163"/>
    <mergeCell ref="Q162:Q163"/>
    <mergeCell ref="R162:R163"/>
    <mergeCell ref="S157:S158"/>
    <mergeCell ref="D157:D161"/>
    <mergeCell ref="E157:E161"/>
    <mergeCell ref="F157:F161"/>
    <mergeCell ref="G157:G161"/>
    <mergeCell ref="M146:M148"/>
    <mergeCell ref="N146:N148"/>
    <mergeCell ref="O146:O148"/>
    <mergeCell ref="P146:P147"/>
    <mergeCell ref="Q146:Q147"/>
    <mergeCell ref="R146:R147"/>
    <mergeCell ref="S146:S147"/>
    <mergeCell ref="D146:D150"/>
    <mergeCell ref="E146:E150"/>
    <mergeCell ref="F146:F150"/>
    <mergeCell ref="G146:G150"/>
    <mergeCell ref="H146:H149"/>
    <mergeCell ref="I146:I149"/>
    <mergeCell ref="J146:J149"/>
    <mergeCell ref="K146:K149"/>
    <mergeCell ref="L146:L148"/>
    <mergeCell ref="O157:O159"/>
    <mergeCell ref="R13:R14"/>
    <mergeCell ref="S13:S14"/>
    <mergeCell ref="M43:M45"/>
    <mergeCell ref="N43:N45"/>
    <mergeCell ref="O43:O45"/>
    <mergeCell ref="N33:N35"/>
    <mergeCell ref="D100:D145"/>
    <mergeCell ref="E100:E145"/>
    <mergeCell ref="F100:F145"/>
    <mergeCell ref="G100:G145"/>
    <mergeCell ref="P48:P49"/>
    <mergeCell ref="Q48:Q49"/>
    <mergeCell ref="R48:R49"/>
    <mergeCell ref="S48:S49"/>
    <mergeCell ref="P43:P44"/>
    <mergeCell ref="Q43:Q44"/>
    <mergeCell ref="R43:R44"/>
    <mergeCell ref="S43:S44"/>
    <mergeCell ref="S23:S24"/>
    <mergeCell ref="F94:F98"/>
    <mergeCell ref="G94:G98"/>
    <mergeCell ref="H94:H97"/>
    <mergeCell ref="I94:I97"/>
    <mergeCell ref="J94:J97"/>
    <mergeCell ref="S18:S19"/>
    <mergeCell ref="O48:O50"/>
    <mergeCell ref="E72:W72"/>
    <mergeCell ref="E64:W64"/>
    <mergeCell ref="E65:W65"/>
    <mergeCell ref="E66:W66"/>
    <mergeCell ref="E67:W67"/>
    <mergeCell ref="E68:W68"/>
    <mergeCell ref="L74:L76"/>
    <mergeCell ref="M74:M76"/>
    <mergeCell ref="E70:W70"/>
    <mergeCell ref="E71:W71"/>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K84:K87"/>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302">
    <dataValidation allowBlank="1" showInputMessage="1" showErrorMessage="1" prompt="Для выбора выполните двойной щелчок левой клавиши мыши по соответствующей ячейке." sqref="S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Для выбора выполните двойной щелчок левой клавиши мыши по соответствующей ячейке." sqref="F142"/>
    <dataValidation type="textLength" operator="lessThanOrEqual" allowBlank="1" showInputMessage="1" showErrorMessage="1" errorTitle="Ошибка" error="Допускается ввод не более 900 символов!" sqref="W141">
      <formula1>900</formula1>
    </dataValidation>
    <dataValidation type="textLength" operator="lessThanOrEqual" allowBlank="1" showInputMessage="1" showErrorMessage="1" errorTitle="Ошибка" error="Допускается ввод не более 900 символов!" sqref="V141">
      <formula1>900</formula1>
    </dataValidation>
    <dataValidation allowBlank="1" showInputMessage="1" showErrorMessage="1" prompt="Для выбора выполните двойной щелчок левой клавиши мыши по соответствующей ячейке." sqref="S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Для выбора выполните двойной щелчок левой клавиши мыши по соответствующей ячейке." sqref="O1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Для выбора выполните двойной щелчок левой клавиши мыши по соответствующей ячейке." sqref="F140"/>
    <dataValidation type="textLength" operator="lessThanOrEqual" allowBlank="1" showInputMessage="1" showErrorMessage="1" errorTitle="Ошибка" error="Допускается ввод не более 900 символов!" sqref="W139">
      <formula1>900</formula1>
    </dataValidation>
    <dataValidation type="textLength" operator="lessThanOrEqual" allowBlank="1" showInputMessage="1" showErrorMessage="1" errorTitle="Ошибка" error="Допускается ввод не более 900 символов!" sqref="V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O1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Для выбора выполните двойной щелчок левой клавиши мыши по соответствующей ячейке." sqref="S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Выберите виды деятельности, выполнив двойной щелчок левой кнопки мыши по ячейке." sqref="G138"/>
    <dataValidation allowBlank="1" showInputMessage="1" showErrorMessage="1" prompt="Для выбора выполните двойной щелчок левой клавиши мыши по соответствующей ячейке." sqref="F138"/>
    <dataValidation type="textLength" operator="lessThanOrEqual" allowBlank="1" showInputMessage="1" showErrorMessage="1" errorTitle="Ошибка" error="Допускается ввод не более 900 символов!" sqref="W137">
      <formula1>900</formula1>
    </dataValidation>
    <dataValidation type="textLength" operator="lessThanOrEqual" allowBlank="1" showInputMessage="1" showErrorMessage="1" errorTitle="Ошибка" error="Допускается ввод не более 900 символов!" sqref="V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O1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Для выбора выполните двойной щелчок левой клавиши мыши по соответствующей ячейке." sqref="F136"/>
    <dataValidation type="textLength" operator="lessThanOrEqual" allowBlank="1" showInputMessage="1" showErrorMessage="1" errorTitle="Ошибка" error="Допускается ввод не более 900 символов!" sqref="W135">
      <formula1>900</formula1>
    </dataValidation>
    <dataValidation type="textLength" operator="lessThanOrEqual" allowBlank="1" showInputMessage="1" showErrorMessage="1" errorTitle="Ошибка" error="Допускается ввод не более 900 символов!" sqref="V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O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Для выбора выполните двойной щелчок левой клавиши мыши по соответствующей ячейке." sqref="F134"/>
    <dataValidation type="textLength" operator="lessThanOrEqual" allowBlank="1" showInputMessage="1" showErrorMessage="1" errorTitle="Ошибка" error="Допускается ввод не более 900 символов!" sqref="W133">
      <formula1>900</formula1>
    </dataValidation>
    <dataValidation type="textLength" operator="lessThanOrEqual" allowBlank="1" showInputMessage="1" showErrorMessage="1" errorTitle="Ошибка" error="Допускается ввод не более 900 символов!" sqref="V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O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1"/>
    <dataValidation type="textLength" operator="lessThanOrEqual" allowBlank="1" showInputMessage="1" showErrorMessage="1" errorTitle="Ошибка" error="Допускается ввод не более 900 символов!" sqref="W130">
      <formula1>900</formula1>
    </dataValidation>
    <dataValidation type="textLength" operator="lessThanOrEqual" allowBlank="1" showInputMessage="1" showErrorMessage="1" errorTitle="Ошибка" error="Допускается ввод не более 900 символов!" sqref="V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O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6"/>
    <dataValidation type="textLength" operator="lessThanOrEqual" allowBlank="1" showInputMessage="1" showErrorMessage="1" errorTitle="Ошибка" error="Допускается ввод не более 900 символов!" sqref="W125">
      <formula1>900</formula1>
    </dataValidation>
    <dataValidation type="textLength" operator="lessThanOrEqual" allowBlank="1" showInputMessage="1" showErrorMessage="1" errorTitle="Ошибка" error="Допускается ввод не более 900 символов!" sqref="V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O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Для выбора выполните двойной щелчок левой клавиши мыши по соответствующей ячейке." sqref="F124"/>
    <dataValidation type="textLength" operator="lessThanOrEqual" allowBlank="1" showInputMessage="1" showErrorMessage="1" errorTitle="Ошибка" error="Допускается ввод не более 900 символов!" sqref="W123">
      <formula1>900</formula1>
    </dataValidation>
    <dataValidation type="textLength" operator="lessThanOrEqual" allowBlank="1" showInputMessage="1" showErrorMessage="1" errorTitle="Ошибка" error="Допускается ввод не более 900 символов!" sqref="V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O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Для выбора выполните двойной щелчок левой клавиши мыши по соответствующей ячейке." sqref="F122"/>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V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O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Для выбора выполните двойной щелчок левой клавиши мыши по соответствующей ячейке." sqref="F120"/>
    <dataValidation type="textLength" operator="lessThanOrEqual" allowBlank="1" showInputMessage="1" showErrorMessage="1" errorTitle="Ошибка" error="Допускается ввод не более 900 символов!" sqref="W119">
      <formula1>900</formula1>
    </dataValidation>
    <dataValidation type="textLength" operator="lessThanOrEqual" allowBlank="1" showInputMessage="1" showErrorMessage="1" errorTitle="Ошибка" error="Допускается ввод не более 900 символов!" sqref="V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O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Для выбора выполните двойной щелчок левой клавиши мыши по соответствующей ячейке." sqref="F118"/>
    <dataValidation type="textLength" operator="lessThanOrEqual" allowBlank="1" showInputMessage="1" showErrorMessage="1" errorTitle="Ошибка" error="Допускается ввод не более 900 символов!" sqref="W117">
      <formula1>900</formula1>
    </dataValidation>
    <dataValidation type="textLength" operator="lessThanOrEqual" allowBlank="1" showInputMessage="1" showErrorMessage="1" errorTitle="Ошибка" error="Допускается ввод не более 900 символов!" sqref="V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O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Для выбора выполните двойной щелчок левой клавиши мыши по соответствующей ячейке." sqref="F116"/>
    <dataValidation type="textLength" operator="lessThanOrEqual" allowBlank="1" showInputMessage="1" showErrorMessage="1" errorTitle="Ошибка" error="Допускается ввод не более 900 символов!" sqref="W115">
      <formula1>900</formula1>
    </dataValidation>
    <dataValidation type="textLength" operator="lessThanOrEqual" allowBlank="1" showInputMessage="1" showErrorMessage="1" errorTitle="Ошибка" error="Допускается ввод не более 900 символов!" sqref="V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O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Для выбора выполните двойной щелчок левой клавиши мыши по соответствующей ячейке." sqref="S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Для выбора выполните двойной щелчок левой клавиши мыши по соответствующей ячейке." sqref="F114"/>
    <dataValidation type="textLength" operator="lessThanOrEqual" allowBlank="1" showInputMessage="1" showErrorMessage="1" errorTitle="Ошибка" error="Допускается ввод не более 900 символов!" sqref="W113">
      <formula1>900</formula1>
    </dataValidation>
    <dataValidation type="textLength" operator="lessThanOrEqual" allowBlank="1" showInputMessage="1" showErrorMessage="1" errorTitle="Ошибка" error="Допускается ввод не более 900 символов!" sqref="V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O1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1"/>
    <dataValidation type="textLength" operator="lessThanOrEqual" allowBlank="1" showInputMessage="1" showErrorMessage="1" errorTitle="Ошибка" error="Допускается ввод не более 900 символов!" sqref="W110">
      <formula1>900</formula1>
    </dataValidation>
    <dataValidation type="textLength" operator="lessThanOrEqual" allowBlank="1" showInputMessage="1" showErrorMessage="1" errorTitle="Ошибка" error="Допускается ввод не более 900 символов!" sqref="V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O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Выберите виды деятельности, выполнив двойной щелчок левой кнопки мыши по ячейке." sqref="G109"/>
    <dataValidation allowBlank="1" showInputMessage="1" showErrorMessage="1" prompt="Для выбора выполните двойной щелчок левой клавиши мыши по соответствующей ячейке." sqref="F109"/>
    <dataValidation type="textLength" operator="lessThanOrEqual" allowBlank="1" showInputMessage="1" showErrorMessage="1" errorTitle="Ошибка" error="Допускается ввод не более 900 символов!" sqref="W108">
      <formula1>900</formula1>
    </dataValidation>
    <dataValidation type="textLength" operator="lessThanOrEqual" allowBlank="1" showInputMessage="1" showErrorMessage="1" errorTitle="Ошибка" error="Допускается ввод не более 900 символов!" sqref="V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O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Выберите виды деятельности, выполнив двойной щелчок левой кнопки мыши по ячейке." sqref="G106"/>
    <dataValidation allowBlank="1" showInputMessage="1" showErrorMessage="1" prompt="Для выбора выполните двойной щелчок левой клавиши мыши по соответствующей ячейке." sqref="F106"/>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Для выбора выполните двойной щелчок левой клавиши мыши по соответствующей ячейке." sqref="F104"/>
    <dataValidation type="textLength" operator="lessThanOrEqual" allowBlank="1" showInputMessage="1" showErrorMessage="1" errorTitle="Ошибка" error="Допускается ввод не более 900 символов!" sqref="W103">
      <formula1>900</formula1>
    </dataValidation>
    <dataValidation type="textLength" operator="lessThanOrEqual" allowBlank="1" showInputMessage="1" showErrorMessage="1" errorTitle="Ошибка" error="Допускается ввод не более 900 символов!" sqref="V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O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J101">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type="textLength" operator="lessThanOrEqual" allowBlank="1" showInputMessage="1" showErrorMessage="1" errorTitle="Ошибка" error="Допускается ввод не более 900 символов!" sqref="V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O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K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Выберите виды деятельности, выполнив двойной щелчок левой кнопки мыши по ячейке." sqref="G100:G102 G144:G155 G13:G62 G74:G98 G157:G17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46:N148 N162:N164 N157:N159 N53:N55 N58:N60 N94:N96 N151:N153 N167:N169">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46:J147 R146:R147 V146:W146 J162:J163 R162:R163 V162:W162 J157:J158 R157:R158 V157:W157 J53:J54 R53:R54 V53:W53 J58:J59 R58:R59 V58:W58 J94:J95 R94:R95 V94:W94 J151:J152 R151:R152 V151:W151 J167:J168 R167:R168 V167:W167">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46:O147 S146:S147 K146:K147 S94:S95 K162:K163 O162:O163 K157:K158 O157:O158 S162:S163 O151:O152 S157:S158 O53:O54 S53:S54 K53:K54 K58:K59 O58:O59 S58:S59 F74:F98 K94:K95 O94:O95 F100:F102 F144:F155 S151:S152 K151:K152 F157:F171 S167:S168 K167:K168 O167:O168"/>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O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833" hidden="1" customWidth="1"/>
    <col min="3" max="3" width="3.7109375" style="4836" customWidth="1"/>
    <col min="4" max="4" width="6.85546875" style="4837" customWidth="1"/>
    <col min="5" max="5" width="52.28515625" style="4836" customWidth="1"/>
    <col min="6" max="6" width="48.85546875" style="4836" customWidth="1"/>
    <col min="7" max="7" width="93.42578125" style="4836" customWidth="1"/>
    <col min="8" max="8" width="9.140625" style="4836"/>
    <col min="9" max="9" width="65" style="4836" customWidth="1"/>
  </cols>
  <sheetData>
    <row r="1" spans="1:9" ht="11.25" hidden="1" customHeight="1">
      <c r="A1" s="409" t="s">
        <v>377</v>
      </c>
    </row>
    <row r="2" spans="1:9" ht="22.5" hidden="1" customHeight="1">
      <c r="A2" s="410"/>
      <c r="B2" s="410"/>
      <c r="C2" s="1593" t="s">
        <v>101</v>
      </c>
      <c r="D2" s="1392"/>
      <c r="E2" s="1398"/>
      <c r="F2" s="1419"/>
      <c r="H2" s="384"/>
    </row>
    <row r="3" spans="1:9" ht="11.25" hidden="1" customHeight="1"/>
    <row r="4" spans="1:9" ht="11.25" customHeight="1">
      <c r="A4" s="1420"/>
      <c r="B4" s="1420"/>
    </row>
    <row r="5" spans="1:9" ht="26.25" customHeight="1">
      <c r="D5" s="523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5238"/>
      <c r="F5" s="5239"/>
      <c r="I5" s="616"/>
    </row>
    <row r="6" spans="1:9" ht="17.25" customHeight="1">
      <c r="D6" s="5308" t="str">
        <f>IF(region_name=0,"Не определено",region_name)</f>
        <v>Московская область</v>
      </c>
      <c r="E6" s="5308"/>
      <c r="F6" s="5308"/>
      <c r="I6" s="616"/>
    </row>
    <row r="7" spans="1:9" s="4832" customFormat="1" ht="11.25" customHeight="1">
      <c r="A7" s="409"/>
      <c r="B7" s="409"/>
      <c r="D7" s="615"/>
      <c r="E7" s="615"/>
      <c r="F7" s="651"/>
      <c r="G7" s="615"/>
    </row>
    <row r="8" spans="1:9" ht="11.25" hidden="1" customHeight="1">
      <c r="A8" s="410"/>
      <c r="B8" s="410"/>
      <c r="C8" s="367"/>
      <c r="D8" s="372"/>
      <c r="E8" s="5334"/>
      <c r="F8" s="5334"/>
    </row>
    <row r="9" spans="1:9" ht="11.25" customHeight="1">
      <c r="A9" s="410"/>
      <c r="B9" s="410"/>
      <c r="C9" s="367"/>
      <c r="D9" s="5331" t="s">
        <v>378</v>
      </c>
      <c r="E9" s="5332"/>
      <c r="F9" s="5332"/>
      <c r="G9" s="5335" t="s">
        <v>379</v>
      </c>
    </row>
    <row r="10" spans="1:9" ht="11.25" customHeight="1">
      <c r="A10" s="410"/>
      <c r="B10" s="410"/>
      <c r="C10" s="367"/>
      <c r="D10" s="1346" t="s">
        <v>85</v>
      </c>
      <c r="E10" s="1348" t="s">
        <v>380</v>
      </c>
      <c r="F10" s="1348" t="s">
        <v>381</v>
      </c>
      <c r="G10" s="5336"/>
    </row>
    <row r="11" spans="1:9" ht="0.75" customHeight="1">
      <c r="A11" s="410"/>
      <c r="B11" s="410"/>
      <c r="C11" s="367"/>
      <c r="D11" s="373"/>
      <c r="E11" s="373"/>
      <c r="F11" s="373"/>
      <c r="G11" s="373"/>
    </row>
    <row r="12" spans="1:9" ht="22.5" customHeight="1">
      <c r="A12" s="410"/>
      <c r="B12" s="410"/>
      <c r="C12" s="367"/>
      <c r="D12" s="1392">
        <v>1</v>
      </c>
      <c r="E12" s="38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69" t="str">
        <f>IF(org="","",org)</f>
        <v>ООО «Газпром теплоэнерго МО»</v>
      </c>
      <c r="G12" s="38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04"/>
    </row>
    <row r="13" spans="1:9" ht="18.75" customHeight="1">
      <c r="A13" s="410"/>
      <c r="B13" s="410"/>
      <c r="C13" s="367"/>
      <c r="D13" s="1392">
        <v>2</v>
      </c>
      <c r="E13" s="1399" t="s">
        <v>1857</v>
      </c>
      <c r="F13" s="1393" t="s">
        <v>384</v>
      </c>
      <c r="G13" s="383"/>
      <c r="H13" s="1404"/>
    </row>
    <row r="14" spans="1:9" ht="18.75" customHeight="1">
      <c r="A14" s="410"/>
      <c r="B14" s="410"/>
      <c r="C14" s="367"/>
      <c r="D14" s="1395" t="s">
        <v>711</v>
      </c>
      <c r="E14" s="1396" t="s">
        <v>1858</v>
      </c>
      <c r="F14" s="1398"/>
      <c r="G14" s="1397" t="s">
        <v>1859</v>
      </c>
      <c r="H14" s="1404"/>
    </row>
    <row r="15" spans="1:9" ht="18.75" customHeight="1">
      <c r="A15" s="410"/>
      <c r="B15" s="410"/>
      <c r="C15" s="367"/>
      <c r="D15" s="1395" t="s">
        <v>385</v>
      </c>
      <c r="E15" s="1396" t="s">
        <v>1860</v>
      </c>
      <c r="F15" s="1398"/>
      <c r="G15" s="1397" t="s">
        <v>1861</v>
      </c>
      <c r="H15" s="1404"/>
    </row>
    <row r="16" spans="1:9" ht="22.5" customHeight="1">
      <c r="A16" s="410"/>
      <c r="B16" s="410"/>
      <c r="C16" s="367"/>
      <c r="D16" s="1395" t="s">
        <v>388</v>
      </c>
      <c r="E16" s="1394" t="s">
        <v>1862</v>
      </c>
      <c r="F16" s="1402"/>
      <c r="G16" s="383" t="s">
        <v>1863</v>
      </c>
      <c r="H16" s="1404"/>
    </row>
    <row r="17" spans="1:9" ht="45" customHeight="1">
      <c r="A17" s="410"/>
      <c r="B17" s="410"/>
      <c r="C17" s="367"/>
      <c r="D17" s="1392">
        <v>3</v>
      </c>
      <c r="E17" s="1399" t="s">
        <v>1864</v>
      </c>
      <c r="F17" s="1398"/>
      <c r="G17" s="383" t="s">
        <v>1865</v>
      </c>
      <c r="H17" s="1404"/>
    </row>
    <row r="18" spans="1:9" ht="45" customHeight="1">
      <c r="A18" s="1347">
        <v>1</v>
      </c>
      <c r="B18" s="410"/>
      <c r="C18" s="1349"/>
      <c r="D18" s="1392" t="s">
        <v>88</v>
      </c>
      <c r="E18" s="1399" t="s">
        <v>1866</v>
      </c>
      <c r="F18" s="1398"/>
      <c r="G18" s="383" t="s">
        <v>1865</v>
      </c>
      <c r="H18" s="1404"/>
      <c r="I18" s="747"/>
    </row>
    <row r="19" spans="1:9" ht="22.5" customHeight="1">
      <c r="A19" s="410"/>
      <c r="B19" s="410"/>
      <c r="C19" s="367"/>
      <c r="D19" s="1392" t="s">
        <v>114</v>
      </c>
      <c r="E19" s="1399" t="s">
        <v>1867</v>
      </c>
      <c r="F19" s="1393" t="s">
        <v>384</v>
      </c>
      <c r="G19" s="5534" t="s">
        <v>1868</v>
      </c>
      <c r="H19" s="384"/>
    </row>
    <row r="20" spans="1:9" s="5161" customFormat="1" ht="5.25" hidden="1" customHeight="1">
      <c r="A20" s="410"/>
      <c r="B20" s="410"/>
      <c r="C20" s="1401"/>
      <c r="D20" s="1400" t="s">
        <v>1122</v>
      </c>
      <c r="E20" s="903"/>
      <c r="F20" s="902"/>
      <c r="G20" s="5535"/>
    </row>
    <row r="21" spans="1:9" ht="15" customHeight="1">
      <c r="A21" s="410"/>
      <c r="B21" s="410"/>
      <c r="C21" s="367"/>
      <c r="D21" s="376"/>
      <c r="E21" s="331" t="s">
        <v>417</v>
      </c>
      <c r="F21" s="378"/>
      <c r="G21" s="5536"/>
      <c r="H21" s="1404"/>
    </row>
    <row r="22" spans="1:9" s="4833" customFormat="1" ht="24.75" customHeight="1">
      <c r="A22" s="410"/>
      <c r="B22" s="410"/>
      <c r="C22" s="410"/>
      <c r="D22" s="1392" t="s">
        <v>89</v>
      </c>
      <c r="E22" s="383" t="s">
        <v>1869</v>
      </c>
      <c r="F22" s="1398"/>
      <c r="G22" s="383" t="s">
        <v>1870</v>
      </c>
      <c r="H22" s="1403"/>
    </row>
    <row r="23" spans="1:9" s="4833" customFormat="1" ht="18.75" customHeight="1">
      <c r="A23" s="410"/>
      <c r="B23" s="410"/>
      <c r="C23" s="410"/>
      <c r="D23" s="1392" t="s">
        <v>90</v>
      </c>
      <c r="E23" s="1399" t="s">
        <v>1871</v>
      </c>
      <c r="F23" s="1402"/>
      <c r="G23" s="383" t="s">
        <v>1872</v>
      </c>
      <c r="H23" s="1403"/>
    </row>
    <row r="24" spans="1:9" s="4833" customFormat="1" ht="144" hidden="1" customHeight="1">
      <c r="A24" s="410"/>
      <c r="B24" s="410"/>
      <c r="C24" s="410"/>
      <c r="D24" s="1392" t="s">
        <v>130</v>
      </c>
      <c r="E24" s="175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59"/>
      <c r="G24" s="175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03"/>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4862" hidden="1"/>
    <col min="2" max="2" width="9.140625" style="4854" hidden="1"/>
    <col min="3" max="3" width="3.7109375" style="4862" hidden="1" customWidth="1"/>
    <col min="4" max="4" width="3.85546875" style="4843" customWidth="1"/>
    <col min="5" max="5" width="6.28515625" style="4862" customWidth="1"/>
    <col min="6" max="6" width="46.7109375" style="4862" customWidth="1"/>
    <col min="7" max="8" width="16.7109375" style="4862" customWidth="1"/>
    <col min="9" max="9" width="35.28515625" style="4862" customWidth="1"/>
    <col min="10" max="10" width="89.5703125" style="4862" customWidth="1"/>
    <col min="11" max="11" width="3.7109375" style="5162" customWidth="1"/>
    <col min="12" max="14" width="9.140625" style="5162"/>
    <col min="15" max="15" width="25.7109375" style="4801" customWidth="1"/>
    <col min="16" max="16" width="14.42578125" style="5162" customWidth="1"/>
    <col min="17" max="20" width="9.140625" style="4802"/>
    <col min="21" max="254" width="9.140625" style="4862"/>
  </cols>
  <sheetData>
    <row r="1" spans="1:254" ht="14.25" hidden="1" customHeight="1"/>
    <row r="2" spans="1:254" s="4794" customFormat="1" ht="22.5" hidden="1" customHeight="1">
      <c r="A2" s="730"/>
      <c r="B2" s="1042">
        <v>1</v>
      </c>
      <c r="C2" s="1042"/>
      <c r="D2" s="1786" t="s">
        <v>101</v>
      </c>
      <c r="E2" s="1356"/>
      <c r="F2" s="1363"/>
      <c r="G2" s="1363"/>
      <c r="H2" s="1363"/>
      <c r="I2" s="1409"/>
      <c r="J2" s="150"/>
      <c r="K2" s="1406"/>
      <c r="L2" s="419"/>
      <c r="M2" s="419"/>
      <c r="N2" s="408" t="str">
        <f t="array" ref="N2">IF(ISERROR(MATCH(MID(O2,1,250),MID(note_ter,1,250),0)),"n","y")</f>
        <v>n</v>
      </c>
      <c r="O2" s="419"/>
      <c r="P2" s="408" t="str">
        <f>G2&amp;"("&amp;J2&amp;")"</f>
        <v>()</v>
      </c>
      <c r="Q2" s="1042"/>
      <c r="R2" s="1042"/>
      <c r="S2" s="335"/>
      <c r="T2" s="1042"/>
      <c r="U2" s="1042"/>
      <c r="V2" s="1042"/>
      <c r="W2" s="337"/>
      <c r="X2" s="337"/>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7"/>
      <c r="BU2" s="337"/>
      <c r="BV2" s="337"/>
      <c r="BW2" s="337"/>
      <c r="BX2" s="337"/>
      <c r="BY2" s="337"/>
      <c r="BZ2" s="337"/>
      <c r="CA2" s="337"/>
      <c r="CB2" s="337"/>
      <c r="CC2" s="337"/>
    </row>
    <row r="3" spans="1:254" s="4856" customFormat="1" ht="5.25" hidden="1" customHeight="1">
      <c r="A3" s="404"/>
      <c r="D3" s="402"/>
      <c r="F3" s="167" t="s">
        <v>80</v>
      </c>
      <c r="G3" s="402" t="s">
        <v>81</v>
      </c>
      <c r="H3" s="402"/>
      <c r="I3" s="402"/>
      <c r="J3" s="149" t="s">
        <v>82</v>
      </c>
      <c r="K3" s="167" t="s">
        <v>80</v>
      </c>
      <c r="L3" s="167"/>
      <c r="M3" s="167"/>
      <c r="N3" s="167"/>
      <c r="O3" s="168"/>
      <c r="P3" s="167"/>
      <c r="Q3" s="167"/>
      <c r="R3" s="167"/>
      <c r="S3" s="167"/>
      <c r="T3" s="167"/>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row>
    <row r="4" spans="1:254" s="4793" customFormat="1" ht="14.25" customHeight="1">
      <c r="A4" s="1037"/>
      <c r="B4" s="1042"/>
      <c r="C4" s="1037"/>
      <c r="D4" s="1367"/>
      <c r="E4" s="417"/>
      <c r="F4" s="417"/>
      <c r="G4" s="417"/>
      <c r="H4" s="417"/>
      <c r="I4" s="417"/>
      <c r="J4" s="89"/>
      <c r="K4" s="167"/>
      <c r="L4" s="408"/>
      <c r="M4" s="408"/>
      <c r="N4" s="408"/>
      <c r="O4" s="148"/>
      <c r="P4" s="408"/>
      <c r="Q4" s="147"/>
      <c r="R4" s="147"/>
      <c r="S4" s="147"/>
      <c r="T4" s="147"/>
    </row>
    <row r="5" spans="1:254" s="4793" customFormat="1" ht="25.5" customHeight="1">
      <c r="A5" s="1037"/>
      <c r="B5" s="1042"/>
      <c r="C5" s="1037"/>
      <c r="D5" s="1367"/>
      <c r="E5" s="521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5219"/>
      <c r="G5" s="5219"/>
      <c r="H5" s="5219"/>
      <c r="I5" s="5219"/>
      <c r="J5" s="5219"/>
      <c r="K5" s="167"/>
      <c r="L5" s="408"/>
      <c r="M5" s="408"/>
      <c r="N5" s="408"/>
      <c r="O5" s="148"/>
      <c r="P5" s="408"/>
      <c r="Q5" s="147"/>
      <c r="R5" s="147"/>
      <c r="S5" s="147"/>
      <c r="T5" s="147"/>
    </row>
    <row r="6" spans="1:254" s="4793" customFormat="1" ht="14.25" customHeight="1">
      <c r="A6" s="1037"/>
      <c r="B6" s="1042"/>
      <c r="C6" s="1037"/>
      <c r="D6" s="1367"/>
      <c r="E6" s="417"/>
      <c r="F6" s="90"/>
      <c r="G6" s="90"/>
      <c r="H6" s="90"/>
      <c r="I6" s="90"/>
      <c r="J6" s="91"/>
      <c r="K6" s="408"/>
      <c r="L6" s="408"/>
      <c r="M6" s="408"/>
      <c r="N6" s="408"/>
      <c r="O6" s="148"/>
      <c r="P6" s="408"/>
      <c r="Q6" s="147"/>
      <c r="R6" s="147"/>
      <c r="S6" s="147"/>
      <c r="T6" s="147"/>
    </row>
    <row r="7" spans="1:254" s="4793" customFormat="1" ht="14.25" customHeight="1">
      <c r="A7" s="1037"/>
      <c r="B7" s="1042"/>
      <c r="C7" s="1037"/>
      <c r="D7" s="1367"/>
      <c r="E7" s="5215" t="s">
        <v>378</v>
      </c>
      <c r="F7" s="5220"/>
      <c r="G7" s="5220"/>
      <c r="H7" s="5220"/>
      <c r="I7" s="5220"/>
      <c r="J7" s="5537" t="s">
        <v>379</v>
      </c>
      <c r="K7" s="408"/>
      <c r="L7" s="408"/>
      <c r="M7" s="408"/>
      <c r="N7" s="408"/>
      <c r="O7" s="148"/>
      <c r="P7" s="408"/>
      <c r="Q7" s="147"/>
      <c r="R7" s="147"/>
      <c r="S7" s="147"/>
      <c r="T7" s="147"/>
    </row>
    <row r="8" spans="1:254" s="4793" customFormat="1" ht="20.25" customHeight="1">
      <c r="A8" s="1037"/>
      <c r="B8" s="1042"/>
      <c r="C8" s="1037"/>
      <c r="D8" s="1367"/>
      <c r="E8" s="1418" t="s">
        <v>85</v>
      </c>
      <c r="F8" s="1411" t="s">
        <v>1873</v>
      </c>
      <c r="G8" s="1411" t="s">
        <v>46</v>
      </c>
      <c r="H8" s="1411" t="s">
        <v>48</v>
      </c>
      <c r="I8" s="1411" t="s">
        <v>1874</v>
      </c>
      <c r="J8" s="5538"/>
      <c r="K8" s="408"/>
      <c r="L8" s="408"/>
      <c r="M8" s="408"/>
      <c r="N8" s="408"/>
      <c r="O8" s="148"/>
      <c r="P8" s="408"/>
      <c r="Q8" s="147"/>
      <c r="R8" s="147"/>
      <c r="S8" s="147"/>
      <c r="T8" s="147"/>
    </row>
    <row r="9" spans="1:254" s="4794" customFormat="1" ht="22.5" customHeight="1">
      <c r="A9" s="5218"/>
      <c r="B9" s="1042">
        <v>1</v>
      </c>
      <c r="C9" s="1042"/>
      <c r="D9" s="700"/>
      <c r="E9" s="1356">
        <v>1</v>
      </c>
      <c r="F9" s="1417"/>
      <c r="G9" s="1363"/>
      <c r="H9" s="1363"/>
      <c r="I9" s="1409"/>
      <c r="J9" s="528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06"/>
      <c r="L9" s="419"/>
      <c r="M9" s="419"/>
      <c r="N9" s="408" t="str">
        <f t="array" ref="N9">IF(ISERROR(MATCH(MID(O9,1,250),MID(note_ter,1,250),0)),"n","y")</f>
        <v>n</v>
      </c>
      <c r="O9" s="419"/>
      <c r="P9" s="40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42"/>
      <c r="R9" s="1042"/>
      <c r="S9" s="335"/>
      <c r="T9" s="1042"/>
      <c r="U9" s="1042"/>
      <c r="V9" s="1042"/>
      <c r="W9" s="337"/>
      <c r="X9" s="337"/>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4"/>
      <c r="BS9" s="334"/>
      <c r="BT9" s="337"/>
      <c r="BU9" s="337"/>
      <c r="BV9" s="337"/>
      <c r="BW9" s="337"/>
      <c r="BX9" s="337"/>
      <c r="BY9" s="337"/>
      <c r="BZ9" s="337"/>
      <c r="CA9" s="337"/>
      <c r="CB9" s="337"/>
      <c r="CC9" s="337"/>
    </row>
    <row r="10" spans="1:254" s="4794" customFormat="1" ht="15" customHeight="1">
      <c r="A10" s="5218"/>
      <c r="B10" s="1042"/>
      <c r="C10" s="328"/>
      <c r="D10" s="700"/>
      <c r="E10" s="1412"/>
      <c r="F10" s="1372" t="s">
        <v>1875</v>
      </c>
      <c r="G10" s="1413"/>
      <c r="H10" s="1413"/>
      <c r="I10" s="1760"/>
      <c r="J10" s="5286"/>
      <c r="K10" s="1407"/>
      <c r="L10" s="419"/>
      <c r="M10" s="419"/>
      <c r="N10" s="419"/>
      <c r="O10" s="408"/>
      <c r="P10" s="419"/>
      <c r="Q10" s="1042"/>
      <c r="R10" s="1042"/>
      <c r="S10" s="335"/>
      <c r="T10" s="1042"/>
      <c r="U10" s="1042"/>
      <c r="V10" s="1042"/>
      <c r="W10" s="337"/>
      <c r="X10" s="337"/>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7"/>
      <c r="BU10" s="337"/>
      <c r="BV10" s="337"/>
      <c r="BW10" s="337"/>
      <c r="BX10" s="337"/>
      <c r="BY10" s="337"/>
      <c r="BZ10" s="337"/>
      <c r="CA10" s="337"/>
      <c r="CB10" s="337"/>
      <c r="CC10" s="337"/>
    </row>
    <row r="11" spans="1:254" s="4793" customFormat="1" ht="21" customHeight="1">
      <c r="A11" s="1037"/>
      <c r="B11" s="1042"/>
      <c r="C11" s="1037"/>
      <c r="D11" s="364"/>
      <c r="E11" s="103"/>
      <c r="F11" s="103"/>
      <c r="G11" s="103"/>
      <c r="H11" s="103"/>
      <c r="I11" s="103"/>
      <c r="J11" s="103"/>
      <c r="K11" s="408"/>
      <c r="L11" s="408"/>
      <c r="M11" s="408"/>
      <c r="N11" s="408"/>
      <c r="O11" s="148"/>
      <c r="P11" s="408"/>
      <c r="Q11" s="147"/>
      <c r="R11" s="147"/>
      <c r="S11" s="147"/>
      <c r="T11" s="147"/>
    </row>
    <row r="12" spans="1:254" s="4793" customFormat="1" ht="14.25" customHeight="1">
      <c r="A12" s="1037"/>
      <c r="B12" s="1042"/>
      <c r="C12" s="1037"/>
      <c r="D12" s="364"/>
      <c r="E12" s="1037"/>
      <c r="F12" s="1037"/>
      <c r="G12" s="1037"/>
      <c r="H12" s="1037"/>
      <c r="I12" s="1037"/>
      <c r="J12" s="1037"/>
      <c r="K12" s="408"/>
      <c r="L12" s="408"/>
      <c r="M12" s="408"/>
      <c r="N12" s="408"/>
      <c r="O12" s="148"/>
      <c r="P12" s="408"/>
      <c r="Q12" s="147"/>
      <c r="R12" s="147"/>
      <c r="S12" s="147"/>
      <c r="T12" s="147"/>
    </row>
    <row r="13" spans="1:254" s="4793" customFormat="1" ht="0.75" customHeight="1">
      <c r="A13" s="1037"/>
      <c r="B13" s="1042"/>
      <c r="C13" s="1037"/>
      <c r="D13" s="364"/>
      <c r="E13" s="1037"/>
      <c r="F13" s="1037"/>
      <c r="G13" s="1037"/>
      <c r="H13" s="1037"/>
      <c r="I13" s="1037"/>
      <c r="J13" s="1037"/>
      <c r="K13" s="408"/>
      <c r="L13" s="408"/>
      <c r="M13" s="408"/>
      <c r="N13" s="408"/>
      <c r="O13" s="148"/>
      <c r="P13" s="408"/>
      <c r="Q13" s="147"/>
      <c r="R13" s="147"/>
      <c r="S13" s="147"/>
      <c r="T13" s="147"/>
    </row>
    <row r="14" spans="1:254" s="4795" customFormat="1" ht="10.5" customHeight="1">
      <c r="B14" s="733"/>
      <c r="D14" s="105"/>
      <c r="K14" s="408"/>
      <c r="L14" s="408"/>
      <c r="M14" s="408"/>
      <c r="N14" s="408"/>
      <c r="O14" s="148"/>
      <c r="P14" s="408"/>
      <c r="Q14" s="147"/>
      <c r="R14" s="147"/>
      <c r="S14" s="147"/>
      <c r="T14" s="147"/>
    </row>
    <row r="15" spans="1:254" s="4795" customFormat="1" ht="10.5" customHeight="1">
      <c r="B15" s="733"/>
      <c r="D15" s="105"/>
      <c r="K15" s="408"/>
      <c r="L15" s="408"/>
      <c r="M15" s="408"/>
      <c r="N15" s="408"/>
      <c r="O15" s="148"/>
      <c r="P15" s="408"/>
      <c r="Q15" s="147"/>
      <c r="R15" s="147"/>
      <c r="S15" s="147"/>
      <c r="T15" s="147"/>
    </row>
    <row r="19" spans="7:13" ht="14.25" customHeight="1">
      <c r="G19" s="289"/>
      <c r="H19" s="289"/>
      <c r="I19" s="289"/>
    </row>
    <row r="23" spans="7:13" ht="14.25" customHeight="1">
      <c r="K23" s="1037"/>
      <c r="L23" s="1037"/>
      <c r="M23" s="1037"/>
    </row>
  </sheetData>
  <sheetProtection formatColumns="0" formatRows="0" insertRows="0" deleteColumns="0" deleteRows="0" sort="0" autoFilter="0"/>
  <mergeCells count="5">
    <mergeCell ref="E5:J5"/>
    <mergeCell ref="A9:A10"/>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4862" hidden="1"/>
    <col min="2" max="2" width="9.140625" style="4854" hidden="1"/>
    <col min="3" max="3" width="3.7109375" style="4862" hidden="1" customWidth="1"/>
    <col min="4" max="4" width="3.85546875" style="4843" customWidth="1"/>
    <col min="5" max="5" width="6.28515625" style="4862" customWidth="1"/>
    <col min="6" max="6" width="27.28515625" style="4862" customWidth="1"/>
    <col min="7" max="7" width="16.7109375" style="4862" customWidth="1"/>
    <col min="8" max="8" width="12.7109375" style="4862" customWidth="1"/>
    <col min="9" max="9" width="32.140625" style="4862" customWidth="1"/>
    <col min="10" max="11" width="41.85546875" style="4862" customWidth="1"/>
    <col min="12" max="12" width="89.5703125" style="4862" customWidth="1"/>
    <col min="13" max="13" width="3.7109375" style="5162" customWidth="1"/>
    <col min="14" max="16" width="9.140625" style="5162"/>
    <col min="17" max="17" width="25.7109375" style="4801" customWidth="1"/>
    <col min="18" max="18" width="14.42578125" style="5162" customWidth="1"/>
    <col min="19" max="22" width="9.140625" style="4802"/>
    <col min="23" max="256" width="9.140625" style="4862"/>
  </cols>
  <sheetData>
    <row r="1" spans="1:256" ht="14.25" hidden="1" customHeight="1"/>
    <row r="2" spans="1:256" s="4794" customFormat="1" ht="22.5" hidden="1" customHeight="1">
      <c r="A2" s="730"/>
      <c r="B2" s="1042">
        <v>1</v>
      </c>
      <c r="C2" s="1042"/>
      <c r="D2" s="1787" t="s">
        <v>101</v>
      </c>
      <c r="E2" s="1750"/>
      <c r="F2" s="1753" t="str">
        <f>IF(ROIV_INFO_NAME="","",ROIV_INFO_NAME)</f>
        <v>ООО «Газпром теплоэнерго МО»</v>
      </c>
      <c r="G2" s="1778" t="s">
        <v>24</v>
      </c>
      <c r="H2" s="1777"/>
      <c r="I2" s="1409"/>
      <c r="J2" s="717"/>
      <c r="K2" s="717"/>
      <c r="L2" s="150"/>
      <c r="M2" s="1406" t="e">
        <f ca="1">MERGEVALUE(F2)</f>
        <v>#NAME?</v>
      </c>
      <c r="N2" s="419"/>
      <c r="O2" s="419"/>
      <c r="P2" s="408" t="str">
        <f t="array" ref="P2">IF(ISERROR(MATCH(MID(Q2,1,250),MID(note_ter,1,250),0)),"n","y")</f>
        <v>n</v>
      </c>
      <c r="Q2" s="419"/>
      <c r="R2" s="408" t="str">
        <f>G2&amp;"("&amp;L2&amp;")"</f>
        <v>()</v>
      </c>
      <c r="S2" s="1042"/>
      <c r="T2" s="1042"/>
      <c r="U2" s="335"/>
      <c r="V2" s="1042"/>
      <c r="W2" s="1042"/>
      <c r="X2" s="1042"/>
      <c r="Y2" s="337"/>
      <c r="Z2" s="337"/>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7"/>
      <c r="BW2" s="337"/>
      <c r="BX2" s="337"/>
      <c r="BY2" s="337"/>
      <c r="BZ2" s="337"/>
      <c r="CA2" s="337"/>
      <c r="CB2" s="337"/>
      <c r="CC2" s="337"/>
      <c r="CD2" s="337"/>
      <c r="CE2" s="337"/>
    </row>
    <row r="3" spans="1:256" s="4856" customFormat="1" ht="5.25" hidden="1" customHeight="1">
      <c r="A3" s="404"/>
      <c r="D3" s="402"/>
      <c r="F3" s="167" t="s">
        <v>80</v>
      </c>
      <c r="G3" s="1598" t="s">
        <v>81</v>
      </c>
      <c r="H3" s="402"/>
      <c r="I3" s="402"/>
      <c r="J3" s="402"/>
      <c r="K3" s="402"/>
      <c r="L3" s="149" t="s">
        <v>82</v>
      </c>
      <c r="M3" s="167" t="s">
        <v>80</v>
      </c>
      <c r="N3" s="167"/>
      <c r="O3" s="167"/>
      <c r="P3" s="167"/>
      <c r="Q3" s="168"/>
      <c r="R3" s="167"/>
      <c r="S3" s="167"/>
      <c r="T3" s="167"/>
      <c r="U3" s="167"/>
      <c r="V3" s="167"/>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4793" customFormat="1" ht="14.25" customHeight="1">
      <c r="A4" s="1037"/>
      <c r="B4" s="1042"/>
      <c r="C4" s="1037"/>
      <c r="D4" s="1367"/>
      <c r="E4" s="417"/>
      <c r="F4" s="417"/>
      <c r="G4" s="417"/>
      <c r="H4" s="417"/>
      <c r="I4" s="417"/>
      <c r="J4" s="417"/>
      <c r="K4" s="417"/>
      <c r="L4" s="89"/>
      <c r="M4" s="167"/>
      <c r="N4" s="408"/>
      <c r="O4" s="408"/>
      <c r="P4" s="408"/>
      <c r="Q4" s="148"/>
      <c r="R4" s="408"/>
      <c r="S4" s="147"/>
      <c r="T4" s="147"/>
      <c r="U4" s="147"/>
      <c r="V4" s="147"/>
    </row>
    <row r="5" spans="1:256" s="4793" customFormat="1" ht="25.5" customHeight="1">
      <c r="A5" s="1037"/>
      <c r="B5" s="1042"/>
      <c r="C5" s="1037"/>
      <c r="D5" s="1367"/>
      <c r="E5" s="521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5219"/>
      <c r="G5" s="5219"/>
      <c r="H5" s="5219"/>
      <c r="I5" s="5219"/>
      <c r="J5" s="5219"/>
      <c r="K5" s="5219"/>
      <c r="L5" s="493"/>
      <c r="M5" s="167"/>
      <c r="N5" s="408"/>
      <c r="O5" s="408"/>
      <c r="P5" s="408"/>
      <c r="Q5" s="148"/>
      <c r="R5" s="408"/>
      <c r="S5" s="147"/>
      <c r="T5" s="147"/>
      <c r="U5" s="147"/>
      <c r="V5" s="147"/>
    </row>
    <row r="6" spans="1:256" s="4793" customFormat="1" ht="14.25" customHeight="1">
      <c r="A6" s="1037"/>
      <c r="B6" s="1042"/>
      <c r="C6" s="1037"/>
      <c r="D6" s="1367"/>
      <c r="E6" s="417"/>
      <c r="F6" s="90"/>
      <c r="G6" s="90"/>
      <c r="H6" s="90"/>
      <c r="I6" s="90"/>
      <c r="J6" s="90"/>
      <c r="K6" s="90"/>
      <c r="L6" s="91"/>
      <c r="M6" s="408"/>
      <c r="N6" s="408"/>
      <c r="O6" s="408"/>
      <c r="P6" s="408"/>
      <c r="Q6" s="148"/>
      <c r="R6" s="408"/>
      <c r="S6" s="147"/>
      <c r="T6" s="147"/>
      <c r="U6" s="147"/>
      <c r="V6" s="147"/>
    </row>
    <row r="7" spans="1:256" s="4793" customFormat="1" ht="14.25" customHeight="1">
      <c r="A7" s="1037"/>
      <c r="B7" s="1042"/>
      <c r="C7" s="1037"/>
      <c r="D7" s="1367"/>
      <c r="E7" s="5215" t="s">
        <v>378</v>
      </c>
      <c r="F7" s="5220"/>
      <c r="G7" s="5220"/>
      <c r="H7" s="5220"/>
      <c r="I7" s="5220"/>
      <c r="J7" s="5220"/>
      <c r="K7" s="5220"/>
      <c r="L7" s="5537" t="s">
        <v>379</v>
      </c>
      <c r="M7" s="408"/>
      <c r="N7" s="408"/>
      <c r="O7" s="408"/>
      <c r="P7" s="408"/>
      <c r="Q7" s="148"/>
      <c r="R7" s="408"/>
      <c r="S7" s="147"/>
      <c r="T7" s="147"/>
      <c r="U7" s="147"/>
      <c r="V7" s="147"/>
    </row>
    <row r="8" spans="1:256" s="4793" customFormat="1" ht="64.5" customHeight="1">
      <c r="A8" s="1037"/>
      <c r="B8" s="1042"/>
      <c r="C8" s="1037"/>
      <c r="D8" s="1367"/>
      <c r="E8" s="5541" t="s">
        <v>85</v>
      </c>
      <c r="F8" s="554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554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5544"/>
      <c r="I8" s="5545"/>
      <c r="J8" s="554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554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5539"/>
      <c r="M8" s="408"/>
      <c r="N8" s="408"/>
      <c r="O8" s="408"/>
      <c r="P8" s="408"/>
      <c r="Q8" s="148"/>
      <c r="R8" s="408"/>
      <c r="S8" s="147"/>
      <c r="T8" s="147"/>
      <c r="U8" s="147"/>
      <c r="V8" s="147"/>
    </row>
    <row r="9" spans="1:256" s="4793" customFormat="1" ht="27.75" customHeight="1">
      <c r="A9" s="1037"/>
      <c r="B9" s="1042"/>
      <c r="C9" s="1037"/>
      <c r="D9" s="1367"/>
      <c r="E9" s="5542"/>
      <c r="F9" s="5542"/>
      <c r="G9" s="1408" t="s">
        <v>1876</v>
      </c>
      <c r="H9" s="1408" t="s">
        <v>1877</v>
      </c>
      <c r="I9" s="1408" t="s">
        <v>1878</v>
      </c>
      <c r="J9" s="5542"/>
      <c r="K9" s="5542"/>
      <c r="L9" s="5538"/>
      <c r="M9" s="408"/>
      <c r="N9" s="408"/>
      <c r="O9" s="408"/>
      <c r="P9" s="408"/>
      <c r="Q9" s="148"/>
      <c r="R9" s="408"/>
      <c r="S9" s="147"/>
      <c r="T9" s="147"/>
      <c r="U9" s="147"/>
      <c r="V9" s="147"/>
    </row>
    <row r="10" spans="1:256" s="4794" customFormat="1" ht="22.5" customHeight="1">
      <c r="A10" s="5218"/>
      <c r="B10" s="1042">
        <v>1</v>
      </c>
      <c r="C10" s="1042"/>
      <c r="D10" s="699"/>
      <c r="E10" s="697">
        <v>1</v>
      </c>
      <c r="F10" s="1410" t="str">
        <f>IF(ROIV_INFO_NAME="","",ROIV_INFO_NAME)</f>
        <v>ООО «Газпром теплоэнерго МО»</v>
      </c>
      <c r="G10" s="1595" t="s">
        <v>24</v>
      </c>
      <c r="H10" s="1777"/>
      <c r="I10" s="1405"/>
      <c r="J10" s="717"/>
      <c r="K10" s="717"/>
      <c r="L10" s="55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06" t="e">
        <f ca="1">MERGEVALUE(F10)</f>
        <v>#NAME?</v>
      </c>
      <c r="N10" s="419"/>
      <c r="O10" s="419"/>
      <c r="P10" s="408" t="str">
        <f t="array" ref="P10">IF(ISERROR(MATCH(MID(Q10,1,250),MID(note_ter,1,250),0)),"n","y")</f>
        <v>n</v>
      </c>
      <c r="Q10" s="419"/>
      <c r="R10" s="40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42"/>
      <c r="T10" s="1042"/>
      <c r="U10" s="335"/>
      <c r="V10" s="1042"/>
      <c r="W10" s="1042"/>
      <c r="X10" s="1042"/>
      <c r="Y10" s="337"/>
      <c r="Z10" s="337"/>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7"/>
      <c r="BW10" s="337"/>
      <c r="BX10" s="337"/>
      <c r="BY10" s="337"/>
      <c r="BZ10" s="337"/>
      <c r="CA10" s="337"/>
      <c r="CB10" s="337"/>
      <c r="CC10" s="337"/>
      <c r="CD10" s="337"/>
      <c r="CE10" s="337"/>
    </row>
    <row r="11" spans="1:256" s="4794" customFormat="1" ht="15" customHeight="1">
      <c r="A11" s="5218"/>
      <c r="B11" s="1042"/>
      <c r="C11" s="328"/>
      <c r="D11" s="700"/>
      <c r="E11" s="336"/>
      <c r="F11" s="332" t="s">
        <v>1879</v>
      </c>
      <c r="G11" s="109"/>
      <c r="H11" s="109"/>
      <c r="I11" s="109"/>
      <c r="J11" s="109"/>
      <c r="K11" s="339"/>
      <c r="L11" s="5540"/>
      <c r="M11" s="1407"/>
      <c r="N11" s="419"/>
      <c r="O11" s="419"/>
      <c r="P11" s="419"/>
      <c r="Q11" s="408"/>
      <c r="R11" s="419"/>
      <c r="S11" s="1042"/>
      <c r="T11" s="1042"/>
      <c r="U11" s="335"/>
      <c r="V11" s="1042"/>
      <c r="W11" s="1042"/>
      <c r="X11" s="1042"/>
      <c r="Y11" s="337"/>
      <c r="Z11" s="337"/>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4"/>
      <c r="BS11" s="334"/>
      <c r="BT11" s="334"/>
      <c r="BU11" s="334"/>
      <c r="BV11" s="337"/>
      <c r="BW11" s="337"/>
      <c r="BX11" s="337"/>
      <c r="BY11" s="337"/>
      <c r="BZ11" s="337"/>
      <c r="CA11" s="337"/>
      <c r="CB11" s="337"/>
      <c r="CC11" s="337"/>
      <c r="CD11" s="337"/>
      <c r="CE11" s="337"/>
    </row>
    <row r="12" spans="1:256" s="4793" customFormat="1" ht="21" customHeight="1">
      <c r="A12" s="1037"/>
      <c r="B12" s="1042"/>
      <c r="C12" s="1037"/>
      <c r="D12" s="364"/>
      <c r="E12" s="103"/>
      <c r="F12" s="103"/>
      <c r="G12" s="103"/>
      <c r="H12" s="103"/>
      <c r="I12" s="103"/>
      <c r="J12" s="103"/>
      <c r="K12" s="103"/>
      <c r="L12" s="103"/>
      <c r="M12" s="408"/>
      <c r="N12" s="408"/>
      <c r="O12" s="408"/>
      <c r="P12" s="408"/>
      <c r="Q12" s="148"/>
      <c r="R12" s="408"/>
      <c r="S12" s="147"/>
      <c r="T12" s="147"/>
      <c r="U12" s="147"/>
      <c r="V12" s="147"/>
    </row>
    <row r="13" spans="1:256" s="4793" customFormat="1" ht="14.25" customHeight="1">
      <c r="A13" s="1037"/>
      <c r="B13" s="1042"/>
      <c r="C13" s="1037"/>
      <c r="D13" s="364"/>
      <c r="E13" s="1037"/>
      <c r="F13" s="1037"/>
      <c r="G13" s="1037"/>
      <c r="H13" s="1037"/>
      <c r="I13" s="1037"/>
      <c r="J13" s="1037"/>
      <c r="K13" s="1037"/>
      <c r="L13" s="1037"/>
      <c r="M13" s="408"/>
      <c r="N13" s="408"/>
      <c r="O13" s="408"/>
      <c r="P13" s="408"/>
      <c r="Q13" s="148"/>
      <c r="R13" s="408"/>
      <c r="S13" s="147"/>
      <c r="T13" s="147"/>
      <c r="U13" s="147"/>
      <c r="V13" s="147"/>
    </row>
    <row r="14" spans="1:256" s="4793" customFormat="1" ht="0.75" customHeight="1">
      <c r="A14" s="1037"/>
      <c r="B14" s="1042"/>
      <c r="C14" s="1037"/>
      <c r="D14" s="364"/>
      <c r="E14" s="1037"/>
      <c r="F14" s="1037"/>
      <c r="G14" s="1037"/>
      <c r="H14" s="1037"/>
      <c r="I14" s="1037"/>
      <c r="J14" s="1037"/>
      <c r="K14" s="1037"/>
      <c r="L14" s="1037"/>
      <c r="M14" s="408"/>
      <c r="N14" s="408"/>
      <c r="O14" s="408"/>
      <c r="P14" s="408"/>
      <c r="Q14" s="148"/>
      <c r="R14" s="408"/>
      <c r="S14" s="147"/>
      <c r="T14" s="147"/>
      <c r="U14" s="147"/>
      <c r="V14" s="147"/>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4868" hidden="1"/>
    <col min="2" max="2" width="9.140625" style="4865" hidden="1"/>
    <col min="3" max="3" width="3.7109375" style="4868" hidden="1" customWidth="1"/>
    <col min="4" max="4" width="3.85546875" style="5164" customWidth="1"/>
    <col min="5" max="5" width="6.28515625" style="4868" customWidth="1"/>
    <col min="6" max="6" width="27.28515625" style="4868" customWidth="1"/>
    <col min="7" max="7" width="16.7109375" style="4868" customWidth="1"/>
    <col min="8" max="8" width="12.7109375" style="4868" customWidth="1"/>
    <col min="9" max="9" width="32.140625" style="4868" customWidth="1"/>
    <col min="10" max="11" width="41.85546875" style="4868" customWidth="1"/>
    <col min="12" max="12" width="89.5703125" style="4868" customWidth="1"/>
    <col min="13" max="13" width="3.7109375" style="5165" customWidth="1"/>
    <col min="14" max="16" width="9.140625" style="5165"/>
    <col min="17" max="17" width="25.7109375" style="5165" customWidth="1"/>
    <col min="18" max="18" width="14.42578125" style="5165" customWidth="1"/>
    <col min="19" max="22" width="9.140625" style="4802"/>
    <col min="23" max="256" width="9.140625" style="4868"/>
  </cols>
  <sheetData>
    <row r="1" spans="1:256" ht="14.25" hidden="1" customHeight="1"/>
    <row r="2" spans="1:256" s="5163" customFormat="1" ht="22.5" hidden="1" customHeight="1">
      <c r="A2" s="730"/>
      <c r="B2" s="1244">
        <v>1</v>
      </c>
      <c r="C2" s="1244"/>
      <c r="D2" s="1788" t="s">
        <v>101</v>
      </c>
      <c r="E2" s="1765"/>
      <c r="F2" s="1767" t="str">
        <f>IF(ROIV_INFO_NAME="","",ROIV_INFO_NAME)</f>
        <v>ООО «Газпром теплоэнерго МО»</v>
      </c>
      <c r="G2" s="1595" t="s">
        <v>24</v>
      </c>
      <c r="H2" s="1777"/>
      <c r="I2" s="1409"/>
      <c r="J2" s="717"/>
      <c r="K2" s="717"/>
      <c r="L2" s="150"/>
      <c r="M2" s="1406" t="e">
        <f ca="1">MERGEVALUE(F2)</f>
        <v>#NAME?</v>
      </c>
      <c r="N2" s="1500"/>
      <c r="O2" s="1500"/>
      <c r="P2" s="1488" t="str">
        <f t="array" ref="P2">IF(ISERROR(MATCH(MID(Q2,1,250),MID(note_ter,1,250),0)),"n","y")</f>
        <v>n</v>
      </c>
      <c r="Q2" s="1500"/>
      <c r="R2" s="1488" t="str">
        <f>G2&amp;"("&amp;L2&amp;")"</f>
        <v>()</v>
      </c>
      <c r="S2" s="1244"/>
      <c r="T2" s="1244"/>
      <c r="U2" s="335"/>
      <c r="V2" s="1244"/>
      <c r="W2" s="1244"/>
      <c r="X2" s="1244"/>
      <c r="Y2" s="732"/>
      <c r="Z2" s="732"/>
      <c r="AA2" s="530"/>
      <c r="AB2" s="530"/>
      <c r="AC2" s="530"/>
      <c r="AD2" s="530"/>
      <c r="AE2" s="530"/>
      <c r="AF2" s="530"/>
      <c r="AG2" s="530"/>
      <c r="AH2" s="530"/>
      <c r="AI2" s="530"/>
      <c r="AJ2" s="530"/>
      <c r="AK2" s="530"/>
      <c r="AL2" s="530"/>
      <c r="AM2" s="530"/>
      <c r="AN2" s="530"/>
      <c r="AO2" s="530"/>
      <c r="AP2" s="530"/>
      <c r="AQ2" s="530"/>
      <c r="AR2" s="530"/>
      <c r="AS2" s="530"/>
      <c r="AT2" s="530"/>
      <c r="AU2" s="530"/>
      <c r="AV2" s="530"/>
      <c r="AW2" s="530"/>
      <c r="AX2" s="530"/>
      <c r="AY2" s="530"/>
      <c r="AZ2" s="530"/>
      <c r="BA2" s="530"/>
      <c r="BB2" s="530"/>
      <c r="BC2" s="530"/>
      <c r="BD2" s="530"/>
      <c r="BE2" s="530"/>
      <c r="BF2" s="530"/>
      <c r="BG2" s="530"/>
      <c r="BH2" s="530"/>
      <c r="BI2" s="530"/>
      <c r="BJ2" s="530"/>
      <c r="BK2" s="530"/>
      <c r="BL2" s="530"/>
      <c r="BM2" s="530"/>
      <c r="BN2" s="530"/>
      <c r="BO2" s="530"/>
      <c r="BP2" s="530"/>
      <c r="BQ2" s="530"/>
      <c r="BR2" s="530"/>
      <c r="BS2" s="530"/>
      <c r="BT2" s="530"/>
      <c r="BU2" s="530"/>
      <c r="BV2" s="732"/>
      <c r="BW2" s="732"/>
      <c r="BX2" s="732"/>
      <c r="BY2" s="732"/>
      <c r="BZ2" s="732"/>
      <c r="CA2" s="732"/>
      <c r="CB2" s="732"/>
      <c r="CC2" s="732"/>
      <c r="CD2" s="732"/>
      <c r="CE2" s="732"/>
    </row>
    <row r="3" spans="1:256" s="4867" customFormat="1" ht="5.25" hidden="1" customHeight="1">
      <c r="A3" s="1505"/>
      <c r="D3" s="1754"/>
      <c r="F3" s="168" t="s">
        <v>80</v>
      </c>
      <c r="G3" s="1598" t="s">
        <v>81</v>
      </c>
      <c r="H3" s="1754"/>
      <c r="I3" s="1754"/>
      <c r="J3" s="1754"/>
      <c r="K3" s="1754"/>
      <c r="L3" s="149" t="s">
        <v>82</v>
      </c>
      <c r="M3" s="168" t="s">
        <v>80</v>
      </c>
      <c r="N3" s="168"/>
      <c r="O3" s="168"/>
      <c r="P3" s="168"/>
      <c r="Q3" s="168"/>
      <c r="R3" s="168"/>
      <c r="S3" s="168"/>
      <c r="T3" s="168"/>
      <c r="U3" s="168"/>
      <c r="V3" s="168"/>
      <c r="W3" s="149"/>
      <c r="X3" s="149"/>
      <c r="Y3" s="149"/>
      <c r="Z3" s="149"/>
      <c r="AA3" s="149"/>
      <c r="AB3" s="149"/>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49"/>
      <c r="BC3" s="149"/>
      <c r="BD3" s="149"/>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c r="CG3" s="149"/>
      <c r="CH3" s="149"/>
      <c r="CI3" s="149"/>
      <c r="CJ3" s="149"/>
      <c r="CK3" s="149"/>
      <c r="CL3" s="149"/>
      <c r="CM3" s="149"/>
      <c r="CN3" s="149"/>
      <c r="CO3" s="149"/>
      <c r="CP3" s="149"/>
      <c r="CQ3" s="149"/>
      <c r="CR3" s="149"/>
      <c r="CS3" s="149"/>
      <c r="CT3" s="149"/>
      <c r="CU3" s="149"/>
      <c r="CV3" s="149"/>
      <c r="CW3" s="149"/>
      <c r="CX3" s="149"/>
      <c r="CY3" s="149"/>
      <c r="CZ3" s="149"/>
      <c r="DA3" s="149"/>
      <c r="DB3" s="149"/>
      <c r="DC3" s="149"/>
      <c r="DD3" s="149"/>
      <c r="DE3" s="149"/>
      <c r="DF3" s="149"/>
      <c r="DG3" s="149"/>
      <c r="DH3" s="149"/>
      <c r="DI3" s="149"/>
      <c r="DJ3" s="149"/>
      <c r="DK3" s="149"/>
      <c r="DL3" s="149"/>
      <c r="DM3" s="149"/>
      <c r="DN3" s="149"/>
      <c r="DO3" s="149"/>
      <c r="DP3" s="149"/>
      <c r="DQ3" s="149"/>
      <c r="DR3" s="149"/>
      <c r="DS3" s="149"/>
      <c r="DT3" s="149"/>
      <c r="DU3" s="149"/>
      <c r="DV3" s="149"/>
      <c r="DW3" s="149"/>
      <c r="DX3" s="149"/>
      <c r="DY3" s="149"/>
      <c r="DZ3" s="149"/>
      <c r="EA3" s="149"/>
      <c r="EB3" s="149"/>
      <c r="EC3" s="149"/>
      <c r="ED3" s="149"/>
      <c r="EE3" s="149"/>
      <c r="EF3" s="149"/>
      <c r="EG3" s="149"/>
      <c r="EH3" s="149"/>
      <c r="EI3" s="149"/>
      <c r="EJ3" s="149"/>
      <c r="EK3" s="149"/>
      <c r="EL3" s="149"/>
      <c r="EM3" s="149"/>
      <c r="EN3" s="149"/>
      <c r="EO3" s="149"/>
      <c r="EP3" s="149"/>
      <c r="EQ3" s="149"/>
      <c r="ER3" s="149"/>
      <c r="ES3" s="149"/>
      <c r="ET3" s="149"/>
      <c r="EU3" s="149"/>
      <c r="EV3" s="149"/>
      <c r="EW3" s="149"/>
      <c r="EX3" s="149"/>
      <c r="EY3" s="149"/>
      <c r="EZ3" s="149"/>
      <c r="FA3" s="149"/>
      <c r="FB3" s="149"/>
      <c r="FC3" s="149"/>
      <c r="FD3" s="149"/>
      <c r="FE3" s="149"/>
      <c r="FF3" s="149"/>
      <c r="FG3" s="149"/>
      <c r="FH3" s="149"/>
      <c r="FI3" s="149"/>
      <c r="FJ3" s="149"/>
      <c r="FK3" s="149"/>
      <c r="FL3" s="149"/>
      <c r="FM3" s="149"/>
      <c r="FN3" s="149"/>
      <c r="FO3" s="149"/>
      <c r="FP3" s="149"/>
      <c r="FQ3" s="149"/>
      <c r="FR3" s="149"/>
      <c r="FS3" s="149"/>
      <c r="FT3" s="149"/>
      <c r="FU3" s="149"/>
      <c r="FV3" s="149"/>
      <c r="FW3" s="149"/>
      <c r="FX3" s="149"/>
      <c r="FY3" s="149"/>
      <c r="FZ3" s="149"/>
      <c r="GA3" s="149"/>
      <c r="GB3" s="149"/>
      <c r="GC3" s="149"/>
      <c r="GD3" s="149"/>
      <c r="GE3" s="149"/>
      <c r="GF3" s="149"/>
      <c r="GG3" s="149"/>
      <c r="GH3" s="149"/>
      <c r="GI3" s="149"/>
      <c r="GJ3" s="149"/>
      <c r="GK3" s="149"/>
      <c r="GL3" s="149"/>
      <c r="GM3" s="149"/>
      <c r="GN3" s="149"/>
      <c r="GO3" s="149"/>
      <c r="GP3" s="149"/>
      <c r="GQ3" s="149"/>
      <c r="GR3" s="149"/>
      <c r="GS3" s="149"/>
      <c r="GT3" s="149"/>
      <c r="GU3" s="149"/>
      <c r="GV3" s="149"/>
      <c r="GW3" s="149"/>
      <c r="GX3" s="149"/>
      <c r="GY3" s="149"/>
      <c r="GZ3" s="149"/>
      <c r="HA3" s="149"/>
      <c r="HB3" s="149"/>
      <c r="HC3" s="149"/>
      <c r="HD3" s="149"/>
      <c r="HE3" s="149"/>
      <c r="HF3" s="149"/>
      <c r="HG3" s="149"/>
      <c r="HH3" s="149"/>
      <c r="HI3" s="149"/>
      <c r="HJ3" s="149"/>
      <c r="HK3" s="149"/>
      <c r="HL3" s="149"/>
      <c r="HM3" s="149"/>
      <c r="HN3" s="149"/>
      <c r="HO3" s="149"/>
      <c r="HP3" s="149"/>
      <c r="HQ3" s="149"/>
      <c r="HR3" s="149"/>
      <c r="HS3" s="149"/>
      <c r="HT3" s="149"/>
      <c r="HU3" s="149"/>
      <c r="HV3" s="149"/>
      <c r="HW3" s="149"/>
      <c r="HX3" s="149"/>
      <c r="HY3" s="149"/>
      <c r="HZ3" s="149"/>
      <c r="IA3" s="149"/>
      <c r="IB3" s="149"/>
      <c r="IC3" s="149"/>
      <c r="ID3" s="149"/>
      <c r="IE3" s="149"/>
      <c r="IF3" s="149"/>
      <c r="IG3" s="149"/>
      <c r="IH3" s="149"/>
      <c r="II3" s="149"/>
      <c r="IJ3" s="149"/>
      <c r="IK3" s="149"/>
      <c r="IL3" s="149"/>
      <c r="IM3" s="149"/>
      <c r="IN3" s="149"/>
      <c r="IO3" s="149"/>
      <c r="IP3" s="149"/>
      <c r="IQ3" s="149"/>
      <c r="IR3" s="149"/>
      <c r="IS3" s="149"/>
      <c r="IT3" s="149"/>
      <c r="IU3" s="149"/>
      <c r="IV3" s="149"/>
    </row>
    <row r="4" spans="1:256" s="4829" customFormat="1" ht="14.25" customHeight="1">
      <c r="A4" s="1495"/>
      <c r="B4" s="1244"/>
      <c r="C4" s="1495"/>
      <c r="D4" s="1387"/>
      <c r="E4" s="1499"/>
      <c r="F4" s="1499"/>
      <c r="G4" s="1499"/>
      <c r="H4" s="1499"/>
      <c r="I4" s="1499"/>
      <c r="J4" s="1499"/>
      <c r="K4" s="1499"/>
      <c r="L4" s="1756"/>
      <c r="M4" s="168"/>
      <c r="N4" s="1488"/>
      <c r="O4" s="1488"/>
      <c r="P4" s="1488"/>
      <c r="Q4" s="1488"/>
      <c r="R4" s="1488"/>
      <c r="S4" s="147"/>
      <c r="T4" s="147"/>
      <c r="U4" s="147"/>
      <c r="V4" s="147"/>
    </row>
    <row r="5" spans="1:256" s="4829" customFormat="1" ht="25.5" customHeight="1">
      <c r="A5" s="1495"/>
      <c r="B5" s="1244"/>
      <c r="C5" s="1495"/>
      <c r="D5" s="1387"/>
      <c r="E5" s="521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5219"/>
      <c r="G5" s="5219"/>
      <c r="H5" s="5219"/>
      <c r="I5" s="5219"/>
      <c r="J5" s="5219"/>
      <c r="K5" s="5219"/>
      <c r="L5" s="1499"/>
      <c r="M5" s="168"/>
      <c r="N5" s="1488"/>
      <c r="O5" s="1488"/>
      <c r="P5" s="1488"/>
      <c r="Q5" s="1488"/>
      <c r="R5" s="1488"/>
      <c r="S5" s="147"/>
      <c r="T5" s="147"/>
      <c r="U5" s="147"/>
      <c r="V5" s="147"/>
    </row>
    <row r="6" spans="1:256" s="4829" customFormat="1" ht="14.25" customHeight="1">
      <c r="A6" s="1495"/>
      <c r="B6" s="1244"/>
      <c r="C6" s="1495"/>
      <c r="D6" s="1387"/>
      <c r="E6" s="1499"/>
      <c r="F6" s="519"/>
      <c r="G6" s="519"/>
      <c r="H6" s="519"/>
      <c r="I6" s="519"/>
      <c r="J6" s="519"/>
      <c r="K6" s="519"/>
      <c r="L6" s="1135"/>
      <c r="M6" s="1488"/>
      <c r="N6" s="1488"/>
      <c r="O6" s="1488"/>
      <c r="P6" s="1488"/>
      <c r="Q6" s="1488"/>
      <c r="R6" s="1488"/>
      <c r="S6" s="147"/>
      <c r="T6" s="147"/>
      <c r="U6" s="147"/>
      <c r="V6" s="147"/>
    </row>
    <row r="7" spans="1:256" s="4829" customFormat="1" ht="14.25" customHeight="1">
      <c r="A7" s="1495"/>
      <c r="B7" s="1244"/>
      <c r="C7" s="1495"/>
      <c r="D7" s="1387"/>
      <c r="E7" s="5215" t="s">
        <v>378</v>
      </c>
      <c r="F7" s="5220"/>
      <c r="G7" s="5220"/>
      <c r="H7" s="5220"/>
      <c r="I7" s="5220"/>
      <c r="J7" s="5220"/>
      <c r="K7" s="5220"/>
      <c r="L7" s="5537" t="s">
        <v>379</v>
      </c>
      <c r="M7" s="1488"/>
      <c r="N7" s="1488"/>
      <c r="O7" s="1488"/>
      <c r="P7" s="1488"/>
      <c r="Q7" s="1488"/>
      <c r="R7" s="1488"/>
      <c r="S7" s="147"/>
      <c r="T7" s="147"/>
      <c r="U7" s="147"/>
      <c r="V7" s="147"/>
    </row>
    <row r="8" spans="1:256" s="4829" customFormat="1" ht="64.5" customHeight="1">
      <c r="A8" s="1495"/>
      <c r="B8" s="1244"/>
      <c r="C8" s="1495"/>
      <c r="D8" s="1387"/>
      <c r="E8" s="5541" t="s">
        <v>85</v>
      </c>
      <c r="F8" s="5541" t="s">
        <v>1880</v>
      </c>
      <c r="G8" s="5543" t="s">
        <v>1881</v>
      </c>
      <c r="H8" s="5544"/>
      <c r="I8" s="5545"/>
      <c r="J8" s="5541" t="s">
        <v>1882</v>
      </c>
      <c r="K8" s="554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5539"/>
      <c r="M8" s="1488"/>
      <c r="N8" s="1488"/>
      <c r="O8" s="1488"/>
      <c r="P8" s="1488"/>
      <c r="Q8" s="1488"/>
      <c r="R8" s="1488"/>
      <c r="S8" s="147"/>
      <c r="T8" s="147"/>
      <c r="U8" s="147"/>
      <c r="V8" s="147"/>
    </row>
    <row r="9" spans="1:256" s="4829" customFormat="1" ht="27.75" customHeight="1">
      <c r="A9" s="1495"/>
      <c r="B9" s="1244"/>
      <c r="C9" s="1495"/>
      <c r="D9" s="1387"/>
      <c r="E9" s="5542"/>
      <c r="F9" s="5542"/>
      <c r="G9" s="1755" t="s">
        <v>1876</v>
      </c>
      <c r="H9" s="1755" t="s">
        <v>1877</v>
      </c>
      <c r="I9" s="1755" t="s">
        <v>1878</v>
      </c>
      <c r="J9" s="5542"/>
      <c r="K9" s="5542"/>
      <c r="L9" s="5538"/>
      <c r="M9" s="1488"/>
      <c r="N9" s="1488"/>
      <c r="O9" s="1488"/>
      <c r="P9" s="1488"/>
      <c r="Q9" s="1488"/>
      <c r="R9" s="1488"/>
      <c r="S9" s="147"/>
      <c r="T9" s="147"/>
      <c r="U9" s="147"/>
      <c r="V9" s="147"/>
    </row>
    <row r="10" spans="1:256" s="5163" customFormat="1" ht="0.75" customHeight="1">
      <c r="A10" s="5218"/>
      <c r="B10" s="1244">
        <v>1</v>
      </c>
      <c r="C10" s="1244"/>
      <c r="D10" s="699"/>
      <c r="E10" s="694">
        <v>0</v>
      </c>
      <c r="F10" s="1752" t="str">
        <f>IF(ROIV_INFO_NAME="","",ROIV_INFO_NAME)</f>
        <v>ООО «Газпром теплоэнерго МО»</v>
      </c>
      <c r="G10" s="1596" t="s">
        <v>24</v>
      </c>
      <c r="H10" s="1764"/>
      <c r="I10" s="1764"/>
      <c r="J10" s="427"/>
      <c r="K10" s="427"/>
      <c r="L10" s="550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06" t="e">
        <f ca="1">MERGEVALUE(F10)</f>
        <v>#NAME?</v>
      </c>
      <c r="N10" s="1500"/>
      <c r="O10" s="1500"/>
      <c r="P10" s="1488" t="str">
        <f t="array" ref="P10">IF(ISERROR(MATCH(MID(Q10,1,250),MID(note_ter,1,250),0)),"n","y")</f>
        <v>n</v>
      </c>
      <c r="Q10" s="1500"/>
      <c r="R10" s="148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44"/>
      <c r="T10" s="1244"/>
      <c r="U10" s="335"/>
      <c r="V10" s="1244"/>
      <c r="W10" s="1244"/>
      <c r="X10" s="1244"/>
      <c r="Y10" s="732"/>
      <c r="Z10" s="732"/>
      <c r="AA10" s="530"/>
      <c r="AB10" s="530"/>
      <c r="AC10" s="530"/>
      <c r="AD10" s="530"/>
      <c r="AE10" s="530"/>
      <c r="AF10" s="530"/>
      <c r="AG10" s="530"/>
      <c r="AH10" s="530"/>
      <c r="AI10" s="530"/>
      <c r="AJ10" s="530"/>
      <c r="AK10" s="530"/>
      <c r="AL10" s="530"/>
      <c r="AM10" s="530"/>
      <c r="AN10" s="530"/>
      <c r="AO10" s="530"/>
      <c r="AP10" s="530"/>
      <c r="AQ10" s="530"/>
      <c r="AR10" s="530"/>
      <c r="AS10" s="530"/>
      <c r="AT10" s="530"/>
      <c r="AU10" s="530"/>
      <c r="AV10" s="530"/>
      <c r="AW10" s="530"/>
      <c r="AX10" s="530"/>
      <c r="AY10" s="530"/>
      <c r="AZ10" s="530"/>
      <c r="BA10" s="530"/>
      <c r="BB10" s="530"/>
      <c r="BC10" s="530"/>
      <c r="BD10" s="530"/>
      <c r="BE10" s="530"/>
      <c r="BF10" s="530"/>
      <c r="BG10" s="530"/>
      <c r="BH10" s="530"/>
      <c r="BI10" s="530"/>
      <c r="BJ10" s="530"/>
      <c r="BK10" s="530"/>
      <c r="BL10" s="530"/>
      <c r="BM10" s="530"/>
      <c r="BN10" s="530"/>
      <c r="BO10" s="530"/>
      <c r="BP10" s="530"/>
      <c r="BQ10" s="530"/>
      <c r="BR10" s="530"/>
      <c r="BS10" s="530"/>
      <c r="BT10" s="530"/>
      <c r="BU10" s="530"/>
      <c r="BV10" s="732"/>
      <c r="BW10" s="732"/>
      <c r="BX10" s="732"/>
      <c r="BY10" s="732"/>
      <c r="BZ10" s="732"/>
      <c r="CA10" s="732"/>
      <c r="CB10" s="732"/>
      <c r="CC10" s="732"/>
      <c r="CD10" s="732"/>
      <c r="CE10" s="732"/>
    </row>
    <row r="11" spans="1:256" s="5163" customFormat="1" ht="15" customHeight="1">
      <c r="A11" s="5218"/>
      <c r="B11" s="1244"/>
      <c r="C11" s="328"/>
      <c r="D11" s="700"/>
      <c r="E11" s="336"/>
      <c r="F11" s="554" t="s">
        <v>1879</v>
      </c>
      <c r="G11" s="109"/>
      <c r="H11" s="109"/>
      <c r="I11" s="109"/>
      <c r="J11" s="109"/>
      <c r="K11" s="339"/>
      <c r="L11" s="5540"/>
      <c r="M11" s="1407"/>
      <c r="N11" s="1500"/>
      <c r="O11" s="1500"/>
      <c r="P11" s="1500"/>
      <c r="Q11" s="1488"/>
      <c r="R11" s="1500"/>
      <c r="S11" s="1244"/>
      <c r="T11" s="1244"/>
      <c r="U11" s="335"/>
      <c r="V11" s="1244"/>
      <c r="W11" s="1244"/>
      <c r="X11" s="1244"/>
      <c r="Y11" s="732"/>
      <c r="Z11" s="732"/>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0"/>
      <c r="AY11" s="530"/>
      <c r="AZ11" s="530"/>
      <c r="BA11" s="530"/>
      <c r="BB11" s="530"/>
      <c r="BC11" s="530"/>
      <c r="BD11" s="530"/>
      <c r="BE11" s="530"/>
      <c r="BF11" s="530"/>
      <c r="BG11" s="530"/>
      <c r="BH11" s="530"/>
      <c r="BI11" s="530"/>
      <c r="BJ11" s="530"/>
      <c r="BK11" s="530"/>
      <c r="BL11" s="530"/>
      <c r="BM11" s="530"/>
      <c r="BN11" s="530"/>
      <c r="BO11" s="530"/>
      <c r="BP11" s="530"/>
      <c r="BQ11" s="530"/>
      <c r="BR11" s="530"/>
      <c r="BS11" s="530"/>
      <c r="BT11" s="530"/>
      <c r="BU11" s="530"/>
      <c r="BV11" s="732"/>
      <c r="BW11" s="732"/>
      <c r="BX11" s="732"/>
      <c r="BY11" s="732"/>
      <c r="BZ11" s="732"/>
      <c r="CA11" s="732"/>
      <c r="CB11" s="732"/>
      <c r="CC11" s="732"/>
      <c r="CD11" s="732"/>
      <c r="CE11" s="732"/>
    </row>
    <row r="12" spans="1:256" s="4829" customFormat="1" ht="21" customHeight="1">
      <c r="A12" s="1495"/>
      <c r="B12" s="1244"/>
      <c r="C12" s="1495"/>
      <c r="D12" s="1497"/>
      <c r="E12" s="103"/>
      <c r="F12" s="103"/>
      <c r="G12" s="103"/>
      <c r="H12" s="103"/>
      <c r="I12" s="103"/>
      <c r="J12" s="103"/>
      <c r="K12" s="103"/>
      <c r="L12" s="103"/>
      <c r="M12" s="1488"/>
      <c r="N12" s="1488"/>
      <c r="O12" s="1488"/>
      <c r="P12" s="1488"/>
      <c r="Q12" s="1488"/>
      <c r="R12" s="1488"/>
      <c r="S12" s="147"/>
      <c r="T12" s="147"/>
      <c r="U12" s="147"/>
      <c r="V12" s="147"/>
    </row>
    <row r="13" spans="1:256" s="4829" customFormat="1" ht="14.25" customHeight="1">
      <c r="A13" s="1495"/>
      <c r="B13" s="1244"/>
      <c r="C13" s="1495"/>
      <c r="D13" s="1497"/>
      <c r="E13" s="1495"/>
      <c r="F13" s="1495"/>
      <c r="G13" s="1495"/>
      <c r="H13" s="1495"/>
      <c r="I13" s="1495"/>
      <c r="J13" s="1495"/>
      <c r="K13" s="1495"/>
      <c r="L13" s="1495"/>
      <c r="M13" s="1488"/>
      <c r="N13" s="1488"/>
      <c r="O13" s="1488"/>
      <c r="P13" s="1488"/>
      <c r="Q13" s="1488"/>
      <c r="R13" s="1488"/>
      <c r="S13" s="147"/>
      <c r="T13" s="147"/>
      <c r="U13" s="147"/>
      <c r="V13" s="147"/>
    </row>
    <row r="14" spans="1:256" s="4829" customFormat="1" ht="0.75" customHeight="1">
      <c r="A14" s="1495"/>
      <c r="B14" s="1244"/>
      <c r="C14" s="1495"/>
      <c r="D14" s="1497"/>
      <c r="E14" s="1495"/>
      <c r="F14" s="1495"/>
      <c r="G14" s="1495"/>
      <c r="H14" s="1495"/>
      <c r="I14" s="1495"/>
      <c r="J14" s="1495"/>
      <c r="K14" s="1495"/>
      <c r="L14" s="1495"/>
      <c r="M14" s="1488"/>
      <c r="N14" s="1488"/>
      <c r="O14" s="1488"/>
      <c r="P14" s="1488"/>
      <c r="Q14" s="1488"/>
      <c r="R14" s="1488"/>
      <c r="S14" s="147"/>
      <c r="T14" s="147"/>
      <c r="U14" s="147"/>
      <c r="V14" s="147"/>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4862" hidden="1"/>
    <col min="2" max="2" width="9.140625" style="4854" hidden="1"/>
    <col min="3" max="3" width="3.7109375" style="4862" hidden="1" customWidth="1"/>
    <col min="4" max="4" width="3.85546875" style="4843" customWidth="1"/>
    <col min="5" max="5" width="6.28515625" style="4862" customWidth="1"/>
    <col min="6" max="6" width="27.28515625" style="4862" customWidth="1"/>
    <col min="7" max="7" width="29.28515625" style="4862" customWidth="1"/>
    <col min="8" max="8" width="25.42578125" style="4862" customWidth="1"/>
    <col min="9" max="9" width="5.5703125" style="4862" customWidth="1"/>
    <col min="10" max="10" width="6.5703125" style="4862" customWidth="1"/>
    <col min="11" max="11" width="41.85546875" style="4862" customWidth="1"/>
    <col min="12" max="12" width="42.42578125" style="4862" customWidth="1"/>
    <col min="13" max="13" width="41.5703125" style="4862" customWidth="1"/>
    <col min="14" max="14" width="89.5703125" style="4868" customWidth="1"/>
    <col min="15" max="15" width="3.7109375" style="5162" customWidth="1"/>
    <col min="16" max="16" width="9.140625" style="5162"/>
  </cols>
  <sheetData>
    <row r="1" spans="1:16" ht="14.25" hidden="1" customHeight="1"/>
    <row r="2" spans="1:16" s="4794" customFormat="1" ht="22.5" hidden="1" customHeight="1">
      <c r="A2" s="404"/>
      <c r="B2" s="1042">
        <v>1</v>
      </c>
      <c r="C2" s="1042"/>
      <c r="D2" s="1789" t="s">
        <v>101</v>
      </c>
      <c r="E2" s="5244">
        <v>1</v>
      </c>
      <c r="F2" s="5546" t="str">
        <f>IF(region_name="","",region_name)</f>
        <v>Московская область</v>
      </c>
      <c r="G2" s="5547"/>
      <c r="H2" s="5548"/>
      <c r="I2" s="383"/>
      <c r="J2" s="1771">
        <v>1</v>
      </c>
      <c r="K2" s="1773"/>
      <c r="L2" s="1773"/>
      <c r="M2" s="1773"/>
      <c r="N2" s="400"/>
      <c r="O2" s="1406"/>
      <c r="P2" s="419"/>
    </row>
    <row r="3" spans="1:16" s="4794" customFormat="1" ht="22.5" hidden="1" customHeight="1">
      <c r="A3" s="730"/>
      <c r="B3" s="1042"/>
      <c r="C3" s="1042"/>
      <c r="D3" s="700"/>
      <c r="E3" s="5244"/>
      <c r="F3" s="5546"/>
      <c r="G3" s="5547"/>
      <c r="H3" s="5549"/>
      <c r="I3" s="336"/>
      <c r="J3" s="1372"/>
      <c r="K3" s="1372" t="s">
        <v>1883</v>
      </c>
      <c r="L3" s="1414"/>
      <c r="M3" s="1781"/>
      <c r="N3" s="1774"/>
      <c r="O3" s="1406"/>
      <c r="P3" s="419"/>
    </row>
    <row r="4" spans="1:16" s="4856" customFormat="1" ht="5.25" hidden="1" customHeight="1">
      <c r="A4" s="404"/>
      <c r="D4" s="402"/>
      <c r="F4" s="167" t="s">
        <v>80</v>
      </c>
      <c r="G4" s="402" t="s">
        <v>81</v>
      </c>
      <c r="H4" s="402"/>
      <c r="I4" s="1784"/>
      <c r="J4" s="1415"/>
      <c r="K4" s="1772"/>
      <c r="L4" s="1772"/>
      <c r="M4" s="1772"/>
      <c r="N4" s="1768"/>
      <c r="O4" s="167" t="s">
        <v>80</v>
      </c>
      <c r="P4" s="167"/>
    </row>
    <row r="5" spans="1:16" s="5163" customFormat="1" ht="22.5" hidden="1" customHeight="1">
      <c r="A5" s="1505"/>
      <c r="B5" s="1244">
        <v>1</v>
      </c>
      <c r="C5" s="1244"/>
      <c r="D5" s="700"/>
      <c r="E5" s="1774"/>
      <c r="F5" s="1774"/>
      <c r="G5" s="1774"/>
      <c r="H5" s="1785"/>
      <c r="I5" s="1790" t="s">
        <v>101</v>
      </c>
      <c r="J5" s="1783">
        <v>1</v>
      </c>
      <c r="K5" s="1773"/>
      <c r="L5" s="1773"/>
      <c r="M5" s="1773"/>
      <c r="N5" s="400"/>
      <c r="O5" s="1406"/>
      <c r="P5" s="1500"/>
    </row>
    <row r="6" spans="1:16" s="4793" customFormat="1" ht="14.25" customHeight="1">
      <c r="A6" s="1037"/>
      <c r="B6" s="1042"/>
      <c r="C6" s="1037"/>
      <c r="D6" s="1367"/>
      <c r="E6" s="417"/>
      <c r="F6" s="417"/>
      <c r="G6" s="417"/>
      <c r="H6" s="417"/>
      <c r="I6" s="417"/>
      <c r="J6" s="417"/>
      <c r="K6" s="417"/>
      <c r="L6" s="417"/>
      <c r="M6" s="417"/>
      <c r="N6" s="1499"/>
      <c r="O6" s="167"/>
      <c r="P6" s="408"/>
    </row>
    <row r="7" spans="1:16" s="4793" customFormat="1" ht="25.5" customHeight="1">
      <c r="A7" s="1037"/>
      <c r="B7" s="1042"/>
      <c r="C7" s="1037"/>
      <c r="D7" s="1367"/>
      <c r="E7" s="555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5554"/>
      <c r="G7" s="5554"/>
      <c r="H7" s="5554"/>
      <c r="I7" s="5554"/>
      <c r="J7" s="5554"/>
      <c r="K7" s="5554"/>
      <c r="L7" s="5554"/>
      <c r="M7" s="5554"/>
      <c r="N7" s="1135"/>
      <c r="O7" s="167"/>
      <c r="P7" s="408"/>
    </row>
    <row r="8" spans="1:16" s="4793" customFormat="1" ht="14.25" customHeight="1">
      <c r="A8" s="1037"/>
      <c r="B8" s="1042"/>
      <c r="C8" s="1037"/>
      <c r="D8" s="1367"/>
      <c r="E8" s="417"/>
      <c r="F8" s="90"/>
      <c r="G8" s="90"/>
      <c r="H8" s="90"/>
      <c r="I8" s="90"/>
      <c r="J8" s="90"/>
      <c r="K8" s="90"/>
      <c r="L8" s="90"/>
      <c r="M8" s="90"/>
      <c r="N8" s="519"/>
      <c r="O8" s="408"/>
      <c r="P8" s="408"/>
    </row>
    <row r="9" spans="1:16" s="5166" customFormat="1" ht="14.25" hidden="1" customHeight="1">
      <c r="A9" s="1341"/>
      <c r="B9" s="1350"/>
      <c r="C9" s="1341"/>
      <c r="D9" s="1367"/>
      <c r="E9" s="1775"/>
      <c r="F9" s="1775"/>
      <c r="G9" s="1775"/>
      <c r="H9" s="1775"/>
      <c r="I9" s="5557"/>
      <c r="J9" s="5557"/>
      <c r="K9" s="5557"/>
      <c r="L9" s="1775"/>
      <c r="M9" s="1776"/>
      <c r="O9" s="1416"/>
      <c r="P9" s="1416"/>
    </row>
    <row r="10" spans="1:16" s="4793" customFormat="1" ht="14.25" customHeight="1">
      <c r="A10" s="1037"/>
      <c r="B10" s="1042"/>
      <c r="C10" s="1037"/>
      <c r="D10" s="1367"/>
      <c r="E10" s="5244" t="s">
        <v>378</v>
      </c>
      <c r="F10" s="5244"/>
      <c r="G10" s="5244"/>
      <c r="H10" s="5244"/>
      <c r="I10" s="5244"/>
      <c r="J10" s="5244"/>
      <c r="K10" s="5244"/>
      <c r="L10" s="5244"/>
      <c r="M10" s="5215"/>
      <c r="N10" s="5541" t="s">
        <v>379</v>
      </c>
      <c r="O10" s="408"/>
      <c r="P10" s="408"/>
    </row>
    <row r="11" spans="1:16" s="4829" customFormat="1" ht="42" customHeight="1">
      <c r="A11" s="1495"/>
      <c r="B11" s="1244"/>
      <c r="C11" s="1495"/>
      <c r="D11" s="1387"/>
      <c r="E11" s="5556" t="s">
        <v>85</v>
      </c>
      <c r="F11" s="5556" t="s">
        <v>382</v>
      </c>
      <c r="G11" s="5556" t="s">
        <v>1884</v>
      </c>
      <c r="H11" s="5556"/>
      <c r="I11" s="5556" t="s">
        <v>1885</v>
      </c>
      <c r="J11" s="5556"/>
      <c r="K11" s="5556"/>
      <c r="L11" s="5556" t="s">
        <v>1886</v>
      </c>
      <c r="M11" s="5543" t="s">
        <v>1887</v>
      </c>
      <c r="N11" s="5555"/>
      <c r="O11" s="1488"/>
      <c r="P11" s="1488"/>
    </row>
    <row r="12" spans="1:16" s="4793" customFormat="1" ht="27.75" customHeight="1">
      <c r="A12" s="1037"/>
      <c r="B12" s="1042"/>
      <c r="C12" s="1037"/>
      <c r="D12" s="1367"/>
      <c r="E12" s="5541"/>
      <c r="F12" s="5556"/>
      <c r="G12" s="1770" t="s">
        <v>1888</v>
      </c>
      <c r="H12" s="1770" t="s">
        <v>386</v>
      </c>
      <c r="I12" s="5556"/>
      <c r="J12" s="5556"/>
      <c r="K12" s="5556"/>
      <c r="L12" s="5556"/>
      <c r="M12" s="5543"/>
      <c r="N12" s="5542"/>
      <c r="O12" s="408"/>
      <c r="P12" s="408"/>
    </row>
    <row r="13" spans="1:16" s="4794" customFormat="1" ht="22.5" customHeight="1">
      <c r="A13" s="5218">
        <v>26379339</v>
      </c>
      <c r="B13" s="1042">
        <v>1</v>
      </c>
      <c r="C13" s="1042"/>
      <c r="D13" s="700"/>
      <c r="E13" s="5244">
        <v>1</v>
      </c>
      <c r="F13" s="5550" t="str">
        <f>IF(region_name="","",region_name)</f>
        <v>Московская область</v>
      </c>
      <c r="G13" s="5551"/>
      <c r="H13" s="5558"/>
      <c r="I13" s="383"/>
      <c r="J13" s="1766">
        <v>1</v>
      </c>
      <c r="K13" s="1779"/>
      <c r="L13" s="1780"/>
      <c r="M13" s="1780"/>
      <c r="N13" s="5552" t="s">
        <v>1889</v>
      </c>
      <c r="O13" s="1406"/>
      <c r="P13" s="419"/>
    </row>
    <row r="14" spans="1:16" s="4794" customFormat="1" ht="22.5" customHeight="1">
      <c r="A14" s="5218"/>
      <c r="B14" s="1042"/>
      <c r="C14" s="1042"/>
      <c r="D14" s="700"/>
      <c r="E14" s="5244"/>
      <c r="F14" s="5550"/>
      <c r="G14" s="5551"/>
      <c r="H14" s="5559"/>
      <c r="I14" s="336"/>
      <c r="J14" s="1372"/>
      <c r="K14" s="1372" t="s">
        <v>1883</v>
      </c>
      <c r="L14" s="1414"/>
      <c r="M14" s="1414"/>
      <c r="N14" s="5553"/>
      <c r="O14" s="1406"/>
      <c r="P14" s="419"/>
    </row>
    <row r="15" spans="1:16" s="4794" customFormat="1" ht="22.5" customHeight="1">
      <c r="A15" s="5218"/>
      <c r="B15" s="1042"/>
      <c r="C15" s="328"/>
      <c r="D15" s="700"/>
      <c r="E15" s="336"/>
      <c r="F15" s="1372" t="s">
        <v>1875</v>
      </c>
      <c r="G15" s="1413"/>
      <c r="H15" s="1413"/>
      <c r="I15" s="109"/>
      <c r="J15" s="109"/>
      <c r="K15" s="109"/>
      <c r="L15" s="109"/>
      <c r="M15" s="109"/>
      <c r="N15" s="5553"/>
      <c r="O15" s="1407"/>
      <c r="P15" s="419"/>
    </row>
    <row r="16" spans="1:16" s="4793" customFormat="1" ht="21" customHeight="1">
      <c r="A16" s="1037"/>
      <c r="B16" s="1042"/>
      <c r="C16" s="1037"/>
      <c r="D16" s="364"/>
      <c r="E16" s="103"/>
      <c r="F16" s="103"/>
      <c r="G16" s="103"/>
      <c r="H16" s="103"/>
      <c r="I16" s="103"/>
      <c r="J16" s="103"/>
      <c r="K16" s="103"/>
      <c r="L16" s="103"/>
      <c r="M16" s="417"/>
      <c r="N16" s="1499"/>
      <c r="O16" s="408"/>
      <c r="P16" s="408"/>
    </row>
    <row r="17" spans="1:16" s="4793" customFormat="1" ht="14.25" customHeight="1">
      <c r="A17" s="1037"/>
      <c r="B17" s="1042"/>
      <c r="C17" s="1037"/>
      <c r="D17" s="364"/>
      <c r="E17" s="1037"/>
      <c r="F17" s="1037"/>
      <c r="G17" s="1037"/>
      <c r="H17" s="1037"/>
      <c r="I17" s="1037"/>
      <c r="J17" s="1037"/>
      <c r="K17" s="1037"/>
      <c r="L17" s="1037"/>
      <c r="M17" s="1037"/>
      <c r="N17" s="1495"/>
      <c r="O17" s="408"/>
      <c r="P17" s="408"/>
    </row>
    <row r="18" spans="1:16" s="4793" customFormat="1" ht="0.75" customHeight="1">
      <c r="A18" s="1037"/>
      <c r="B18" s="1042"/>
      <c r="C18" s="1037"/>
      <c r="D18" s="364"/>
      <c r="E18" s="1037"/>
      <c r="F18" s="1037"/>
      <c r="G18" s="1037"/>
      <c r="H18" s="1037"/>
      <c r="I18" s="1037"/>
      <c r="J18" s="1037"/>
      <c r="K18" s="1037"/>
      <c r="L18" s="1037"/>
      <c r="M18" s="1037"/>
      <c r="N18" s="1495"/>
      <c r="O18" s="408"/>
      <c r="P18" s="408"/>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5167" hidden="1"/>
    <col min="2" max="2" width="9.140625" style="5169" hidden="1"/>
    <col min="3" max="3" width="3.7109375" style="5170" customWidth="1"/>
    <col min="4" max="4" width="7" style="5171" customWidth="1"/>
    <col min="5" max="5" width="23.140625" style="5171" customWidth="1"/>
    <col min="6" max="6" width="16" style="5171" customWidth="1"/>
    <col min="7" max="7" width="14.85546875" style="5171" customWidth="1"/>
    <col min="8" max="8" width="47.85546875" style="5171" customWidth="1"/>
    <col min="9" max="9" width="115.7109375" style="5171" customWidth="1"/>
    <col min="10" max="10" width="3.7109375" style="5171" customWidth="1"/>
    <col min="11" max="12" width="9.140625" style="5171"/>
  </cols>
  <sheetData>
    <row r="1" spans="1:12" ht="14.25" hidden="1" customHeight="1"/>
    <row r="2" spans="1:12" ht="14.25" hidden="1" customHeight="1"/>
    <row r="3" spans="1:12" ht="14.25" hidden="1" customHeight="1"/>
    <row r="4" spans="1:12" ht="3" customHeight="1"/>
    <row r="5" spans="1:12" s="4799" customFormat="1" ht="30" customHeight="1">
      <c r="A5" s="47"/>
      <c r="C5" s="26"/>
      <c r="D5" s="5219" t="s">
        <v>1890</v>
      </c>
      <c r="E5" s="5219"/>
      <c r="F5" s="5219"/>
      <c r="G5" s="5219"/>
      <c r="H5" s="5219"/>
      <c r="I5" s="185"/>
    </row>
    <row r="6" spans="1:12" ht="3" hidden="1" customHeight="1">
      <c r="D6" s="51"/>
      <c r="E6" s="51"/>
      <c r="F6" s="51"/>
      <c r="G6" s="51"/>
      <c r="H6" s="51"/>
      <c r="I6" s="51"/>
    </row>
    <row r="7" spans="1:12" s="5167" customFormat="1" ht="14.25" customHeight="1">
      <c r="B7" s="48"/>
      <c r="C7" s="49"/>
      <c r="D7" s="52"/>
      <c r="E7" s="52"/>
      <c r="F7" s="52"/>
      <c r="G7" s="52"/>
      <c r="H7" s="651"/>
      <c r="I7" s="52"/>
      <c r="J7" s="53"/>
    </row>
    <row r="8" spans="1:12" ht="14.25" customHeight="1">
      <c r="D8" s="5336" t="s">
        <v>378</v>
      </c>
      <c r="E8" s="5336"/>
      <c r="F8" s="5336"/>
      <c r="G8" s="5336"/>
      <c r="H8" s="5336"/>
      <c r="I8" s="5336" t="s">
        <v>379</v>
      </c>
    </row>
    <row r="9" spans="1:12" ht="27.75" customHeight="1">
      <c r="D9" s="5336" t="s">
        <v>85</v>
      </c>
      <c r="E9" s="5336" t="s">
        <v>1891</v>
      </c>
      <c r="F9" s="5336"/>
      <c r="G9" s="5336"/>
      <c r="H9" s="5336"/>
      <c r="I9" s="5336"/>
    </row>
    <row r="10" spans="1:12" ht="22.5" customHeight="1">
      <c r="D10" s="5336"/>
      <c r="E10" s="56" t="s">
        <v>1892</v>
      </c>
      <c r="F10" s="56" t="s">
        <v>1893</v>
      </c>
      <c r="G10" s="56" t="s">
        <v>1894</v>
      </c>
      <c r="H10" s="56" t="s">
        <v>468</v>
      </c>
      <c r="I10" s="5336"/>
    </row>
    <row r="11" spans="1:12" ht="12" hidden="1" customHeight="1">
      <c r="D11" s="23" t="s">
        <v>129</v>
      </c>
      <c r="E11" s="23" t="s">
        <v>88</v>
      </c>
      <c r="F11" s="23" t="s">
        <v>114</v>
      </c>
      <c r="G11" s="23" t="s">
        <v>89</v>
      </c>
      <c r="H11" s="23" t="s">
        <v>90</v>
      </c>
      <c r="I11" s="23" t="s">
        <v>130</v>
      </c>
    </row>
    <row r="12" spans="1:12" s="5168" customFormat="1" ht="24.75" customHeight="1">
      <c r="A12" s="71" t="s">
        <v>87</v>
      </c>
      <c r="B12" s="54" t="s">
        <v>24</v>
      </c>
      <c r="C12" s="55"/>
      <c r="D12" s="57" t="s">
        <v>129</v>
      </c>
      <c r="E12" s="297"/>
      <c r="F12" s="297"/>
      <c r="G12" s="1597" t="s">
        <v>24</v>
      </c>
      <c r="H12" s="298"/>
      <c r="I12" s="5284" t="s">
        <v>1895</v>
      </c>
      <c r="K12" s="192"/>
      <c r="L12" s="193"/>
    </row>
    <row r="13" spans="1:12" ht="15" customHeight="1">
      <c r="A13" s="50"/>
      <c r="B13" s="50"/>
      <c r="C13" s="50"/>
      <c r="D13" s="42"/>
      <c r="E13" s="59" t="s">
        <v>543</v>
      </c>
      <c r="F13" s="58"/>
      <c r="G13" s="58"/>
      <c r="H13" s="136"/>
      <c r="I13" s="5286"/>
    </row>
    <row r="14" spans="1:12" ht="3" customHeight="1">
      <c r="A14" s="50"/>
      <c r="B14" s="50"/>
      <c r="C14" s="50"/>
    </row>
    <row r="15" spans="1:12" ht="27.75" customHeight="1">
      <c r="E15" s="5560" t="s">
        <v>1896</v>
      </c>
      <c r="F15" s="5560"/>
      <c r="G15" s="5560"/>
      <c r="H15" s="5560"/>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5172" hidden="1"/>
    <col min="3" max="3" width="3.7109375" style="5173" customWidth="1"/>
    <col min="4" max="4" width="6.28515625" style="5172" customWidth="1"/>
    <col min="5" max="5" width="94.85546875" style="5172" customWidth="1"/>
    <col min="6" max="9" width="9.140625" style="5172"/>
  </cols>
  <sheetData>
    <row r="1" spans="3:9" ht="14.25" hidden="1" customHeight="1"/>
    <row r="2" spans="3:9" ht="14.25" hidden="1" customHeight="1"/>
    <row r="3" spans="3:9" ht="14.25" hidden="1" customHeight="1"/>
    <row r="4" spans="3:9" ht="14.25" hidden="1" customHeight="1"/>
    <row r="5" spans="3:9" ht="14.25" hidden="1" customHeight="1"/>
    <row r="6" spans="3:9" ht="3" customHeight="1">
      <c r="C6" s="27"/>
      <c r="D6" s="8"/>
      <c r="E6" s="8"/>
    </row>
    <row r="7" spans="3:9" ht="22.5" customHeight="1">
      <c r="C7" s="27"/>
      <c r="D7" s="5561" t="s">
        <v>1897</v>
      </c>
      <c r="E7" s="5562"/>
      <c r="F7" s="187"/>
    </row>
    <row r="8" spans="3:9" ht="3" customHeight="1">
      <c r="C8" s="27"/>
      <c r="D8" s="8"/>
      <c r="E8" s="8"/>
    </row>
    <row r="9" spans="3:9" ht="15.75" customHeight="1">
      <c r="C9" s="27"/>
      <c r="D9" s="38" t="s">
        <v>85</v>
      </c>
      <c r="E9" s="180" t="s">
        <v>1898</v>
      </c>
    </row>
    <row r="10" spans="3:9" ht="0.75" customHeight="1">
      <c r="C10" s="27"/>
      <c r="D10" s="23"/>
      <c r="E10" s="23"/>
    </row>
    <row r="11" spans="3:9" ht="11.25" hidden="1" customHeight="1">
      <c r="C11" s="27"/>
      <c r="D11" s="76">
        <v>0</v>
      </c>
      <c r="E11" s="181"/>
    </row>
    <row r="12" spans="3:9" ht="15" customHeight="1">
      <c r="C12" s="64"/>
      <c r="D12" s="45">
        <v>1</v>
      </c>
      <c r="E12" s="293"/>
    </row>
    <row r="13" spans="3:9" ht="12" customHeight="1">
      <c r="C13" s="27"/>
      <c r="D13" s="182"/>
      <c r="E13" s="183" t="s">
        <v>1899</v>
      </c>
    </row>
    <row r="14" spans="3:9" ht="3" customHeight="1"/>
    <row r="15" spans="3:9" ht="22.5" customHeight="1">
      <c r="C15" s="65"/>
      <c r="D15" s="5560" t="s">
        <v>1900</v>
      </c>
      <c r="E15" s="5560"/>
      <c r="F15" s="66"/>
      <c r="G15" s="66"/>
      <c r="H15" s="66"/>
      <c r="I15" s="66"/>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5172" hidden="1"/>
    <col min="3" max="3" width="3.7109375" style="5173" customWidth="1"/>
    <col min="4" max="4" width="6.28515625" style="5172" customWidth="1"/>
    <col min="5" max="5" width="94.85546875" style="5172" customWidth="1"/>
    <col min="6" max="12" width="9.140625" style="5172"/>
  </cols>
  <sheetData>
    <row r="1" spans="3:12" ht="14.25" hidden="1" customHeight="1">
      <c r="L1" s="184"/>
    </row>
    <row r="2" spans="3:12" ht="14.25" hidden="1" customHeight="1"/>
    <row r="3" spans="3:12" ht="14.25" hidden="1" customHeight="1"/>
    <row r="4" spans="3:12" ht="14.25" hidden="1" customHeight="1"/>
    <row r="5" spans="3:12" ht="14.25" hidden="1" customHeight="1"/>
    <row r="6" spans="3:12" ht="3" customHeight="1">
      <c r="C6" s="27"/>
      <c r="D6" s="8"/>
      <c r="E6" s="8"/>
    </row>
    <row r="7" spans="3:12" ht="22.5" customHeight="1">
      <c r="C7" s="27"/>
      <c r="D7" s="5219" t="s">
        <v>1901</v>
      </c>
      <c r="E7" s="5219"/>
      <c r="F7" s="187"/>
    </row>
    <row r="8" spans="3:12" ht="3" customHeight="1">
      <c r="C8" s="27"/>
      <c r="D8" s="8"/>
      <c r="E8" s="8"/>
    </row>
    <row r="9" spans="3:12" ht="15.75" customHeight="1">
      <c r="C9" s="27"/>
      <c r="D9" s="38" t="s">
        <v>85</v>
      </c>
      <c r="E9" s="41" t="s">
        <v>365</v>
      </c>
    </row>
    <row r="10" spans="3:12" ht="12" customHeight="1">
      <c r="C10" s="27"/>
      <c r="D10" s="23" t="s">
        <v>129</v>
      </c>
      <c r="E10" s="23" t="s">
        <v>100</v>
      </c>
    </row>
    <row r="11" spans="3:12" ht="15" hidden="1" customHeight="1">
      <c r="C11" s="27"/>
      <c r="D11" s="45">
        <v>0</v>
      </c>
      <c r="E11" s="75"/>
    </row>
    <row r="12" spans="3:12" ht="14.25" customHeight="1">
      <c r="C12" s="27"/>
      <c r="D12" s="42"/>
      <c r="E12" s="40" t="s">
        <v>1899</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5174" customWidth="1"/>
    <col min="2" max="2" width="34.5703125" style="5174" customWidth="1"/>
    <col min="3" max="3" width="85.5703125" style="5174" customWidth="1"/>
    <col min="4" max="4" width="17.7109375" style="5174" customWidth="1"/>
    <col min="5" max="5" width="9.140625" style="5174"/>
  </cols>
  <sheetData>
    <row r="1" spans="2:5" ht="3" customHeight="1"/>
    <row r="2" spans="2:5" ht="22.5" customHeight="1">
      <c r="B2" s="5563" t="s">
        <v>1902</v>
      </c>
      <c r="C2" s="5563"/>
      <c r="D2" s="5563"/>
      <c r="E2" s="188"/>
    </row>
    <row r="3" spans="2:5" ht="3" customHeight="1"/>
    <row r="4" spans="2:5" ht="21.75" customHeight="1">
      <c r="B4" s="299" t="s">
        <v>1903</v>
      </c>
      <c r="C4" s="299" t="s">
        <v>1904</v>
      </c>
      <c r="D4" s="299" t="s">
        <v>1905</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RowHeight="17.100000000000001" customHeight="1"/>
  <cols>
    <col min="1" max="1" width="26.5703125" style="5174" customWidth="1"/>
    <col min="2" max="2" width="10" style="5174" customWidth="1"/>
    <col min="3" max="3" width="9.140625" style="5174"/>
    <col min="4" max="4" width="11.140625" style="5174" customWidth="1"/>
    <col min="5" max="5" width="16.5703125" style="5174" customWidth="1"/>
    <col min="6" max="6" width="16.28515625" style="5174" customWidth="1"/>
    <col min="7" max="7" width="19.140625" style="5174" customWidth="1"/>
    <col min="8" max="11" width="10" style="5174" customWidth="1"/>
    <col min="12" max="12" width="12.7109375" style="5174" customWidth="1"/>
    <col min="13" max="13" width="61.28515625" style="5174" customWidth="1"/>
    <col min="14" max="14" width="10" style="5174" customWidth="1"/>
    <col min="15" max="17" width="23.7109375" style="5174" customWidth="1"/>
    <col min="18" max="18" width="11.7109375" style="5174" customWidth="1"/>
    <col min="19" max="19" width="8.5703125" style="5174" customWidth="1"/>
    <col min="20" max="20" width="11.7109375" style="5174" customWidth="1"/>
    <col min="21" max="21" width="8.5703125" style="5174" customWidth="1"/>
    <col min="22" max="22" width="4.7109375" style="5174" customWidth="1"/>
    <col min="23" max="23" width="115.7109375" style="5174" customWidth="1"/>
    <col min="24" max="24" width="115.28515625" style="5174" customWidth="1"/>
    <col min="25" max="27" width="9.140625" style="5174"/>
    <col min="28" max="28" width="115.7109375" style="5174" customWidth="1"/>
    <col min="29" max="29" width="9.140625" style="5174"/>
    <col min="30" max="90" width="115.7109375" style="5174" customWidth="1"/>
    <col min="91" max="184" width="9.140625" style="5174"/>
  </cols>
  <sheetData>
    <row r="2" spans="1:80" s="5175" customFormat="1" ht="17.25" customHeight="1">
      <c r="A2" s="1678" t="s">
        <v>1906</v>
      </c>
    </row>
    <row r="4" spans="1:80" s="5172" customFormat="1" ht="15" customHeight="1">
      <c r="C4" s="1679"/>
      <c r="D4" s="45"/>
      <c r="E4" s="293"/>
    </row>
    <row r="6" spans="1:80" s="5175" customFormat="1" ht="17.25" customHeight="1">
      <c r="A6" s="1678" t="s">
        <v>1907</v>
      </c>
    </row>
    <row r="8" spans="1:80" s="5172" customFormat="1" ht="17.25" customHeight="1">
      <c r="C8" s="1680"/>
      <c r="D8" s="45"/>
      <c r="E8" s="46"/>
    </row>
    <row r="11" spans="1:80" s="5175" customFormat="1" ht="17.25" customHeight="1">
      <c r="A11" s="1678" t="s">
        <v>1908</v>
      </c>
    </row>
    <row r="13" spans="1:80" s="5176" customFormat="1" ht="15" customHeight="1">
      <c r="A13" s="5222">
        <v>1</v>
      </c>
      <c r="B13" s="1042"/>
      <c r="C13" s="700" t="s">
        <v>101</v>
      </c>
      <c r="D13" s="1681"/>
      <c r="E13" s="1668">
        <f>A13</f>
        <v>1</v>
      </c>
      <c r="F13" s="703"/>
      <c r="G13" s="447" t="str">
        <f>"Территория "&amp;E13</f>
        <v>Территория 1</v>
      </c>
      <c r="H13" s="691"/>
      <c r="I13" s="691"/>
      <c r="J13" s="688"/>
      <c r="K13" s="1488"/>
      <c r="L13" s="1488"/>
      <c r="M13" s="1488"/>
      <c r="N13" s="148"/>
      <c r="O13" s="1488"/>
      <c r="P13" s="147"/>
      <c r="Q13" s="147"/>
      <c r="R13" s="147"/>
      <c r="S13" s="147"/>
    </row>
    <row r="14" spans="1:80" s="4794" customFormat="1" ht="15" customHeight="1">
      <c r="A14" s="5222"/>
      <c r="B14" s="1042">
        <v>1</v>
      </c>
      <c r="C14" s="1042"/>
      <c r="D14" s="699"/>
      <c r="E14" s="1676" t="str">
        <f>A13&amp;"."&amp;B14</f>
        <v>1.1</v>
      </c>
      <c r="F14" s="702">
        <f>$F$20</f>
        <v>0</v>
      </c>
      <c r="G14" s="692"/>
      <c r="H14" s="692"/>
      <c r="I14" s="690"/>
      <c r="J14" s="1488"/>
      <c r="K14" s="1500"/>
      <c r="L14" s="1500"/>
      <c r="M14" s="1488" t="str">
        <f t="array" ref="M14">IF(ISERROR(MATCH(MID(N14,1,250),MID(note_ter,1,250),0)),"n","y")</f>
        <v>n</v>
      </c>
      <c r="N14" s="1500"/>
      <c r="O14" s="1488" t="str">
        <f>H14&amp;"("&amp;I14&amp;")"</f>
        <v>()</v>
      </c>
      <c r="P14" s="1042"/>
      <c r="Q14" s="1042"/>
      <c r="R14" s="335"/>
      <c r="S14" s="1042"/>
      <c r="T14" s="1042"/>
      <c r="U14" s="1042"/>
      <c r="V14" s="337"/>
      <c r="W14" s="337"/>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c r="BM14" s="334"/>
      <c r="BN14" s="334"/>
      <c r="BO14" s="334"/>
      <c r="BP14" s="334"/>
      <c r="BQ14" s="334"/>
      <c r="BR14" s="334"/>
      <c r="BS14" s="337"/>
      <c r="BT14" s="337"/>
      <c r="BU14" s="337"/>
      <c r="BV14" s="337"/>
      <c r="BW14" s="337"/>
      <c r="BX14" s="337"/>
      <c r="BY14" s="337"/>
      <c r="BZ14" s="337"/>
      <c r="CA14" s="337"/>
      <c r="CB14" s="337"/>
    </row>
    <row r="15" spans="1:80" s="4794" customFormat="1" ht="15" customHeight="1">
      <c r="A15" s="5222"/>
      <c r="B15" s="1042"/>
      <c r="C15" s="328"/>
      <c r="D15" s="700"/>
      <c r="E15" s="336"/>
      <c r="F15" s="100"/>
      <c r="G15" s="331" t="s">
        <v>99</v>
      </c>
      <c r="H15" s="109"/>
      <c r="I15" s="339"/>
      <c r="J15" s="1500"/>
      <c r="K15" s="1500"/>
      <c r="L15" s="1500"/>
      <c r="M15" s="1500"/>
      <c r="N15" s="1488"/>
      <c r="O15" s="1500"/>
      <c r="P15" s="1042"/>
      <c r="Q15" s="1042"/>
      <c r="R15" s="335"/>
      <c r="S15" s="1042"/>
      <c r="T15" s="1042"/>
      <c r="U15" s="1042"/>
      <c r="V15" s="337"/>
      <c r="W15" s="337"/>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4"/>
      <c r="BS15" s="337"/>
      <c r="BT15" s="337"/>
      <c r="BU15" s="337"/>
      <c r="BV15" s="337"/>
      <c r="BW15" s="337"/>
      <c r="BX15" s="337"/>
      <c r="BY15" s="337"/>
      <c r="BZ15" s="337"/>
      <c r="CA15" s="337"/>
      <c r="CB15" s="337"/>
    </row>
    <row r="17" spans="1:80" s="5175" customFormat="1" ht="17.25" customHeight="1">
      <c r="A17" s="1678" t="s">
        <v>1909</v>
      </c>
    </row>
    <row r="19" spans="1:80" s="5163" customFormat="1" ht="15" customHeight="1">
      <c r="A19" s="1743"/>
      <c r="B19" s="1244">
        <v>1</v>
      </c>
      <c r="C19" s="1244"/>
      <c r="D19" s="699" t="s">
        <v>101</v>
      </c>
      <c r="E19" s="1739"/>
      <c r="F19" s="1744">
        <f>$F$20</f>
        <v>0</v>
      </c>
      <c r="G19" s="1748"/>
      <c r="H19" s="1748"/>
      <c r="I19" s="1746"/>
      <c r="J19" s="1488"/>
      <c r="K19" s="1500"/>
      <c r="L19" s="1500"/>
      <c r="M19" s="1488" t="str">
        <f t="array" ref="M19">IF(ISERROR(MATCH(MID(N19,1,250),MID(note_ter,1,250),0)),"n","y")</f>
        <v>n</v>
      </c>
      <c r="N19" s="1500"/>
      <c r="O19" s="1488" t="str">
        <f>H19&amp;"("&amp;I19&amp;")"</f>
        <v>()</v>
      </c>
      <c r="P19" s="1244"/>
      <c r="Q19" s="1244"/>
      <c r="R19" s="335"/>
      <c r="S19" s="1244"/>
      <c r="T19" s="1244"/>
      <c r="U19" s="1244"/>
      <c r="V19" s="732"/>
      <c r="W19" s="732"/>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c r="BG19" s="530"/>
      <c r="BH19" s="530"/>
      <c r="BI19" s="530"/>
      <c r="BJ19" s="530"/>
      <c r="BK19" s="530"/>
      <c r="BL19" s="530"/>
      <c r="BM19" s="530"/>
      <c r="BN19" s="530"/>
      <c r="BO19" s="530"/>
      <c r="BP19" s="530"/>
      <c r="BQ19" s="530"/>
      <c r="BR19" s="530"/>
      <c r="BS19" s="732"/>
      <c r="BT19" s="732"/>
      <c r="BU19" s="732"/>
      <c r="BV19" s="732"/>
      <c r="BW19" s="732"/>
      <c r="BX19" s="732"/>
      <c r="BY19" s="732"/>
      <c r="BZ19" s="732"/>
      <c r="CA19" s="732"/>
      <c r="CB19" s="732"/>
    </row>
    <row r="21" spans="1:80" s="4794" customFormat="1" ht="15" customHeight="1">
      <c r="A21" s="1678" t="s">
        <v>1910</v>
      </c>
      <c r="B21" s="1678"/>
      <c r="C21" s="1678"/>
      <c r="D21" s="1678"/>
      <c r="E21" s="1678"/>
      <c r="F21" s="1678"/>
      <c r="G21" s="1678"/>
      <c r="H21" s="1678"/>
      <c r="I21" s="1678"/>
      <c r="J21" s="1678"/>
      <c r="K21" s="1678"/>
      <c r="L21" s="1678"/>
      <c r="M21" s="1678"/>
      <c r="N21" s="1678"/>
      <c r="O21" s="1678"/>
      <c r="P21" s="1678"/>
      <c r="Q21" s="1678"/>
      <c r="R21" s="1678"/>
      <c r="S21" s="1678"/>
      <c r="T21" s="1678"/>
      <c r="U21" s="106"/>
      <c r="V21" s="1678"/>
      <c r="W21" s="1678"/>
    </row>
    <row r="22" spans="1:80" s="4794" customFormat="1" ht="15" customHeight="1">
      <c r="U22" s="107"/>
    </row>
    <row r="23" spans="1:80" s="5177" customFormat="1" ht="15" customHeight="1">
      <c r="A23" s="338"/>
      <c r="B23" s="338"/>
      <c r="C23" s="1591" t="s">
        <v>101</v>
      </c>
      <c r="D23" s="5226" t="s">
        <v>129</v>
      </c>
      <c r="E23" s="5227"/>
      <c r="F23" s="5225" t="s">
        <v>54</v>
      </c>
      <c r="G23" s="5596"/>
      <c r="H23" s="5244">
        <v>1</v>
      </c>
      <c r="I23" s="5598" t="str">
        <f>IF(U23="","",INDEX(TERRITORY_MR_LIST,MATCH(U23,TERRITORY_LIST_ID,0)))</f>
        <v/>
      </c>
      <c r="J23" s="5225" t="s">
        <v>54</v>
      </c>
      <c r="K23" s="731"/>
      <c r="L23" s="1645" t="s">
        <v>129</v>
      </c>
      <c r="M23" s="507"/>
      <c r="N23" s="508"/>
      <c r="O23" s="508"/>
      <c r="P23" s="508"/>
      <c r="Q23" s="508"/>
      <c r="R23" s="508"/>
      <c r="S23" s="508"/>
      <c r="T23" s="508"/>
      <c r="U23" s="509"/>
      <c r="V23" s="508"/>
      <c r="W23" s="508"/>
      <c r="X23" s="500"/>
      <c r="Y23" s="500" t="s">
        <v>136</v>
      </c>
      <c r="Z23" s="500">
        <v>1705000</v>
      </c>
      <c r="AA23" s="500"/>
      <c r="AB23" s="500"/>
      <c r="AC23" s="500"/>
      <c r="AD23" s="500"/>
      <c r="AE23" s="500"/>
      <c r="AF23" s="500"/>
      <c r="AG23" s="500"/>
      <c r="AH23" s="500"/>
      <c r="AI23" s="500"/>
      <c r="AJ23" s="500"/>
      <c r="AK23" s="500"/>
      <c r="AL23" s="500"/>
    </row>
    <row r="24" spans="1:80" s="5177" customFormat="1" ht="15" customHeight="1">
      <c r="A24" s="338"/>
      <c r="B24" s="338"/>
      <c r="C24" s="99"/>
      <c r="D24" s="5226"/>
      <c r="E24" s="5228"/>
      <c r="F24" s="5225"/>
      <c r="G24" s="5597"/>
      <c r="H24" s="5244"/>
      <c r="I24" s="5599"/>
      <c r="J24" s="5225"/>
      <c r="K24" s="336"/>
      <c r="L24" s="100"/>
      <c r="M24" s="510" t="s">
        <v>137</v>
      </c>
      <c r="N24" s="508"/>
      <c r="O24" s="508"/>
      <c r="P24" s="508"/>
      <c r="Q24" s="508"/>
      <c r="R24" s="508"/>
      <c r="S24" s="508"/>
      <c r="T24" s="508"/>
      <c r="U24" s="509"/>
      <c r="V24" s="508"/>
      <c r="W24" s="508"/>
      <c r="X24" s="500"/>
      <c r="Y24" s="500"/>
      <c r="Z24" s="500"/>
      <c r="AA24" s="500"/>
      <c r="AB24" s="500"/>
      <c r="AC24" s="500"/>
      <c r="AD24" s="500"/>
      <c r="AE24" s="500"/>
      <c r="AF24" s="500"/>
      <c r="AG24" s="500"/>
      <c r="AH24" s="500"/>
      <c r="AI24" s="500"/>
      <c r="AJ24" s="500"/>
      <c r="AK24" s="500"/>
      <c r="AL24" s="500"/>
    </row>
    <row r="25" spans="1:80" s="5177" customFormat="1" ht="15" customHeight="1">
      <c r="A25" s="338"/>
      <c r="B25" s="338"/>
      <c r="C25" s="99"/>
      <c r="D25" s="5226"/>
      <c r="E25" s="5229"/>
      <c r="F25" s="5225"/>
      <c r="G25" s="336"/>
      <c r="H25" s="100"/>
      <c r="I25" s="487" t="s">
        <v>138</v>
      </c>
      <c r="J25" s="100"/>
      <c r="K25" s="100"/>
      <c r="L25" s="100"/>
      <c r="M25" s="511"/>
      <c r="N25" s="508"/>
      <c r="O25" s="508"/>
      <c r="P25" s="508"/>
      <c r="Q25" s="508"/>
      <c r="R25" s="508"/>
      <c r="S25" s="508"/>
      <c r="T25" s="508"/>
      <c r="U25" s="509"/>
      <c r="V25" s="508"/>
      <c r="W25" s="508"/>
      <c r="X25" s="500"/>
      <c r="Y25" s="500"/>
      <c r="Z25" s="500"/>
      <c r="AA25" s="500"/>
      <c r="AB25" s="500"/>
      <c r="AC25" s="500"/>
      <c r="AD25" s="500"/>
      <c r="AE25" s="500"/>
      <c r="AF25" s="500"/>
      <c r="AG25" s="500"/>
      <c r="AH25" s="500"/>
      <c r="AI25" s="500"/>
      <c r="AJ25" s="500"/>
      <c r="AK25" s="500"/>
      <c r="AL25" s="500"/>
    </row>
    <row r="26" spans="1:80" s="4794" customFormat="1" ht="15" customHeight="1">
      <c r="U26" s="107"/>
    </row>
    <row r="27" spans="1:80" s="4794" customFormat="1" ht="15" customHeight="1">
      <c r="A27" s="1678" t="s">
        <v>1911</v>
      </c>
      <c r="B27" s="1678"/>
      <c r="C27" s="1678"/>
      <c r="D27" s="1678"/>
      <c r="E27" s="1678"/>
      <c r="F27" s="1678"/>
      <c r="G27" s="1678"/>
      <c r="H27" s="1678"/>
      <c r="I27" s="1678"/>
      <c r="J27" s="1678"/>
      <c r="K27" s="1678"/>
      <c r="L27" s="1678"/>
      <c r="M27" s="1678"/>
      <c r="N27" s="1678"/>
      <c r="O27" s="1678"/>
      <c r="P27" s="1678"/>
      <c r="Q27" s="1678"/>
      <c r="R27" s="1678"/>
      <c r="S27" s="1678"/>
      <c r="T27" s="1678"/>
      <c r="U27" s="106"/>
      <c r="V27" s="1678"/>
      <c r="W27" s="1678"/>
    </row>
    <row r="28" spans="1:80" s="4794" customFormat="1" ht="15" customHeight="1">
      <c r="U28" s="107"/>
    </row>
    <row r="29" spans="1:80" s="5177" customFormat="1" ht="15" customHeight="1">
      <c r="A29" s="338"/>
      <c r="B29" s="338"/>
      <c r="C29" s="99"/>
      <c r="D29" s="1682"/>
      <c r="E29" s="1682"/>
      <c r="F29" s="1682"/>
      <c r="G29" s="5600" t="s">
        <v>101</v>
      </c>
      <c r="H29" s="5214">
        <v>1</v>
      </c>
      <c r="I29" s="5601" t="str">
        <f>IF(U29="","",INDEX(TERRITORY_MR_LIST,MATCH(U29,TERRITORY_LIST_ID,0)))</f>
        <v/>
      </c>
      <c r="J29" s="5225" t="s">
        <v>54</v>
      </c>
      <c r="K29" s="731"/>
      <c r="L29" s="1645" t="s">
        <v>129</v>
      </c>
      <c r="M29" s="507"/>
      <c r="N29" s="508"/>
      <c r="O29" s="508"/>
      <c r="P29" s="508"/>
      <c r="Q29" s="508"/>
      <c r="R29" s="508"/>
      <c r="S29" s="508"/>
      <c r="T29" s="508"/>
      <c r="U29" s="509"/>
      <c r="V29" s="508"/>
      <c r="W29" s="508"/>
      <c r="X29" s="500"/>
      <c r="Y29" s="500" t="s">
        <v>136</v>
      </c>
      <c r="Z29" s="500">
        <v>1705000</v>
      </c>
      <c r="AA29" s="500"/>
      <c r="AB29" s="500"/>
      <c r="AC29" s="500"/>
      <c r="AD29" s="500"/>
      <c r="AE29" s="500"/>
      <c r="AF29" s="500"/>
      <c r="AG29" s="500"/>
      <c r="AH29" s="500"/>
      <c r="AI29" s="500"/>
      <c r="AJ29" s="500"/>
      <c r="AK29" s="500"/>
      <c r="AL29" s="500"/>
    </row>
    <row r="30" spans="1:80" s="5177" customFormat="1" ht="15" customHeight="1">
      <c r="A30" s="338"/>
      <c r="B30" s="338"/>
      <c r="C30" s="99"/>
      <c r="D30" s="1682"/>
      <c r="E30" s="1682"/>
      <c r="F30" s="1682"/>
      <c r="G30" s="5600"/>
      <c r="H30" s="5214"/>
      <c r="I30" s="5601"/>
      <c r="J30" s="5225"/>
      <c r="K30" s="336"/>
      <c r="L30" s="100"/>
      <c r="M30" s="510" t="s">
        <v>137</v>
      </c>
      <c r="N30" s="508"/>
      <c r="O30" s="508"/>
      <c r="P30" s="508"/>
      <c r="Q30" s="508"/>
      <c r="R30" s="508"/>
      <c r="S30" s="508"/>
      <c r="T30" s="508"/>
      <c r="U30" s="509"/>
      <c r="V30" s="508"/>
      <c r="W30" s="508"/>
      <c r="X30" s="500"/>
      <c r="Y30" s="500"/>
      <c r="Z30" s="500"/>
      <c r="AA30" s="500"/>
      <c r="AB30" s="500"/>
      <c r="AC30" s="500"/>
      <c r="AD30" s="500"/>
      <c r="AE30" s="500"/>
      <c r="AF30" s="500"/>
      <c r="AG30" s="500"/>
      <c r="AH30" s="500"/>
      <c r="AI30" s="500"/>
      <c r="AJ30" s="500"/>
      <c r="AK30" s="500"/>
      <c r="AL30" s="500"/>
    </row>
    <row r="31" spans="1:80" s="4794" customFormat="1" ht="15" customHeight="1">
      <c r="U31" s="107"/>
    </row>
    <row r="32" spans="1:80" s="4794" customFormat="1" ht="15" customHeight="1">
      <c r="A32" s="1678" t="s">
        <v>1912</v>
      </c>
      <c r="B32" s="1678"/>
      <c r="C32" s="1678"/>
      <c r="D32" s="1678"/>
      <c r="E32" s="1678"/>
      <c r="F32" s="1678"/>
      <c r="G32" s="1678"/>
      <c r="H32" s="1678"/>
      <c r="I32" s="1678"/>
      <c r="J32" s="1678"/>
      <c r="K32" s="1678"/>
      <c r="L32" s="1678"/>
      <c r="M32" s="1678"/>
      <c r="N32" s="1678"/>
      <c r="O32" s="1678"/>
      <c r="P32" s="1678"/>
      <c r="Q32" s="1678"/>
      <c r="R32" s="1678"/>
      <c r="S32" s="1678"/>
      <c r="T32" s="1678"/>
      <c r="U32" s="106"/>
      <c r="V32" s="1678"/>
      <c r="W32" s="1678"/>
    </row>
    <row r="33" spans="1:38" s="4794" customFormat="1" ht="15" customHeight="1">
      <c r="U33" s="107"/>
    </row>
    <row r="34" spans="1:38" s="5177" customFormat="1" ht="15" customHeight="1">
      <c r="A34" s="338"/>
      <c r="B34" s="338"/>
      <c r="C34" s="99"/>
      <c r="D34" s="1682"/>
      <c r="E34" s="1682"/>
      <c r="F34" s="1682"/>
      <c r="G34" s="1682"/>
      <c r="H34" s="1682"/>
      <c r="I34" s="1682"/>
      <c r="J34" s="1682"/>
      <c r="K34" s="1662" t="s">
        <v>101</v>
      </c>
      <c r="L34" s="1592" t="s">
        <v>129</v>
      </c>
      <c r="M34" s="710"/>
      <c r="N34" s="711"/>
      <c r="O34" s="508"/>
      <c r="P34" s="508"/>
      <c r="Q34" s="508"/>
      <c r="R34" s="508"/>
      <c r="S34" s="508"/>
      <c r="T34" s="508"/>
      <c r="U34" s="509"/>
      <c r="V34" s="508"/>
      <c r="W34" s="508"/>
      <c r="X34" s="500"/>
      <c r="Y34" s="500" t="s">
        <v>136</v>
      </c>
      <c r="Z34" s="500">
        <v>1705000</v>
      </c>
      <c r="AA34" s="500"/>
      <c r="AB34" s="500"/>
      <c r="AC34" s="500"/>
      <c r="AD34" s="500"/>
      <c r="AE34" s="500"/>
      <c r="AF34" s="500"/>
      <c r="AG34" s="500"/>
      <c r="AH34" s="500"/>
      <c r="AI34" s="500"/>
      <c r="AJ34" s="500"/>
      <c r="AK34" s="500"/>
      <c r="AL34" s="500"/>
    </row>
    <row r="35" spans="1:38" s="4794" customFormat="1" ht="15" customHeight="1">
      <c r="U35" s="107"/>
    </row>
    <row r="36" spans="1:38" s="4794" customFormat="1" ht="15" customHeight="1">
      <c r="U36" s="107"/>
    </row>
    <row r="37" spans="1:38" s="5175" customFormat="1" ht="11.25" customHeight="1">
      <c r="A37" s="1678" t="s">
        <v>1913</v>
      </c>
    </row>
    <row r="38" spans="1:38" ht="11.25" customHeight="1"/>
    <row r="39" spans="1:38" s="4836" customFormat="1" ht="22.5" customHeight="1">
      <c r="A39" s="1654"/>
      <c r="B39" s="367"/>
      <c r="C39" s="754"/>
      <c r="D39" s="354"/>
      <c r="E39" s="755"/>
      <c r="F39" s="1675"/>
      <c r="G39" s="1683"/>
      <c r="H39" s="384"/>
    </row>
    <row r="40" spans="1:38" ht="11.25" customHeight="1"/>
    <row r="41" spans="1:38" s="5175" customFormat="1" ht="11.25" customHeight="1">
      <c r="A41" s="1678" t="s">
        <v>1914</v>
      </c>
    </row>
    <row r="42" spans="1:38" ht="11.25" customHeight="1"/>
    <row r="43" spans="1:38" s="4836" customFormat="1" ht="22.5" customHeight="1">
      <c r="A43" s="367"/>
      <c r="B43" s="367"/>
      <c r="C43" s="367"/>
      <c r="D43" s="354"/>
      <c r="E43" s="755"/>
      <c r="F43" s="756"/>
      <c r="G43" s="1683"/>
      <c r="H43" s="384"/>
    </row>
    <row r="44" spans="1:38" ht="11.25" customHeight="1"/>
    <row r="45" spans="1:38" s="5175" customFormat="1" ht="11.25" customHeight="1">
      <c r="A45" s="1678" t="s">
        <v>1915</v>
      </c>
    </row>
    <row r="46" spans="1:38" ht="11.25" customHeight="1"/>
    <row r="47" spans="1:38" s="4836" customFormat="1" ht="24" customHeight="1">
      <c r="A47" s="5329" t="s">
        <v>391</v>
      </c>
      <c r="B47" s="410"/>
      <c r="C47" s="5340"/>
      <c r="D47" s="359" t="str">
        <f>A47</f>
        <v>5.1</v>
      </c>
      <c r="E47" s="356" t="s">
        <v>392</v>
      </c>
      <c r="F47" s="1838" t="s">
        <v>384</v>
      </c>
      <c r="G47" s="358" t="s">
        <v>393</v>
      </c>
      <c r="H47" s="384"/>
      <c r="I47" s="747"/>
    </row>
    <row r="48" spans="1:38" s="4836" customFormat="1" ht="22.5" customHeight="1">
      <c r="A48" s="5329"/>
      <c r="B48" s="410"/>
      <c r="C48" s="5340"/>
      <c r="D48" s="354" t="str">
        <f>D47&amp;".1"</f>
        <v>5.1.1</v>
      </c>
      <c r="E48" s="353" t="s">
        <v>394</v>
      </c>
      <c r="F48" s="1839" t="s">
        <v>24</v>
      </c>
      <c r="G48" s="383"/>
      <c r="H48" s="384"/>
      <c r="I48" s="747"/>
    </row>
    <row r="49" spans="1:45" s="4836" customFormat="1" ht="22.5" customHeight="1">
      <c r="A49" s="5329"/>
      <c r="B49" s="410"/>
      <c r="C49" s="5340"/>
      <c r="D49" s="354" t="str">
        <f>D47&amp;".2"</f>
        <v>5.1.2</v>
      </c>
      <c r="E49" s="353" t="s">
        <v>395</v>
      </c>
      <c r="F49" s="1595" t="s">
        <v>24</v>
      </c>
      <c r="G49" s="358" t="s">
        <v>396</v>
      </c>
      <c r="H49" s="384"/>
      <c r="I49" s="747"/>
    </row>
    <row r="50" spans="1:45" s="4836" customFormat="1" ht="22.5" customHeight="1">
      <c r="A50" s="5329"/>
      <c r="B50" s="410"/>
      <c r="C50" s="5340"/>
      <c r="D50" s="354" t="str">
        <f>D47&amp;".3"</f>
        <v>5.1.3</v>
      </c>
      <c r="E50" s="353" t="s">
        <v>397</v>
      </c>
      <c r="F50" s="1839" t="s">
        <v>24</v>
      </c>
      <c r="G50" s="383"/>
      <c r="H50" s="384"/>
      <c r="I50" s="747"/>
    </row>
    <row r="51" spans="1:45" s="4836" customFormat="1" ht="22.5" customHeight="1">
      <c r="A51" s="5329"/>
      <c r="B51" s="410"/>
      <c r="C51" s="5340"/>
      <c r="D51" s="354" t="str">
        <f>D47&amp;".4"</f>
        <v>5.1.4</v>
      </c>
      <c r="E51" s="353" t="s">
        <v>398</v>
      </c>
      <c r="F51" s="1839" t="s">
        <v>24</v>
      </c>
      <c r="G51" s="358" t="s">
        <v>399</v>
      </c>
      <c r="H51" s="384"/>
      <c r="I51" s="747"/>
    </row>
    <row r="54" spans="1:45" s="5175" customFormat="1" ht="17.25" customHeight="1">
      <c r="A54" s="1678" t="s">
        <v>1916</v>
      </c>
    </row>
    <row r="56" spans="1:45" s="4849" customFormat="1" ht="18.75" customHeight="1">
      <c r="A56" s="25"/>
      <c r="B56" s="1684"/>
      <c r="C56" s="1684"/>
      <c r="D56" s="1685"/>
      <c r="E56" s="1672"/>
      <c r="F56" s="763">
        <v>13</v>
      </c>
      <c r="G56" s="762"/>
      <c r="H56" s="692"/>
      <c r="I56" s="690"/>
      <c r="J56" s="428" t="s">
        <v>64</v>
      </c>
      <c r="K56" s="1686" t="s">
        <v>24</v>
      </c>
      <c r="L56" s="25"/>
      <c r="M56" s="1500"/>
      <c r="N56" s="1500"/>
      <c r="O56" s="1500"/>
      <c r="P56" s="424" t="s">
        <v>470</v>
      </c>
      <c r="Q56" s="424" t="s">
        <v>471</v>
      </c>
      <c r="R56" s="425" t="s">
        <v>472</v>
      </c>
      <c r="S56" s="1500" t="s">
        <v>473</v>
      </c>
      <c r="T56" s="1500"/>
      <c r="U56" s="1500"/>
      <c r="V56" s="1500"/>
    </row>
    <row r="58" spans="1:45" s="5175" customFormat="1" ht="11.25" customHeight="1">
      <c r="A58" s="1678" t="s">
        <v>1917</v>
      </c>
    </row>
    <row r="60" spans="1:45" s="4868" customFormat="1" ht="14.25" customHeight="1">
      <c r="C60" s="1552"/>
      <c r="D60" s="1731"/>
      <c r="E60" s="1640" t="s">
        <v>24</v>
      </c>
      <c r="F60" s="1730"/>
      <c r="G60" s="751"/>
      <c r="H60" s="1641"/>
      <c r="I60" s="1641"/>
      <c r="J60" s="347"/>
      <c r="K60" s="1725"/>
      <c r="L60" s="346"/>
      <c r="M60" s="1725"/>
      <c r="N60" s="347"/>
      <c r="O60" s="1725"/>
      <c r="P60" s="347"/>
      <c r="Q60" s="1725"/>
      <c r="R60" s="347"/>
      <c r="S60" s="749"/>
      <c r="T60" s="1641"/>
      <c r="U60" s="347"/>
      <c r="V60" s="347"/>
      <c r="W60" s="1729"/>
      <c r="X60" s="1641"/>
      <c r="Y60" s="347"/>
      <c r="Z60" s="347"/>
      <c r="AA60" s="1729"/>
      <c r="AB60" s="1641"/>
      <c r="AC60" s="347"/>
      <c r="AD60" s="1729"/>
      <c r="AE60" s="25"/>
      <c r="AF60" s="25"/>
      <c r="AG60" s="25"/>
      <c r="AH60" s="25"/>
      <c r="AJ60" s="1500"/>
      <c r="AK60" s="1500"/>
      <c r="AL60" s="1500"/>
      <c r="AM60" s="1500"/>
      <c r="AN60" s="1500"/>
      <c r="AO60" s="1500"/>
      <c r="AP60" s="1488" t="s">
        <v>459</v>
      </c>
      <c r="AQ60" s="1488" t="s">
        <v>459</v>
      </c>
      <c r="AR60" s="1500"/>
      <c r="AS60" s="1500"/>
    </row>
    <row r="62" spans="1:45" s="5175" customFormat="1" ht="11.25" customHeight="1">
      <c r="A62" s="1678" t="s">
        <v>1918</v>
      </c>
    </row>
    <row r="64" spans="1:45" s="5178" customFormat="1" ht="15" customHeight="1">
      <c r="A64" s="71" t="s">
        <v>87</v>
      </c>
      <c r="B64" s="54" t="s">
        <v>24</v>
      </c>
      <c r="C64" s="1687"/>
      <c r="D64" s="57"/>
      <c r="E64" s="297"/>
      <c r="F64" s="297"/>
      <c r="G64" s="1666"/>
      <c r="H64" s="1686"/>
      <c r="I64" s="1667"/>
      <c r="K64" s="192"/>
      <c r="L64" s="193"/>
    </row>
    <row r="66" spans="1:30" s="5175" customFormat="1" ht="11.25" customHeight="1">
      <c r="A66" s="1678" t="s">
        <v>1919</v>
      </c>
    </row>
    <row r="68" spans="1:30" s="4868" customFormat="1" ht="14.25" customHeight="1">
      <c r="A68" s="260"/>
      <c r="B68" s="1042"/>
      <c r="C68" s="292"/>
      <c r="D68" s="1673"/>
      <c r="E68" s="781"/>
      <c r="F68" s="1686"/>
      <c r="G68" s="25"/>
      <c r="I68" s="1488"/>
      <c r="J68" s="1488"/>
    </row>
    <row r="70" spans="1:30" s="5175" customFormat="1" ht="11.25" customHeight="1">
      <c r="A70" s="1678" t="s">
        <v>1920</v>
      </c>
    </row>
    <row r="72" spans="1:30" s="4868" customFormat="1" ht="27" customHeight="1">
      <c r="A72" s="1048"/>
      <c r="B72" s="1048"/>
      <c r="C72" s="1048"/>
      <c r="D72" s="1042"/>
      <c r="E72" s="1688"/>
      <c r="F72" s="5612"/>
      <c r="G72" s="5613"/>
      <c r="H72" s="5614" t="s">
        <v>64</v>
      </c>
      <c r="I72" s="5616"/>
      <c r="J72" s="5591"/>
      <c r="K72" s="5618"/>
      <c r="L72" s="5593"/>
      <c r="M72" s="5593"/>
      <c r="N72" s="5594"/>
      <c r="O72" s="5594"/>
      <c r="P72" s="5595" t="e">
        <f>DATEDIF(DATEVALUE(N72),DATEVALUE(O72),"y")&amp;"г. "&amp;DATEDIF(DATEVALUE(N72),DATEVALUE(O72),"ym")&amp;"мес. "&amp;DATEVALUE(O72)-DATE(YEAR(DATEVALUE(O72)),MONTH(DATEVALUE(O72)),1)&amp;"дн. "</f>
        <v>#VALUE!</v>
      </c>
      <c r="Q72" s="5590"/>
      <c r="R72" s="5590"/>
      <c r="S72" s="5590"/>
      <c r="T72" s="5591"/>
      <c r="U72" s="5590"/>
      <c r="V72" s="5590"/>
      <c r="W72" s="5590"/>
      <c r="X72" s="5591"/>
      <c r="Y72" s="5588" t="s">
        <v>64</v>
      </c>
      <c r="Z72" s="1671"/>
      <c r="AA72" s="1655">
        <v>1</v>
      </c>
      <c r="AB72" s="1125"/>
      <c r="AD72" s="1500" t="s">
        <v>1921</v>
      </c>
    </row>
    <row r="73" spans="1:30" s="4868" customFormat="1" ht="10.5" customHeight="1">
      <c r="A73" s="1048"/>
      <c r="B73" s="1048"/>
      <c r="C73" s="1048"/>
      <c r="D73" s="1042"/>
      <c r="E73" s="838"/>
      <c r="F73" s="5612"/>
      <c r="G73" s="5613"/>
      <c r="H73" s="5615"/>
      <c r="I73" s="5617"/>
      <c r="J73" s="5592"/>
      <c r="K73" s="5618"/>
      <c r="L73" s="5593"/>
      <c r="M73" s="5593"/>
      <c r="N73" s="5594"/>
      <c r="O73" s="5594"/>
      <c r="P73" s="5595"/>
      <c r="Q73" s="5590"/>
      <c r="R73" s="5590"/>
      <c r="S73" s="5590"/>
      <c r="T73" s="5592"/>
      <c r="U73" s="5590"/>
      <c r="V73" s="5590"/>
      <c r="W73" s="5590"/>
      <c r="X73" s="5592"/>
      <c r="Y73" s="5589"/>
      <c r="Z73" s="264"/>
      <c r="AA73" s="479"/>
      <c r="AB73" s="555" t="s">
        <v>1922</v>
      </c>
    </row>
    <row r="75" spans="1:30" s="5175" customFormat="1" ht="11.25" customHeight="1">
      <c r="A75" s="1678" t="s">
        <v>1923</v>
      </c>
    </row>
    <row r="77" spans="1:30" s="4868" customFormat="1" ht="27" customHeight="1">
      <c r="A77" s="1048"/>
      <c r="B77" s="1048"/>
      <c r="C77" s="1048"/>
      <c r="D77" s="1042"/>
      <c r="E77" s="1688"/>
      <c r="F77" s="1660"/>
      <c r="G77" s="1610"/>
      <c r="H77" s="1611"/>
      <c r="I77" s="1612"/>
      <c r="J77" s="1613"/>
      <c r="K77" s="1614"/>
      <c r="L77" s="1615"/>
      <c r="M77" s="1615"/>
      <c r="N77" s="1616"/>
      <c r="O77" s="1616"/>
      <c r="P77" s="1617"/>
      <c r="Q77" s="1618"/>
      <c r="R77" s="1618"/>
      <c r="S77" s="1618"/>
      <c r="T77" s="1613"/>
      <c r="U77" s="1618"/>
      <c r="V77" s="1618"/>
      <c r="W77" s="1618"/>
      <c r="X77" s="1613"/>
      <c r="Y77" s="1611"/>
      <c r="Z77" s="1671"/>
      <c r="AA77" s="1655">
        <v>1</v>
      </c>
      <c r="AB77" s="1125"/>
      <c r="AD77" s="1500" t="s">
        <v>1921</v>
      </c>
    </row>
    <row r="79" spans="1:30" s="5175" customFormat="1" ht="11.25" customHeight="1">
      <c r="A79" s="1678" t="s">
        <v>1924</v>
      </c>
    </row>
    <row r="80" spans="1:30" ht="17.25" customHeight="1"/>
    <row r="81" spans="1:58" s="4868" customFormat="1" ht="21" customHeight="1">
      <c r="A81" s="1049"/>
      <c r="B81" s="1048"/>
      <c r="C81" s="1048"/>
      <c r="D81" s="1042"/>
      <c r="E81" s="1052"/>
      <c r="F81" s="1007" t="e">
        <f>INDEX(IP_MAIN_LIST_NAME_IP,MATCH(A81,IP_MAIN_LIST_IP_ID,0))&amp;" ("&amp;INDEX(IP_MAIN_START_DATE,MATCH(A81,IP_MAIN_LIST_IP_ID,0))&amp;"-"&amp;INDEX(IP_MAIN_END_DATE,MATCH(A81,IP_MAIN_LIST_IP_ID,0))&amp;")"</f>
        <v>#N/A</v>
      </c>
      <c r="G81" s="1008"/>
      <c r="H81" s="1008"/>
      <c r="I81" s="1069"/>
      <c r="J81" s="1069"/>
      <c r="K81" s="1070"/>
      <c r="L81" s="1070"/>
      <c r="M81" s="1070"/>
      <c r="N81" s="1071"/>
      <c r="O81" s="1071"/>
      <c r="P81" s="1071"/>
      <c r="Q81" s="1071"/>
      <c r="R81" s="1071"/>
      <c r="S81" s="1071"/>
      <c r="T81" s="1071"/>
      <c r="U81" s="1071"/>
      <c r="V81" s="1071"/>
      <c r="W81" s="1071"/>
      <c r="X81" s="1071"/>
      <c r="Y81" s="1071"/>
      <c r="Z81" s="1071"/>
      <c r="AA81" s="1071"/>
      <c r="AB81" s="1071"/>
      <c r="AC81" s="1071"/>
      <c r="AD81" s="1071"/>
      <c r="AE81" s="1072"/>
      <c r="AF81" s="1070"/>
      <c r="AG81" s="1070"/>
      <c r="AH81" s="1070"/>
      <c r="AI81" s="1070"/>
      <c r="AJ81" s="1070"/>
      <c r="AK81" s="1070"/>
      <c r="AL81" s="1053"/>
      <c r="AM81" s="1684"/>
      <c r="AN81" s="1684"/>
      <c r="AO81" s="1684"/>
      <c r="AP81" s="1684"/>
      <c r="AQ81" s="1684"/>
      <c r="AR81" s="1684"/>
      <c r="AS81" s="1684"/>
      <c r="AT81" s="1684"/>
      <c r="AU81" s="1684"/>
      <c r="AV81" s="1684"/>
      <c r="AW81" s="1684"/>
      <c r="AX81" s="1684"/>
      <c r="AY81" s="1684"/>
      <c r="AZ81" s="1684"/>
      <c r="BA81" s="1684"/>
      <c r="BB81" s="1684"/>
      <c r="BC81" s="1684"/>
      <c r="BD81" s="1684"/>
      <c r="BE81" s="1684"/>
      <c r="BF81" s="1684"/>
    </row>
    <row r="82" spans="1:58" s="4868" customFormat="1" ht="11.25" customHeight="1">
      <c r="A82" s="1048"/>
      <c r="B82" s="1048"/>
      <c r="C82" s="1048"/>
      <c r="D82" s="1042"/>
      <c r="E82" s="1052"/>
      <c r="F82" s="5586"/>
      <c r="G82" s="5501"/>
      <c r="H82" s="5501" t="s">
        <v>129</v>
      </c>
      <c r="I82" s="5572"/>
      <c r="J82" s="5549"/>
      <c r="K82" s="5573"/>
      <c r="L82" s="5565" t="s">
        <v>54</v>
      </c>
      <c r="M82" s="5226"/>
      <c r="N82" s="1061"/>
      <c r="O82" s="1060" t="s">
        <v>454</v>
      </c>
      <c r="P82" s="1061"/>
      <c r="Q82" s="1061"/>
      <c r="R82" s="1061"/>
      <c r="S82" s="1061"/>
      <c r="T82" s="1061"/>
      <c r="U82" s="1061"/>
      <c r="V82" s="1061"/>
      <c r="W82" s="1061"/>
      <c r="X82" s="1061"/>
      <c r="Y82" s="1061"/>
      <c r="Z82" s="1061"/>
      <c r="AA82" s="1061"/>
      <c r="AB82" s="1061"/>
      <c r="AC82" s="1061"/>
      <c r="AD82" s="1061"/>
      <c r="AE82" s="1061"/>
      <c r="AF82" s="5564"/>
      <c r="AG82" s="5565"/>
      <c r="AH82" s="5565"/>
      <c r="AI82" s="5564"/>
      <c r="AJ82" s="5565"/>
      <c r="AK82" s="5565"/>
      <c r="AL82" s="1055"/>
      <c r="AM82" s="1684"/>
      <c r="AN82" s="1684"/>
      <c r="AO82" s="1684"/>
      <c r="AP82" s="1684"/>
      <c r="AQ82" s="1684"/>
      <c r="AR82" s="1684"/>
      <c r="AS82" s="1684"/>
      <c r="AT82" s="1684"/>
      <c r="AU82" s="1684"/>
      <c r="AV82" s="1684"/>
      <c r="AW82" s="1684"/>
      <c r="AX82" s="1684"/>
      <c r="AY82" s="1684"/>
      <c r="AZ82" s="1684"/>
      <c r="BA82" s="1684"/>
      <c r="BB82" s="1684"/>
      <c r="BC82" s="1684"/>
      <c r="BD82" s="1684"/>
      <c r="BE82" s="1684"/>
      <c r="BF82" s="1684"/>
    </row>
    <row r="83" spans="1:58" s="4868" customFormat="1" ht="11.25" customHeight="1">
      <c r="A83" s="1048"/>
      <c r="B83" s="1048"/>
      <c r="C83" s="1048"/>
      <c r="D83" s="1042"/>
      <c r="E83" s="1052"/>
      <c r="F83" s="5586"/>
      <c r="G83" s="5501"/>
      <c r="H83" s="5501"/>
      <c r="I83" s="5572"/>
      <c r="J83" s="5549"/>
      <c r="K83" s="5573"/>
      <c r="L83" s="5565"/>
      <c r="M83" s="5226"/>
      <c r="N83" s="5566"/>
      <c r="O83" s="5567">
        <v>1</v>
      </c>
      <c r="P83" s="5568" t="s">
        <v>54</v>
      </c>
      <c r="Q83" s="5483" t="s">
        <v>24</v>
      </c>
      <c r="R83" s="5483" t="s">
        <v>24</v>
      </c>
      <c r="S83" s="5483" t="s">
        <v>24</v>
      </c>
      <c r="T83" s="5483" t="s">
        <v>24</v>
      </c>
      <c r="U83" s="5483" t="s">
        <v>24</v>
      </c>
      <c r="V83" s="5483" t="s">
        <v>24</v>
      </c>
      <c r="W83" s="5483" t="s">
        <v>24</v>
      </c>
      <c r="X83" s="5483" t="s">
        <v>24</v>
      </c>
      <c r="Y83" s="5483"/>
      <c r="Z83" s="1058"/>
      <c r="AA83" s="1059"/>
      <c r="AB83" s="1059"/>
      <c r="AC83" s="1063"/>
      <c r="AD83" s="1063"/>
      <c r="AE83" s="1064"/>
      <c r="AF83" s="5564"/>
      <c r="AG83" s="5565"/>
      <c r="AH83" s="5565"/>
      <c r="AI83" s="5564"/>
      <c r="AJ83" s="5565"/>
      <c r="AK83" s="5565"/>
      <c r="AL83" s="1055"/>
      <c r="AM83" s="1684"/>
      <c r="AN83" s="1684"/>
      <c r="AO83" s="1684"/>
      <c r="AP83" s="1684"/>
      <c r="AQ83" s="1684"/>
      <c r="AR83" s="1684"/>
      <c r="AS83" s="1684"/>
      <c r="AT83" s="1684"/>
      <c r="AU83" s="1684"/>
      <c r="AV83" s="1684"/>
      <c r="AW83" s="1684"/>
      <c r="AX83" s="1684"/>
      <c r="AY83" s="1684"/>
      <c r="AZ83" s="1684"/>
      <c r="BA83" s="1684"/>
      <c r="BB83" s="1684"/>
      <c r="BC83" s="1684"/>
      <c r="BD83" s="1684"/>
      <c r="BE83" s="1684"/>
      <c r="BF83" s="1684"/>
    </row>
    <row r="84" spans="1:58" s="4868" customFormat="1" ht="11.25" customHeight="1">
      <c r="A84" s="1048"/>
      <c r="B84" s="1048"/>
      <c r="C84" s="1048"/>
      <c r="D84" s="1042"/>
      <c r="E84" s="1052"/>
      <c r="F84" s="5586"/>
      <c r="G84" s="5501"/>
      <c r="H84" s="5501"/>
      <c r="I84" s="5572"/>
      <c r="J84" s="5549"/>
      <c r="K84" s="5573"/>
      <c r="L84" s="5565"/>
      <c r="M84" s="5226"/>
      <c r="N84" s="5566"/>
      <c r="O84" s="5567"/>
      <c r="P84" s="5569"/>
      <c r="Q84" s="5483"/>
      <c r="R84" s="5483"/>
      <c r="S84" s="5571"/>
      <c r="T84" s="5483"/>
      <c r="U84" s="5483"/>
      <c r="V84" s="5483"/>
      <c r="W84" s="5483"/>
      <c r="X84" s="5483"/>
      <c r="Y84" s="5483"/>
      <c r="Z84" s="1689"/>
      <c r="AA84" s="1657">
        <v>1</v>
      </c>
      <c r="AB84" s="1062"/>
      <c r="AC84" s="1051"/>
      <c r="AD84" s="1062">
        <f>AB84</f>
        <v>0</v>
      </c>
      <c r="AE84" s="1051"/>
      <c r="AF84" s="5564"/>
      <c r="AG84" s="5565"/>
      <c r="AH84" s="5565"/>
      <c r="AI84" s="5564"/>
      <c r="AJ84" s="5565"/>
      <c r="AK84" s="5565"/>
      <c r="AL84" s="1055"/>
      <c r="AM84" s="1684"/>
      <c r="AN84" s="1684"/>
      <c r="AO84" s="1684"/>
      <c r="AP84" s="1684"/>
      <c r="AQ84" s="1684"/>
      <c r="AR84" s="1684"/>
      <c r="AS84" s="1684"/>
      <c r="AT84" s="1684"/>
      <c r="AU84" s="1684"/>
      <c r="AV84" s="1684"/>
      <c r="AW84" s="1684"/>
      <c r="AX84" s="1684"/>
      <c r="AY84" s="1684"/>
      <c r="AZ84" s="1684"/>
      <c r="BA84" s="1684"/>
      <c r="BB84" s="1684"/>
      <c r="BC84" s="1684"/>
      <c r="BD84" s="1684"/>
      <c r="BE84" s="1684"/>
      <c r="BF84" s="1684"/>
    </row>
    <row r="85" spans="1:58" s="4868" customFormat="1" ht="11.25" customHeight="1">
      <c r="A85" s="1048"/>
      <c r="B85" s="1048"/>
      <c r="C85" s="1048"/>
      <c r="D85" s="1042"/>
      <c r="E85" s="1052"/>
      <c r="F85" s="5586"/>
      <c r="G85" s="5501"/>
      <c r="H85" s="5501"/>
      <c r="I85" s="5572"/>
      <c r="J85" s="5549"/>
      <c r="K85" s="5573"/>
      <c r="L85" s="5565"/>
      <c r="M85" s="5226"/>
      <c r="N85" s="5566"/>
      <c r="O85" s="5567"/>
      <c r="P85" s="5570"/>
      <c r="Q85" s="5483"/>
      <c r="R85" s="5483"/>
      <c r="S85" s="5571"/>
      <c r="T85" s="5483"/>
      <c r="U85" s="5483"/>
      <c r="V85" s="5483"/>
      <c r="W85" s="5483"/>
      <c r="X85" s="5483"/>
      <c r="Y85" s="5483"/>
      <c r="Z85" s="1058"/>
      <c r="AA85" s="1059"/>
      <c r="AB85" s="1124" t="s">
        <v>1925</v>
      </c>
      <c r="AC85" s="1063"/>
      <c r="AD85" s="1063"/>
      <c r="AE85" s="1065"/>
      <c r="AF85" s="5564"/>
      <c r="AG85" s="5565"/>
      <c r="AH85" s="5565"/>
      <c r="AI85" s="5564"/>
      <c r="AJ85" s="5565"/>
      <c r="AK85" s="5565"/>
      <c r="AL85" s="1055"/>
      <c r="AM85" s="1684"/>
      <c r="AN85" s="1684"/>
      <c r="AO85" s="1684"/>
      <c r="AP85" s="1684"/>
      <c r="AQ85" s="1684"/>
      <c r="AR85" s="1684"/>
      <c r="AS85" s="1684"/>
      <c r="AT85" s="1684"/>
      <c r="AU85" s="1684"/>
      <c r="AV85" s="1684"/>
      <c r="AW85" s="1684"/>
      <c r="AX85" s="1684"/>
      <c r="AY85" s="1684"/>
      <c r="AZ85" s="1684"/>
      <c r="BA85" s="1684"/>
      <c r="BB85" s="1684"/>
      <c r="BC85" s="1684"/>
      <c r="BD85" s="1684"/>
      <c r="BE85" s="1684"/>
      <c r="BF85" s="1684"/>
    </row>
    <row r="86" spans="1:58" s="4868" customFormat="1" ht="11.25" customHeight="1">
      <c r="A86" s="1048"/>
      <c r="B86" s="1048"/>
      <c r="C86" s="1048"/>
      <c r="D86" s="1042"/>
      <c r="E86" s="1052"/>
      <c r="F86" s="5586"/>
      <c r="G86" s="5501"/>
      <c r="H86" s="5501"/>
      <c r="I86" s="5572"/>
      <c r="J86" s="5549"/>
      <c r="K86" s="5573"/>
      <c r="L86" s="5565"/>
      <c r="M86" s="5226"/>
      <c r="N86" s="1059"/>
      <c r="O86" s="1059"/>
      <c r="P86" s="1050" t="s">
        <v>1926</v>
      </c>
      <c r="Q86" s="1059"/>
      <c r="R86" s="1059"/>
      <c r="S86" s="1059"/>
      <c r="T86" s="1059"/>
      <c r="U86" s="1059"/>
      <c r="V86" s="1059"/>
      <c r="W86" s="1059"/>
      <c r="X86" s="1059"/>
      <c r="Y86" s="1059"/>
      <c r="Z86" s="1059"/>
      <c r="AA86" s="1059"/>
      <c r="AB86" s="1059"/>
      <c r="AC86" s="1059"/>
      <c r="AD86" s="1059"/>
      <c r="AE86" s="1066"/>
      <c r="AF86" s="5564"/>
      <c r="AG86" s="5565"/>
      <c r="AH86" s="5565"/>
      <c r="AI86" s="5564"/>
      <c r="AJ86" s="5565"/>
      <c r="AK86" s="5565"/>
      <c r="AL86" s="1055"/>
      <c r="AM86" s="1684"/>
      <c r="AN86" s="1684"/>
      <c r="AO86" s="1684"/>
      <c r="AP86" s="1684"/>
      <c r="AQ86" s="1684"/>
      <c r="AR86" s="1684"/>
      <c r="AS86" s="1684"/>
      <c r="AT86" s="1684"/>
      <c r="AU86" s="1684"/>
      <c r="AV86" s="1684"/>
      <c r="AW86" s="1684"/>
      <c r="AX86" s="1684"/>
      <c r="AY86" s="1684"/>
      <c r="AZ86" s="1684"/>
      <c r="BA86" s="1684"/>
      <c r="BB86" s="1684"/>
      <c r="BC86" s="1684"/>
      <c r="BD86" s="1684"/>
      <c r="BE86" s="1684"/>
      <c r="BF86" s="1684"/>
    </row>
    <row r="87" spans="1:58" s="4868" customFormat="1" ht="12" customHeight="1">
      <c r="A87" s="1048"/>
      <c r="B87" s="1048"/>
      <c r="C87" s="1048"/>
      <c r="D87" s="1042"/>
      <c r="E87" s="1052"/>
      <c r="F87" s="5587"/>
      <c r="G87" s="1074"/>
      <c r="H87" s="1074"/>
      <c r="I87" s="5585" t="s">
        <v>1927</v>
      </c>
      <c r="J87" s="5585"/>
      <c r="K87" s="5585"/>
      <c r="L87" s="1056"/>
      <c r="M87" s="1056"/>
      <c r="N87" s="1057"/>
      <c r="O87" s="1057"/>
      <c r="P87" s="1057"/>
      <c r="Q87" s="1057"/>
      <c r="R87" s="1057"/>
      <c r="S87" s="1057"/>
      <c r="T87" s="1057"/>
      <c r="U87" s="1057"/>
      <c r="V87" s="1057"/>
      <c r="W87" s="1057"/>
      <c r="X87" s="1057"/>
      <c r="Y87" s="1057"/>
      <c r="Z87" s="1057"/>
      <c r="AA87" s="1057"/>
      <c r="AB87" s="1057"/>
      <c r="AC87" s="1057"/>
      <c r="AD87" s="1057"/>
      <c r="AE87" s="1057"/>
      <c r="AF87" s="1057"/>
      <c r="AG87" s="1056"/>
      <c r="AH87" s="1056"/>
      <c r="AI87" s="1057"/>
      <c r="AJ87" s="1056"/>
      <c r="AK87" s="1067"/>
      <c r="AL87" s="1055"/>
      <c r="AM87" s="1684"/>
      <c r="AN87" s="1684"/>
      <c r="AO87" s="1684"/>
      <c r="AP87" s="1684"/>
      <c r="AQ87" s="1684"/>
      <c r="AR87" s="1684"/>
      <c r="AS87" s="1684"/>
      <c r="AT87" s="1684"/>
      <c r="AU87" s="1684"/>
      <c r="AV87" s="1684"/>
      <c r="AW87" s="1684"/>
      <c r="AX87" s="1684"/>
      <c r="AY87" s="1684"/>
      <c r="AZ87" s="1684"/>
      <c r="BA87" s="1684"/>
      <c r="BB87" s="1684"/>
      <c r="BC87" s="1684"/>
      <c r="BD87" s="1684"/>
      <c r="BE87" s="1684"/>
      <c r="BF87" s="1684"/>
    </row>
    <row r="89" spans="1:58" s="5175" customFormat="1" ht="11.25" customHeight="1">
      <c r="A89" s="1678" t="s">
        <v>1928</v>
      </c>
    </row>
    <row r="91" spans="1:58" s="4868" customFormat="1" ht="11.25" customHeight="1">
      <c r="A91" s="1048"/>
      <c r="B91" s="1048"/>
      <c r="C91" s="1048"/>
      <c r="D91" s="1042"/>
      <c r="E91" s="1052"/>
      <c r="F91" s="1690"/>
      <c r="G91" s="1691"/>
      <c r="H91" s="1691"/>
      <c r="I91" s="1627"/>
      <c r="J91" s="1627"/>
      <c r="K91" s="1692"/>
      <c r="L91" s="1627"/>
      <c r="M91" s="1691"/>
      <c r="N91" s="5619"/>
      <c r="O91" s="5567">
        <v>1</v>
      </c>
      <c r="P91" s="5568" t="s">
        <v>54</v>
      </c>
      <c r="Q91" s="5483" t="s">
        <v>24</v>
      </c>
      <c r="R91" s="5483" t="s">
        <v>24</v>
      </c>
      <c r="S91" s="5483" t="s">
        <v>24</v>
      </c>
      <c r="T91" s="5483" t="s">
        <v>24</v>
      </c>
      <c r="U91" s="5483" t="s">
        <v>24</v>
      </c>
      <c r="V91" s="5483" t="s">
        <v>24</v>
      </c>
      <c r="W91" s="5483" t="s">
        <v>24</v>
      </c>
      <c r="X91" s="5483" t="s">
        <v>24</v>
      </c>
      <c r="Y91" s="5483"/>
      <c r="Z91" s="1058"/>
      <c r="AA91" s="1059"/>
      <c r="AB91" s="1059"/>
      <c r="AC91" s="1063"/>
      <c r="AD91" s="1063"/>
      <c r="AE91" s="1063"/>
      <c r="AF91" s="1693"/>
      <c r="AG91" s="1622"/>
      <c r="AH91" s="1622"/>
      <c r="AI91" s="1693"/>
      <c r="AJ91" s="1622"/>
      <c r="AK91" s="1622"/>
      <c r="AL91" s="1055"/>
      <c r="AM91" s="1684"/>
      <c r="AN91" s="1684"/>
      <c r="AO91" s="1684"/>
      <c r="AP91" s="1684"/>
      <c r="AQ91" s="1684"/>
      <c r="AR91" s="1684"/>
      <c r="AS91" s="1684"/>
      <c r="AT91" s="1684"/>
      <c r="AU91" s="1684"/>
      <c r="AV91" s="1684"/>
      <c r="AW91" s="1684"/>
      <c r="AX91" s="1684"/>
      <c r="AY91" s="1684"/>
      <c r="AZ91" s="1684"/>
      <c r="BA91" s="1684"/>
      <c r="BB91" s="1684"/>
      <c r="BC91" s="1684"/>
      <c r="BD91" s="1684"/>
      <c r="BE91" s="1684"/>
      <c r="BF91" s="1684"/>
    </row>
    <row r="92" spans="1:58" s="4868" customFormat="1" ht="11.25" customHeight="1">
      <c r="A92" s="1048"/>
      <c r="B92" s="1048"/>
      <c r="C92" s="1048"/>
      <c r="D92" s="1042"/>
      <c r="E92" s="1052"/>
      <c r="F92" s="1690"/>
      <c r="G92" s="1691"/>
      <c r="H92" s="1691"/>
      <c r="I92" s="1628"/>
      <c r="J92" s="1628"/>
      <c r="K92" s="1692"/>
      <c r="L92" s="1628"/>
      <c r="M92" s="1691"/>
      <c r="N92" s="5619"/>
      <c r="O92" s="5567"/>
      <c r="P92" s="5569"/>
      <c r="Q92" s="5483"/>
      <c r="R92" s="5483"/>
      <c r="S92" s="5571"/>
      <c r="T92" s="5483"/>
      <c r="U92" s="5483"/>
      <c r="V92" s="5483"/>
      <c r="W92" s="5483"/>
      <c r="X92" s="5483"/>
      <c r="Y92" s="5483"/>
      <c r="Z92" s="1689"/>
      <c r="AA92" s="1657">
        <v>1</v>
      </c>
      <c r="AB92" s="1062"/>
      <c r="AC92" s="1051"/>
      <c r="AD92" s="1062">
        <f>AB92</f>
        <v>0</v>
      </c>
      <c r="AE92" s="625"/>
      <c r="AF92" s="1692"/>
      <c r="AG92" s="1622"/>
      <c r="AH92" s="1622"/>
      <c r="AI92" s="1692"/>
      <c r="AJ92" s="1622"/>
      <c r="AK92" s="1622"/>
      <c r="AL92" s="1055"/>
      <c r="AM92" s="1684"/>
      <c r="AN92" s="1684"/>
      <c r="AO92" s="1684"/>
      <c r="AP92" s="1684"/>
      <c r="AQ92" s="1684"/>
      <c r="AR92" s="1684"/>
      <c r="AS92" s="1684"/>
      <c r="AT92" s="1684"/>
      <c r="AU92" s="1684"/>
      <c r="AV92" s="1684"/>
      <c r="AW92" s="1684"/>
      <c r="AX92" s="1684"/>
      <c r="AY92" s="1684"/>
      <c r="AZ92" s="1684"/>
      <c r="BA92" s="1684"/>
      <c r="BB92" s="1684"/>
      <c r="BC92" s="1684"/>
      <c r="BD92" s="1684"/>
      <c r="BE92" s="1684"/>
      <c r="BF92" s="1684"/>
    </row>
    <row r="93" spans="1:58" s="4868" customFormat="1" ht="11.25" customHeight="1">
      <c r="A93" s="1048"/>
      <c r="B93" s="1048"/>
      <c r="C93" s="1048"/>
      <c r="D93" s="1042"/>
      <c r="E93" s="1052"/>
      <c r="F93" s="1690"/>
      <c r="G93" s="1691"/>
      <c r="H93" s="1691"/>
      <c r="I93" s="1629"/>
      <c r="J93" s="1629"/>
      <c r="K93" s="1692"/>
      <c r="L93" s="1629"/>
      <c r="M93" s="1691"/>
      <c r="N93" s="5619"/>
      <c r="O93" s="5567"/>
      <c r="P93" s="5570"/>
      <c r="Q93" s="5483"/>
      <c r="R93" s="5483"/>
      <c r="S93" s="5571"/>
      <c r="T93" s="5483"/>
      <c r="U93" s="5483"/>
      <c r="V93" s="5483"/>
      <c r="W93" s="5483"/>
      <c r="X93" s="5483"/>
      <c r="Y93" s="5483"/>
      <c r="Z93" s="1058"/>
      <c r="AA93" s="1059"/>
      <c r="AB93" s="1124" t="s">
        <v>1925</v>
      </c>
      <c r="AC93" s="1063"/>
      <c r="AD93" s="1063"/>
      <c r="AE93" s="1063"/>
      <c r="AF93" s="1694"/>
      <c r="AG93" s="1622"/>
      <c r="AH93" s="1622"/>
      <c r="AI93" s="1694"/>
      <c r="AJ93" s="1622"/>
      <c r="AK93" s="1622"/>
      <c r="AL93" s="1055"/>
      <c r="AM93" s="1684"/>
      <c r="AN93" s="1684"/>
      <c r="AO93" s="1684"/>
      <c r="AP93" s="1684"/>
      <c r="AQ93" s="1684"/>
      <c r="AR93" s="1684"/>
      <c r="AS93" s="1684"/>
      <c r="AT93" s="1684"/>
      <c r="AU93" s="1684"/>
      <c r="AV93" s="1684"/>
      <c r="AW93" s="1684"/>
      <c r="AX93" s="1684"/>
      <c r="AY93" s="1684"/>
      <c r="AZ93" s="1684"/>
      <c r="BA93" s="1684"/>
      <c r="BB93" s="1684"/>
      <c r="BC93" s="1684"/>
      <c r="BD93" s="1684"/>
      <c r="BE93" s="1684"/>
      <c r="BF93" s="1684"/>
    </row>
    <row r="95" spans="1:58" s="5175" customFormat="1" ht="11.25" customHeight="1">
      <c r="A95" s="1678" t="s">
        <v>1929</v>
      </c>
    </row>
    <row r="97" spans="1:184" s="4868" customFormat="1" ht="11.25" customHeight="1">
      <c r="A97" s="1048"/>
      <c r="B97" s="1048"/>
      <c r="C97" s="1048"/>
      <c r="D97" s="1042"/>
      <c r="E97" s="1052"/>
      <c r="F97" s="1691"/>
      <c r="G97" s="1691"/>
      <c r="H97" s="1691"/>
      <c r="I97" s="1691"/>
      <c r="J97" s="1691"/>
      <c r="K97" s="1691"/>
      <c r="L97" s="1691"/>
      <c r="M97" s="1691"/>
      <c r="N97" s="1691"/>
      <c r="O97" s="1691"/>
      <c r="P97" s="1691"/>
      <c r="Q97" s="1691"/>
      <c r="R97" s="1691"/>
      <c r="S97" s="1691"/>
      <c r="T97" s="1691"/>
      <c r="U97" s="1691"/>
      <c r="V97" s="1691"/>
      <c r="W97" s="1691"/>
      <c r="X97" s="1691"/>
      <c r="Y97" s="1691"/>
      <c r="Z97" s="1695"/>
      <c r="AA97" s="1677">
        <v>1</v>
      </c>
      <c r="AB97" s="1062"/>
      <c r="AC97" s="1051"/>
      <c r="AD97" s="1062">
        <f>AB97</f>
        <v>0</v>
      </c>
      <c r="AE97" s="1051"/>
      <c r="AF97" s="1692"/>
      <c r="AG97" s="1622"/>
      <c r="AH97" s="1622"/>
      <c r="AI97" s="1692"/>
      <c r="AJ97" s="1622"/>
      <c r="AK97" s="1622"/>
      <c r="AL97" s="1055"/>
      <c r="AM97" s="1684"/>
      <c r="AN97" s="1684"/>
      <c r="AO97" s="1684"/>
      <c r="AP97" s="1684"/>
      <c r="AQ97" s="1684"/>
      <c r="AR97" s="1684"/>
      <c r="AS97" s="1684"/>
      <c r="AT97" s="1684"/>
      <c r="AU97" s="1684"/>
      <c r="AV97" s="1684"/>
      <c r="AW97" s="1684"/>
      <c r="AX97" s="1684"/>
      <c r="AY97" s="1684"/>
      <c r="AZ97" s="1684"/>
      <c r="BA97" s="1684"/>
      <c r="BB97" s="1684"/>
      <c r="BC97" s="1684"/>
      <c r="BD97" s="1684"/>
      <c r="BE97" s="1684"/>
      <c r="BF97" s="1684"/>
    </row>
    <row r="99" spans="1:184" s="5175" customFormat="1" ht="11.25" customHeight="1">
      <c r="A99" s="1678" t="s">
        <v>1930</v>
      </c>
    </row>
    <row r="101" spans="1:184" s="4868" customFormat="1" ht="11.25" customHeight="1">
      <c r="A101" s="1048"/>
      <c r="B101" s="1048"/>
      <c r="C101" s="1048"/>
      <c r="D101" s="1042"/>
      <c r="E101" s="1052"/>
      <c r="F101" s="1690"/>
      <c r="G101" s="1691"/>
      <c r="H101" s="5501" t="s">
        <v>129</v>
      </c>
      <c r="I101" s="5572"/>
      <c r="J101" s="5549"/>
      <c r="K101" s="5573"/>
      <c r="L101" s="5565" t="s">
        <v>54</v>
      </c>
      <c r="M101" s="5226"/>
      <c r="N101" s="1061"/>
      <c r="O101" s="1060" t="s">
        <v>454</v>
      </c>
      <c r="P101" s="1061"/>
      <c r="Q101" s="1061"/>
      <c r="R101" s="1061"/>
      <c r="S101" s="1061"/>
      <c r="T101" s="1061"/>
      <c r="U101" s="1061"/>
      <c r="V101" s="1061"/>
      <c r="W101" s="1061"/>
      <c r="X101" s="1061"/>
      <c r="Y101" s="1061"/>
      <c r="Z101" s="1061"/>
      <c r="AA101" s="1061"/>
      <c r="AB101" s="1061"/>
      <c r="AC101" s="1061"/>
      <c r="AD101" s="1061"/>
      <c r="AE101" s="1061"/>
      <c r="AF101" s="5564"/>
      <c r="AG101" s="5565"/>
      <c r="AH101" s="5565"/>
      <c r="AI101" s="5564"/>
      <c r="AJ101" s="5565"/>
      <c r="AK101" s="5565"/>
      <c r="AL101" s="1055"/>
      <c r="AM101" s="1684"/>
      <c r="AN101" s="1684"/>
      <c r="AO101" s="1684"/>
      <c r="AP101" s="1684"/>
      <c r="AQ101" s="1684"/>
      <c r="AR101" s="1684"/>
      <c r="AS101" s="1684"/>
      <c r="AT101" s="1684"/>
      <c r="AU101" s="1684"/>
      <c r="AV101" s="1684"/>
      <c r="AW101" s="1684"/>
      <c r="AX101" s="1684"/>
      <c r="AY101" s="1684"/>
      <c r="AZ101" s="1684"/>
      <c r="BA101" s="1684"/>
      <c r="BB101" s="1684"/>
      <c r="BC101" s="1684"/>
      <c r="BD101" s="1684"/>
      <c r="BE101" s="1684"/>
      <c r="BF101" s="1684"/>
    </row>
    <row r="102" spans="1:184" s="4868" customFormat="1" ht="11.25" customHeight="1">
      <c r="A102" s="1048"/>
      <c r="B102" s="1048"/>
      <c r="C102" s="1048"/>
      <c r="D102" s="1042"/>
      <c r="E102" s="1052"/>
      <c r="F102" s="1690"/>
      <c r="G102" s="1691"/>
      <c r="H102" s="5501"/>
      <c r="I102" s="5572"/>
      <c r="J102" s="5549"/>
      <c r="K102" s="5573"/>
      <c r="L102" s="5565"/>
      <c r="M102" s="5226"/>
      <c r="N102" s="5566"/>
      <c r="O102" s="5567">
        <v>1</v>
      </c>
      <c r="P102" s="5568" t="s">
        <v>54</v>
      </c>
      <c r="Q102" s="5483" t="s">
        <v>24</v>
      </c>
      <c r="R102" s="5483" t="s">
        <v>24</v>
      </c>
      <c r="S102" s="5483" t="s">
        <v>24</v>
      </c>
      <c r="T102" s="5483" t="s">
        <v>24</v>
      </c>
      <c r="U102" s="5483" t="s">
        <v>24</v>
      </c>
      <c r="V102" s="5483" t="s">
        <v>24</v>
      </c>
      <c r="W102" s="5483" t="s">
        <v>24</v>
      </c>
      <c r="X102" s="5483" t="s">
        <v>24</v>
      </c>
      <c r="Y102" s="5483"/>
      <c r="Z102" s="1058"/>
      <c r="AA102" s="1059"/>
      <c r="AB102" s="1059"/>
      <c r="AC102" s="1063"/>
      <c r="AD102" s="1063"/>
      <c r="AE102" s="1064"/>
      <c r="AF102" s="5564"/>
      <c r="AG102" s="5565"/>
      <c r="AH102" s="5565"/>
      <c r="AI102" s="5564"/>
      <c r="AJ102" s="5565"/>
      <c r="AK102" s="5565"/>
      <c r="AL102" s="1055"/>
      <c r="AM102" s="1684"/>
      <c r="AN102" s="1684"/>
      <c r="AO102" s="1684"/>
      <c r="AP102" s="1684"/>
      <c r="AQ102" s="1684"/>
      <c r="AR102" s="1684"/>
      <c r="AS102" s="1684"/>
      <c r="AT102" s="1684"/>
      <c r="AU102" s="1684"/>
      <c r="AV102" s="1684"/>
      <c r="AW102" s="1684"/>
      <c r="AX102" s="1684"/>
      <c r="AY102" s="1684"/>
      <c r="AZ102" s="1684"/>
      <c r="BA102" s="1684"/>
      <c r="BB102" s="1684"/>
      <c r="BC102" s="1684"/>
      <c r="BD102" s="1684"/>
      <c r="BE102" s="1684"/>
      <c r="BF102" s="1684"/>
    </row>
    <row r="103" spans="1:184" s="4868" customFormat="1" ht="11.25" customHeight="1">
      <c r="A103" s="1048"/>
      <c r="B103" s="1048"/>
      <c r="C103" s="1048"/>
      <c r="D103" s="1042"/>
      <c r="E103" s="1052"/>
      <c r="F103" s="1690"/>
      <c r="G103" s="1691"/>
      <c r="H103" s="5501"/>
      <c r="I103" s="5572"/>
      <c r="J103" s="5549"/>
      <c r="K103" s="5573"/>
      <c r="L103" s="5565"/>
      <c r="M103" s="5226"/>
      <c r="N103" s="5566"/>
      <c r="O103" s="5567"/>
      <c r="P103" s="5569"/>
      <c r="Q103" s="5483"/>
      <c r="R103" s="5483"/>
      <c r="S103" s="5571"/>
      <c r="T103" s="5483"/>
      <c r="U103" s="5483"/>
      <c r="V103" s="5483"/>
      <c r="W103" s="5483"/>
      <c r="X103" s="5483"/>
      <c r="Y103" s="5483"/>
      <c r="Z103" s="1689"/>
      <c r="AA103" s="1657">
        <v>1</v>
      </c>
      <c r="AB103" s="1062"/>
      <c r="AC103" s="1051"/>
      <c r="AD103" s="1062">
        <f>AB103</f>
        <v>0</v>
      </c>
      <c r="AE103" s="1051"/>
      <c r="AF103" s="5564"/>
      <c r="AG103" s="5565"/>
      <c r="AH103" s="5565"/>
      <c r="AI103" s="5564"/>
      <c r="AJ103" s="5565"/>
      <c r="AK103" s="5565"/>
      <c r="AL103" s="1055"/>
      <c r="AM103" s="1684"/>
      <c r="AN103" s="1684"/>
      <c r="AO103" s="1684"/>
      <c r="AP103" s="1684"/>
      <c r="AQ103" s="1684"/>
      <c r="AR103" s="1684"/>
      <c r="AS103" s="1684"/>
      <c r="AT103" s="1684"/>
      <c r="AU103" s="1684"/>
      <c r="AV103" s="1684"/>
      <c r="AW103" s="1684"/>
      <c r="AX103" s="1684"/>
      <c r="AY103" s="1684"/>
      <c r="AZ103" s="1684"/>
      <c r="BA103" s="1684"/>
      <c r="BB103" s="1684"/>
      <c r="BC103" s="1684"/>
      <c r="BD103" s="1684"/>
      <c r="BE103" s="1684"/>
      <c r="BF103" s="1684"/>
    </row>
    <row r="104" spans="1:184" s="4868" customFormat="1" ht="11.25" customHeight="1">
      <c r="A104" s="1048"/>
      <c r="B104" s="1048"/>
      <c r="C104" s="1048"/>
      <c r="D104" s="1042"/>
      <c r="E104" s="1052"/>
      <c r="F104" s="1690"/>
      <c r="G104" s="1691"/>
      <c r="H104" s="5501"/>
      <c r="I104" s="5572"/>
      <c r="J104" s="5549"/>
      <c r="K104" s="5573"/>
      <c r="L104" s="5565"/>
      <c r="M104" s="5226"/>
      <c r="N104" s="5566"/>
      <c r="O104" s="5567"/>
      <c r="P104" s="5570"/>
      <c r="Q104" s="5483"/>
      <c r="R104" s="5483"/>
      <c r="S104" s="5571"/>
      <c r="T104" s="5483"/>
      <c r="U104" s="5483"/>
      <c r="V104" s="5483"/>
      <c r="W104" s="5483"/>
      <c r="X104" s="5483"/>
      <c r="Y104" s="5483"/>
      <c r="Z104" s="1058"/>
      <c r="AA104" s="1059"/>
      <c r="AB104" s="1124" t="s">
        <v>1925</v>
      </c>
      <c r="AC104" s="1063"/>
      <c r="AD104" s="1063"/>
      <c r="AE104" s="1065"/>
      <c r="AF104" s="5564"/>
      <c r="AG104" s="5565"/>
      <c r="AH104" s="5565"/>
      <c r="AI104" s="5564"/>
      <c r="AJ104" s="5565"/>
      <c r="AK104" s="5565"/>
      <c r="AL104" s="1055"/>
      <c r="AM104" s="1684"/>
      <c r="AN104" s="1684"/>
      <c r="AO104" s="1684"/>
      <c r="AP104" s="1684"/>
      <c r="AQ104" s="1684"/>
      <c r="AR104" s="1684"/>
      <c r="AS104" s="1684"/>
      <c r="AT104" s="1684"/>
      <c r="AU104" s="1684"/>
      <c r="AV104" s="1684"/>
      <c r="AW104" s="1684"/>
      <c r="AX104" s="1684"/>
      <c r="AY104" s="1684"/>
      <c r="AZ104" s="1684"/>
      <c r="BA104" s="1684"/>
      <c r="BB104" s="1684"/>
      <c r="BC104" s="1684"/>
      <c r="BD104" s="1684"/>
      <c r="BE104" s="1684"/>
      <c r="BF104" s="1684"/>
    </row>
    <row r="105" spans="1:184" s="4868" customFormat="1" ht="11.25" customHeight="1">
      <c r="A105" s="1048"/>
      <c r="B105" s="1048"/>
      <c r="C105" s="1048"/>
      <c r="D105" s="1042"/>
      <c r="E105" s="1052"/>
      <c r="F105" s="1690"/>
      <c r="G105" s="1691"/>
      <c r="H105" s="5501"/>
      <c r="I105" s="5572"/>
      <c r="J105" s="5549"/>
      <c r="K105" s="5573"/>
      <c r="L105" s="5565"/>
      <c r="M105" s="5226"/>
      <c r="N105" s="1059"/>
      <c r="O105" s="1059"/>
      <c r="P105" s="1050" t="s">
        <v>1926</v>
      </c>
      <c r="Q105" s="1059"/>
      <c r="R105" s="1059"/>
      <c r="S105" s="1059"/>
      <c r="T105" s="1059"/>
      <c r="U105" s="1059"/>
      <c r="V105" s="1059"/>
      <c r="W105" s="1059"/>
      <c r="X105" s="1059"/>
      <c r="Y105" s="1059"/>
      <c r="Z105" s="1059"/>
      <c r="AA105" s="1059"/>
      <c r="AB105" s="1059"/>
      <c r="AC105" s="1059"/>
      <c r="AD105" s="1059"/>
      <c r="AE105" s="1066"/>
      <c r="AF105" s="5564"/>
      <c r="AG105" s="5565"/>
      <c r="AH105" s="5565"/>
      <c r="AI105" s="5564"/>
      <c r="AJ105" s="5565"/>
      <c r="AK105" s="5565"/>
      <c r="AL105" s="1055"/>
      <c r="AM105" s="1684"/>
      <c r="AN105" s="1684"/>
      <c r="AO105" s="1684"/>
      <c r="AP105" s="1684"/>
      <c r="AQ105" s="1684"/>
      <c r="AR105" s="1684"/>
      <c r="AS105" s="1684"/>
      <c r="AT105" s="1684"/>
      <c r="AU105" s="1684"/>
      <c r="AV105" s="1684"/>
      <c r="AW105" s="1684"/>
      <c r="AX105" s="1684"/>
      <c r="AY105" s="1684"/>
      <c r="AZ105" s="1684"/>
      <c r="BA105" s="1684"/>
      <c r="BB105" s="1684"/>
      <c r="BC105" s="1684"/>
      <c r="BD105" s="1684"/>
      <c r="BE105" s="1684"/>
      <c r="BF105" s="1684"/>
    </row>
    <row r="107" spans="1:184" s="5175" customFormat="1" ht="11.25" customHeight="1">
      <c r="A107" s="1678" t="s">
        <v>1931</v>
      </c>
    </row>
    <row r="108" spans="1:184" ht="17.25" customHeight="1"/>
    <row r="109" spans="1:184" s="5134" customFormat="1" ht="21" customHeight="1">
      <c r="A109" s="1049"/>
      <c r="B109" s="831"/>
      <c r="D109" s="818"/>
      <c r="E109" s="830" t="s">
        <v>24</v>
      </c>
      <c r="F109" s="1006" t="e">
        <f>INDEX(IP_MAIN_LIST_NAME_IP,MATCH(A109,IP_MAIN_LIST_IP_ID,0))&amp;" ("&amp;INDEX(IP_MAIN_START_DATE,MATCH(A109,IP_MAIN_LIST_IP_ID,0))&amp;"-"&amp;INDEX(IP_MAIN_END_DATE,MATCH(A109,IP_MAIN_LIST_IP_ID,0))&amp;")"</f>
        <v>#N/A</v>
      </c>
      <c r="G109" s="1087"/>
      <c r="H109" s="1088"/>
      <c r="I109" s="1088"/>
      <c r="J109" s="1088"/>
      <c r="K109" s="1088"/>
      <c r="L109" s="1088"/>
      <c r="M109" s="1088"/>
      <c r="N109" s="1088"/>
      <c r="O109" s="1087"/>
      <c r="P109" s="1087"/>
      <c r="Q109" s="1087"/>
      <c r="R109" s="1087"/>
      <c r="S109" s="1087"/>
      <c r="T109" s="1087"/>
      <c r="U109" s="1089"/>
      <c r="V109" s="1089"/>
      <c r="W109" s="1089"/>
      <c r="X109" s="1089"/>
      <c r="Y109" s="1089"/>
      <c r="Z109" s="1089"/>
      <c r="AA109" s="1089"/>
      <c r="AB109" s="1087"/>
      <c r="AC109" s="1088"/>
      <c r="AD109" s="1088"/>
      <c r="AE109" s="1088"/>
      <c r="AF109" s="1088"/>
      <c r="AG109" s="1088"/>
      <c r="AH109" s="1088"/>
      <c r="AI109" s="1088"/>
      <c r="AJ109" s="1088"/>
      <c r="AK109" s="1088"/>
      <c r="AL109" s="1088"/>
      <c r="AM109" s="1088"/>
      <c r="AN109" s="1088"/>
      <c r="AO109" s="1088"/>
      <c r="AP109" s="1088"/>
      <c r="AQ109" s="1088"/>
      <c r="AR109" s="1088"/>
      <c r="AS109" s="1088"/>
      <c r="AT109" s="1088"/>
      <c r="AU109" s="1088"/>
      <c r="AV109" s="1088"/>
      <c r="AW109" s="1088"/>
      <c r="AX109" s="1088"/>
      <c r="AY109" s="1088"/>
      <c r="AZ109" s="1088"/>
      <c r="BA109" s="1088"/>
      <c r="BB109" s="1088"/>
      <c r="BC109" s="1088"/>
      <c r="BD109" s="1088"/>
      <c r="BE109" s="1088"/>
      <c r="BF109" s="1088"/>
      <c r="BG109" s="1088"/>
      <c r="BH109" s="1088"/>
      <c r="BI109" s="1088"/>
      <c r="BJ109" s="1088"/>
      <c r="BK109" s="1088"/>
      <c r="BL109" s="1088"/>
      <c r="BM109" s="1088"/>
      <c r="BN109" s="1088"/>
      <c r="BO109" s="1088"/>
      <c r="BP109" s="1088"/>
      <c r="BQ109" s="1088"/>
      <c r="BR109" s="1088"/>
      <c r="BS109" s="1088"/>
      <c r="BT109" s="1088"/>
      <c r="BU109" s="1088"/>
      <c r="BV109" s="1088"/>
      <c r="BW109" s="1088"/>
      <c r="BX109" s="1088"/>
      <c r="BY109" s="1088"/>
      <c r="BZ109" s="1088"/>
      <c r="CA109" s="1088"/>
      <c r="CB109" s="1088"/>
      <c r="CC109" s="1088"/>
      <c r="CD109" s="1088"/>
      <c r="CE109" s="1088"/>
      <c r="CF109" s="1088"/>
      <c r="CG109" s="1088"/>
      <c r="CH109" s="1088"/>
      <c r="CI109" s="1088"/>
      <c r="CJ109" s="1088"/>
      <c r="CK109" s="1088"/>
      <c r="CL109" s="1090"/>
      <c r="CM109" s="1090"/>
      <c r="CN109" s="1090"/>
      <c r="CO109" s="1090"/>
      <c r="CP109" s="1090"/>
      <c r="CQ109" s="1090"/>
      <c r="CR109" s="1090"/>
      <c r="CS109" s="1090"/>
      <c r="CT109" s="1090"/>
      <c r="CU109" s="1090"/>
      <c r="CV109" s="1090"/>
      <c r="CW109" s="1090"/>
      <c r="CX109" s="1090"/>
      <c r="CY109" s="1090"/>
      <c r="CZ109" s="1090"/>
      <c r="DA109" s="1090"/>
      <c r="DB109" s="1090"/>
      <c r="DC109" s="1090"/>
      <c r="DD109" s="1090"/>
      <c r="DE109" s="1090"/>
      <c r="DF109" s="1090"/>
      <c r="DG109" s="1090"/>
      <c r="DH109" s="1090"/>
      <c r="DI109" s="1090"/>
      <c r="DJ109" s="1090"/>
      <c r="DK109" s="1090"/>
      <c r="DL109" s="1090"/>
      <c r="DM109" s="1090"/>
      <c r="DN109" s="1090"/>
      <c r="DO109" s="1090"/>
      <c r="DP109" s="1090"/>
      <c r="DQ109" s="1090"/>
      <c r="DR109" s="1090"/>
      <c r="DS109" s="1090"/>
      <c r="DT109" s="1090"/>
      <c r="DU109" s="1090"/>
      <c r="DV109" s="1090"/>
      <c r="DW109" s="1090"/>
      <c r="DX109" s="1090"/>
      <c r="DY109" s="1090"/>
      <c r="DZ109" s="1090"/>
      <c r="EA109" s="1090"/>
      <c r="EB109" s="1090"/>
      <c r="EC109" s="1090"/>
      <c r="ED109" s="1090"/>
      <c r="EE109" s="1090"/>
      <c r="EF109" s="1090"/>
      <c r="EG109" s="1090"/>
      <c r="EH109" s="1090"/>
      <c r="EI109" s="1090"/>
      <c r="EJ109" s="1090"/>
      <c r="EK109" s="1090"/>
      <c r="EL109" s="1090"/>
      <c r="EM109" s="1090"/>
      <c r="EN109" s="1090"/>
      <c r="EO109" s="1090"/>
      <c r="EP109" s="1090"/>
      <c r="EQ109" s="1090"/>
      <c r="ER109" s="1090"/>
      <c r="ES109" s="1090"/>
      <c r="ET109" s="1090"/>
      <c r="EU109" s="1090"/>
      <c r="EV109" s="1090"/>
      <c r="EW109" s="1090"/>
      <c r="EX109" s="1090"/>
      <c r="EY109" s="1090"/>
      <c r="EZ109" s="1090"/>
      <c r="FA109" s="1090"/>
      <c r="FB109" s="1090"/>
      <c r="FC109" s="1090"/>
      <c r="FD109" s="1090"/>
      <c r="FE109" s="1090"/>
      <c r="FF109" s="1090"/>
      <c r="FG109" s="1090"/>
      <c r="FH109" s="1090"/>
      <c r="FI109" s="1090"/>
      <c r="FJ109" s="1090"/>
      <c r="FK109" s="1090"/>
      <c r="FL109" s="1090"/>
      <c r="FM109" s="1090"/>
      <c r="FN109" s="1090"/>
      <c r="FO109" s="1090"/>
      <c r="FP109" s="1090"/>
      <c r="FQ109" s="1090"/>
      <c r="FR109" s="1090"/>
      <c r="FS109" s="1090"/>
      <c r="FT109" s="1090"/>
      <c r="FU109" s="1090"/>
      <c r="FV109" s="1091"/>
      <c r="FW109" s="1085"/>
      <c r="FX109" s="1086"/>
    </row>
    <row r="110" spans="1:184" s="5134" customFormat="1" ht="24.75" customHeight="1">
      <c r="B110" s="817"/>
      <c r="C110" s="818"/>
      <c r="D110" s="818"/>
      <c r="E110" s="1696"/>
      <c r="F110" s="1092">
        <v>1</v>
      </c>
      <c r="G110" s="1093"/>
      <c r="H110" s="1094"/>
      <c r="I110" s="1844"/>
      <c r="J110" s="1095"/>
      <c r="K110" s="1095"/>
      <c r="L110" s="1095"/>
      <c r="M110" s="1095"/>
      <c r="N110" s="1095"/>
      <c r="O110" s="1096"/>
      <c r="P110" s="1096"/>
      <c r="Q110" s="1096"/>
      <c r="R110" s="1096"/>
      <c r="S110" s="1096"/>
      <c r="T110" s="1096"/>
      <c r="U110" s="1096"/>
      <c r="V110" s="1096"/>
      <c r="W110" s="1096"/>
      <c r="X110" s="1096"/>
      <c r="Y110" s="1096"/>
      <c r="Z110" s="1096"/>
      <c r="AA110" s="1096"/>
      <c r="AB110" s="1096"/>
      <c r="AC110" s="1095"/>
      <c r="AD110" s="1095"/>
      <c r="AE110" s="1095"/>
      <c r="AF110" s="1095"/>
      <c r="AG110" s="1095"/>
      <c r="AH110" s="1095"/>
      <c r="AI110" s="1095"/>
      <c r="AJ110" s="1095"/>
      <c r="AK110" s="1095"/>
      <c r="AL110" s="1095"/>
      <c r="AM110" s="1095"/>
      <c r="AN110" s="1095"/>
      <c r="AO110" s="1095"/>
      <c r="AP110" s="1095"/>
      <c r="AQ110" s="1095"/>
      <c r="AR110" s="1095"/>
      <c r="AS110" s="1095"/>
      <c r="AT110" s="1095"/>
      <c r="AU110" s="1095"/>
      <c r="AV110" s="1095"/>
      <c r="AW110" s="1095"/>
      <c r="AX110" s="1095"/>
      <c r="AY110" s="1095"/>
      <c r="AZ110" s="1095"/>
      <c r="BA110" s="1095"/>
      <c r="BB110" s="1095"/>
      <c r="BC110" s="1095"/>
      <c r="BD110" s="1095"/>
      <c r="BE110" s="1095"/>
      <c r="BF110" s="1095"/>
      <c r="BG110" s="1095"/>
      <c r="BH110" s="1095"/>
      <c r="BI110" s="1095"/>
      <c r="BJ110" s="1095"/>
      <c r="BK110" s="1095"/>
      <c r="BL110" s="1095"/>
      <c r="BM110" s="1095"/>
      <c r="BN110" s="1095"/>
      <c r="BO110" s="1095"/>
      <c r="BP110" s="1095"/>
      <c r="BQ110" s="1095"/>
      <c r="BR110" s="1095"/>
      <c r="BS110" s="1095"/>
      <c r="BT110" s="1096"/>
      <c r="BU110" s="1096"/>
      <c r="BV110" s="1096"/>
      <c r="BW110" s="1096"/>
      <c r="BX110" s="1096"/>
      <c r="BY110" s="1096"/>
      <c r="BZ110" s="1096"/>
      <c r="CA110" s="1096"/>
      <c r="CB110" s="1096"/>
      <c r="CC110" s="1096"/>
      <c r="CD110" s="1096"/>
      <c r="CE110" s="1096"/>
      <c r="CF110" s="1096"/>
      <c r="CG110" s="1096"/>
      <c r="CH110" s="1096"/>
      <c r="CI110" s="1096"/>
      <c r="CJ110" s="1096"/>
      <c r="CK110" s="1096"/>
      <c r="CL110" s="1095"/>
      <c r="CM110" s="1095"/>
      <c r="CN110" s="1095"/>
      <c r="CO110" s="1095"/>
      <c r="CP110" s="1095"/>
      <c r="CQ110" s="1095"/>
      <c r="CR110" s="1095"/>
      <c r="CS110" s="1095"/>
      <c r="CT110" s="1095"/>
      <c r="CU110" s="1095"/>
      <c r="CV110" s="1095"/>
      <c r="CW110" s="1095"/>
      <c r="CX110" s="1095"/>
      <c r="CY110" s="1096"/>
      <c r="CZ110" s="1096"/>
      <c r="DA110" s="1096"/>
      <c r="DB110" s="1096"/>
      <c r="DC110" s="1096"/>
      <c r="DD110" s="1096"/>
      <c r="DE110" s="1096"/>
      <c r="DF110" s="1096"/>
      <c r="DG110" s="1096"/>
      <c r="DH110" s="1096"/>
      <c r="DI110" s="1096"/>
      <c r="DJ110" s="1096"/>
      <c r="DK110" s="1095"/>
      <c r="DL110" s="1095"/>
      <c r="DM110" s="1095"/>
      <c r="DN110" s="1095"/>
      <c r="DO110" s="1095"/>
      <c r="DP110" s="1095"/>
      <c r="DQ110" s="1095"/>
      <c r="DR110" s="1095"/>
      <c r="DS110" s="1095"/>
      <c r="DT110" s="1095"/>
      <c r="DU110" s="1095"/>
      <c r="DV110" s="1095"/>
      <c r="DW110" s="1095"/>
      <c r="DX110" s="1095"/>
      <c r="DY110" s="1095"/>
      <c r="DZ110" s="1095"/>
      <c r="EA110" s="1095"/>
      <c r="EB110" s="1095"/>
      <c r="EC110" s="1095"/>
      <c r="ED110" s="1095"/>
      <c r="EE110" s="1095"/>
      <c r="EF110" s="1095"/>
      <c r="EG110" s="1095"/>
      <c r="EH110" s="1095"/>
      <c r="EI110" s="1095"/>
      <c r="EJ110" s="1095"/>
      <c r="EK110" s="1095"/>
      <c r="EL110" s="1095"/>
      <c r="EM110" s="1095"/>
      <c r="EN110" s="1095"/>
      <c r="EO110" s="1095"/>
      <c r="EP110" s="1095"/>
      <c r="EQ110" s="1095"/>
      <c r="ER110" s="1095"/>
      <c r="ES110" s="1095"/>
      <c r="ET110" s="1095"/>
      <c r="EU110" s="1095"/>
      <c r="EV110" s="1095"/>
      <c r="EW110" s="1095"/>
      <c r="EX110" s="1095"/>
      <c r="EY110" s="1095"/>
      <c r="EZ110" s="1095"/>
      <c r="FA110" s="1095"/>
      <c r="FB110" s="1095"/>
      <c r="FC110" s="1095"/>
      <c r="FD110" s="1095"/>
      <c r="FE110" s="1095"/>
      <c r="FF110" s="1095"/>
      <c r="FG110" s="1095"/>
      <c r="FH110" s="1095"/>
      <c r="FI110" s="1095"/>
      <c r="FJ110" s="1095"/>
      <c r="FK110" s="1095"/>
      <c r="FL110" s="1095"/>
      <c r="FM110" s="1095"/>
      <c r="FN110" s="1095"/>
      <c r="FO110" s="1095"/>
      <c r="FP110" s="1095"/>
      <c r="FQ110" s="1095"/>
      <c r="FR110" s="1095"/>
      <c r="FS110" s="1095"/>
      <c r="FT110" s="1095"/>
      <c r="FU110" s="1095"/>
      <c r="FV110" s="1095"/>
      <c r="FW110" s="1095"/>
      <c r="FX110" s="1086"/>
    </row>
    <row r="111" spans="1:184" s="5134" customFormat="1" ht="12" customHeight="1">
      <c r="A111" s="818"/>
      <c r="B111" s="817"/>
      <c r="C111" s="818"/>
      <c r="D111" s="818"/>
      <c r="E111" s="818"/>
      <c r="F111" s="1097"/>
      <c r="G111" s="1663" t="s">
        <v>1932</v>
      </c>
      <c r="H111" s="1098"/>
      <c r="I111" s="1098"/>
      <c r="J111" s="1098"/>
      <c r="K111" s="1098"/>
      <c r="L111" s="1098"/>
      <c r="M111" s="1098"/>
      <c r="N111" s="1098"/>
      <c r="O111" s="1098"/>
      <c r="P111" s="1098"/>
      <c r="Q111" s="1098"/>
      <c r="R111" s="1098"/>
      <c r="S111" s="1098"/>
      <c r="T111" s="1098"/>
      <c r="U111" s="1098"/>
      <c r="V111" s="1098"/>
      <c r="W111" s="1098"/>
      <c r="X111" s="1098"/>
      <c r="Y111" s="1098"/>
      <c r="Z111" s="1098"/>
      <c r="AA111" s="1098"/>
      <c r="AB111" s="1098"/>
      <c r="AC111" s="1098"/>
      <c r="AD111" s="1098"/>
      <c r="AE111" s="1098"/>
      <c r="AF111" s="1098"/>
      <c r="AG111" s="1098"/>
      <c r="AH111" s="1098"/>
      <c r="AI111" s="1098"/>
      <c r="AJ111" s="1098"/>
      <c r="AK111" s="1098"/>
      <c r="AL111" s="1098"/>
      <c r="AM111" s="1098"/>
      <c r="AN111" s="1098"/>
      <c r="AO111" s="1098"/>
      <c r="AP111" s="1098"/>
      <c r="AQ111" s="1098"/>
      <c r="AR111" s="1098"/>
      <c r="AS111" s="1098"/>
      <c r="AT111" s="1098"/>
      <c r="AU111" s="1098"/>
      <c r="AV111" s="1098"/>
      <c r="AW111" s="1098"/>
      <c r="AX111" s="1098"/>
      <c r="AY111" s="1098"/>
      <c r="AZ111" s="1098"/>
      <c r="BA111" s="1098"/>
      <c r="BB111" s="1098"/>
      <c r="BC111" s="1098"/>
      <c r="BD111" s="1098"/>
      <c r="BE111" s="1098"/>
      <c r="BF111" s="1098"/>
      <c r="BG111" s="1098"/>
      <c r="BH111" s="1098"/>
      <c r="BI111" s="1098"/>
      <c r="BJ111" s="1098"/>
      <c r="BK111" s="1098"/>
      <c r="BL111" s="1098"/>
      <c r="BM111" s="1098"/>
      <c r="BN111" s="1098"/>
      <c r="BO111" s="1098"/>
      <c r="BP111" s="1098"/>
      <c r="BQ111" s="1098"/>
      <c r="BR111" s="1098"/>
      <c r="BS111" s="1098"/>
      <c r="BT111" s="1098"/>
      <c r="BU111" s="1098"/>
      <c r="BV111" s="1098"/>
      <c r="BW111" s="1098"/>
      <c r="BX111" s="1098"/>
      <c r="BY111" s="1098"/>
      <c r="BZ111" s="1098"/>
      <c r="CA111" s="1098"/>
      <c r="CB111" s="1098"/>
      <c r="CC111" s="1098"/>
      <c r="CD111" s="1098"/>
      <c r="CE111" s="1098"/>
      <c r="CF111" s="1098"/>
      <c r="CG111" s="1098"/>
      <c r="CH111" s="1098"/>
      <c r="CI111" s="1098"/>
      <c r="CJ111" s="1098"/>
      <c r="CK111" s="1098"/>
      <c r="CL111" s="1098"/>
      <c r="CM111" s="1098"/>
      <c r="CN111" s="1098"/>
      <c r="CO111" s="1098"/>
      <c r="CP111" s="1098"/>
      <c r="CQ111" s="1098"/>
      <c r="CR111" s="1098"/>
      <c r="CS111" s="1098"/>
      <c r="CT111" s="1098"/>
      <c r="CU111" s="1098"/>
      <c r="CV111" s="1098"/>
      <c r="CW111" s="1098"/>
      <c r="CX111" s="1098"/>
      <c r="CY111" s="1098"/>
      <c r="CZ111" s="1098"/>
      <c r="DA111" s="1098"/>
      <c r="DB111" s="1098"/>
      <c r="DC111" s="1098"/>
      <c r="DD111" s="1098"/>
      <c r="DE111" s="1098"/>
      <c r="DF111" s="1098"/>
      <c r="DG111" s="1098"/>
      <c r="DH111" s="1098"/>
      <c r="DI111" s="1098"/>
      <c r="DJ111" s="1098"/>
      <c r="DK111" s="1098"/>
      <c r="DL111" s="1098"/>
      <c r="DM111" s="1098"/>
      <c r="DN111" s="1098"/>
      <c r="DO111" s="1098"/>
      <c r="DP111" s="1098"/>
      <c r="DQ111" s="1098"/>
      <c r="DR111" s="1098"/>
      <c r="DS111" s="1098"/>
      <c r="DT111" s="1098"/>
      <c r="DU111" s="1098"/>
      <c r="DV111" s="1098"/>
      <c r="DW111" s="1098"/>
      <c r="DX111" s="1098"/>
      <c r="DY111" s="1098"/>
      <c r="DZ111" s="1098"/>
      <c r="EA111" s="1098"/>
      <c r="EB111" s="1098"/>
      <c r="EC111" s="1098"/>
      <c r="ED111" s="1098"/>
      <c r="EE111" s="1098"/>
      <c r="EF111" s="1098"/>
      <c r="EG111" s="1098"/>
      <c r="EH111" s="1098"/>
      <c r="EI111" s="1098"/>
      <c r="EJ111" s="1098"/>
      <c r="EK111" s="1098"/>
      <c r="EL111" s="1098"/>
      <c r="EM111" s="1098"/>
      <c r="EN111" s="1098"/>
      <c r="EO111" s="1098"/>
      <c r="EP111" s="1098"/>
      <c r="EQ111" s="1098"/>
      <c r="ER111" s="1098"/>
      <c r="ES111" s="1098"/>
      <c r="ET111" s="1098"/>
      <c r="EU111" s="1098"/>
      <c r="EV111" s="1098"/>
      <c r="EW111" s="1098"/>
      <c r="EX111" s="1098"/>
      <c r="EY111" s="1098"/>
      <c r="EZ111" s="1098"/>
      <c r="FA111" s="1098"/>
      <c r="FB111" s="1098"/>
      <c r="FC111" s="1098"/>
      <c r="FD111" s="1098"/>
      <c r="FE111" s="1098"/>
      <c r="FF111" s="1098"/>
      <c r="FG111" s="1098"/>
      <c r="FH111" s="1098"/>
      <c r="FI111" s="1098"/>
      <c r="FJ111" s="1098"/>
      <c r="FK111" s="1098"/>
      <c r="FL111" s="1098"/>
      <c r="FM111" s="1098"/>
      <c r="FN111" s="1098"/>
      <c r="FO111" s="1098"/>
      <c r="FP111" s="1098"/>
      <c r="FQ111" s="1098"/>
      <c r="FR111" s="1098"/>
      <c r="FS111" s="1098"/>
      <c r="FT111" s="1098"/>
      <c r="FU111" s="1098"/>
      <c r="FV111" s="1098"/>
      <c r="FW111" s="1099"/>
      <c r="FX111" s="1100"/>
      <c r="FY111" s="832"/>
      <c r="FZ111" s="832"/>
      <c r="GA111" s="832"/>
      <c r="GB111" s="832"/>
    </row>
    <row r="113" spans="1:83" s="5175" customFormat="1" ht="11.25" customHeight="1">
      <c r="A113" s="1678" t="s">
        <v>1933</v>
      </c>
    </row>
    <row r="115" spans="1:83" s="4794" customFormat="1" ht="15" customHeight="1">
      <c r="A115" s="526"/>
      <c r="B115" s="527"/>
      <c r="C115" s="527"/>
      <c r="D115" s="5609" t="s">
        <v>129</v>
      </c>
      <c r="E115" s="5464" t="s">
        <v>125</v>
      </c>
      <c r="F115" s="5465"/>
      <c r="G115" s="5466"/>
      <c r="H115" s="5470" t="str">
        <f>IF(A115="","",INDEX(DIFFERENTIATION_UNMERGE_VD,MATCH(A115,DIFFERENTIATION_ID_DIFF,0)))</f>
        <v/>
      </c>
      <c r="I115" s="5470"/>
      <c r="J115" s="5470"/>
      <c r="K115" s="5470"/>
      <c r="L115" s="5470"/>
      <c r="M115" s="5470"/>
      <c r="N115" s="5470"/>
      <c r="O115" s="5470"/>
      <c r="P115" s="5470"/>
      <c r="Q115" s="5470"/>
      <c r="R115" s="5470"/>
      <c r="S115" s="620"/>
      <c r="T115" s="617"/>
      <c r="U115" s="528"/>
      <c r="V115" s="528"/>
      <c r="W115" s="529"/>
      <c r="X115" s="529"/>
      <c r="Y115" s="529"/>
      <c r="Z115" s="529"/>
      <c r="AA115" s="530"/>
      <c r="AB115" s="531"/>
      <c r="AC115" s="5462"/>
      <c r="AD115" s="532"/>
      <c r="AE115" s="533" t="s">
        <v>24</v>
      </c>
      <c r="AF115" s="533"/>
      <c r="AG115" s="534" t="s">
        <v>698</v>
      </c>
      <c r="AH115" s="535">
        <v>3</v>
      </c>
      <c r="AI115" s="528"/>
      <c r="AJ115" s="528"/>
      <c r="AK115" s="528"/>
      <c r="AL115" s="528"/>
      <c r="AM115" s="528"/>
      <c r="AN115" s="528"/>
      <c r="AO115" s="528"/>
      <c r="AP115" s="528"/>
      <c r="AQ115" s="528"/>
      <c r="AR115" s="528"/>
      <c r="AS115" s="528"/>
      <c r="AT115" s="528"/>
      <c r="AU115" s="528"/>
      <c r="AV115" s="528"/>
      <c r="AW115" s="528"/>
      <c r="AX115" s="528"/>
      <c r="AY115" s="528"/>
      <c r="AZ115" s="528"/>
      <c r="BA115" s="528"/>
      <c r="BB115" s="528"/>
      <c r="BC115" s="528"/>
      <c r="BD115" s="528"/>
      <c r="BE115" s="528"/>
      <c r="BF115" s="528"/>
      <c r="BG115" s="528"/>
      <c r="BH115" s="528"/>
      <c r="BI115" s="528"/>
      <c r="BJ115" s="528"/>
      <c r="BK115" s="528"/>
      <c r="BL115" s="528"/>
      <c r="BM115" s="528"/>
      <c r="BN115" s="528"/>
      <c r="BO115" s="528"/>
      <c r="BP115" s="528"/>
      <c r="BQ115" s="528"/>
      <c r="BR115" s="528"/>
      <c r="BS115" s="528"/>
      <c r="BT115" s="528"/>
      <c r="BU115" s="528"/>
      <c r="BV115" s="529"/>
      <c r="BW115" s="529"/>
      <c r="BX115" s="529"/>
      <c r="BY115" s="529"/>
      <c r="BZ115" s="529"/>
      <c r="CA115" s="529"/>
      <c r="CB115" s="529"/>
      <c r="CC115" s="529"/>
      <c r="CD115" s="529"/>
      <c r="CE115" s="529"/>
    </row>
    <row r="116" spans="1:83" s="4794" customFormat="1" ht="15" customHeight="1">
      <c r="A116" s="526"/>
      <c r="B116" s="527"/>
      <c r="C116" s="527"/>
      <c r="D116" s="5610"/>
      <c r="E116" s="5464" t="s">
        <v>653</v>
      </c>
      <c r="F116" s="5465"/>
      <c r="G116" s="5466"/>
      <c r="H116" s="5470" t="str">
        <f>IF(A115="","",INDEX(DIFFERENTIATION_UNMERGE_AREA,MATCH(A115,DIFFERENTIATION_ID_DIFF,0)))</f>
        <v/>
      </c>
      <c r="I116" s="5470"/>
      <c r="J116" s="5470"/>
      <c r="K116" s="5470"/>
      <c r="L116" s="5470"/>
      <c r="M116" s="5470"/>
      <c r="N116" s="5470"/>
      <c r="O116" s="5470"/>
      <c r="P116" s="5470"/>
      <c r="Q116" s="5470"/>
      <c r="R116" s="5470"/>
      <c r="S116" s="620"/>
      <c r="T116" s="617"/>
      <c r="U116" s="528"/>
      <c r="V116" s="528"/>
      <c r="W116" s="529"/>
      <c r="X116" s="529"/>
      <c r="Y116" s="529"/>
      <c r="Z116" s="529"/>
      <c r="AA116" s="530"/>
      <c r="AB116" s="531"/>
      <c r="AC116" s="5462"/>
      <c r="AD116" s="532"/>
      <c r="AE116" s="533"/>
      <c r="AF116" s="533"/>
      <c r="AG116" s="534"/>
      <c r="AH116" s="535"/>
      <c r="AI116" s="528"/>
      <c r="AJ116" s="528"/>
      <c r="AK116" s="528"/>
      <c r="AL116" s="528"/>
      <c r="AM116" s="528"/>
      <c r="AN116" s="528"/>
      <c r="AO116" s="528"/>
      <c r="AP116" s="528"/>
      <c r="AQ116" s="528"/>
      <c r="AR116" s="528"/>
      <c r="AS116" s="528"/>
      <c r="AT116" s="528"/>
      <c r="AU116" s="528"/>
      <c r="AV116" s="528"/>
      <c r="AW116" s="528"/>
      <c r="AX116" s="528"/>
      <c r="AY116" s="528"/>
      <c r="AZ116" s="528"/>
      <c r="BA116" s="528"/>
      <c r="BB116" s="528"/>
      <c r="BC116" s="528"/>
      <c r="BD116" s="528"/>
      <c r="BE116" s="528"/>
      <c r="BF116" s="528"/>
      <c r="BG116" s="528"/>
      <c r="BH116" s="528"/>
      <c r="BI116" s="528"/>
      <c r="BJ116" s="528"/>
      <c r="BK116" s="528"/>
      <c r="BL116" s="528"/>
      <c r="BM116" s="528"/>
      <c r="BN116" s="528"/>
      <c r="BO116" s="528"/>
      <c r="BP116" s="528"/>
      <c r="BQ116" s="528"/>
      <c r="BR116" s="528"/>
      <c r="BS116" s="528"/>
      <c r="BT116" s="528"/>
      <c r="BU116" s="528"/>
      <c r="BV116" s="529"/>
      <c r="BW116" s="529"/>
      <c r="BX116" s="529"/>
      <c r="BY116" s="529"/>
      <c r="BZ116" s="529"/>
      <c r="CA116" s="529"/>
      <c r="CB116" s="529"/>
      <c r="CC116" s="529"/>
      <c r="CD116" s="529"/>
      <c r="CE116" s="529"/>
    </row>
    <row r="117" spans="1:83" s="4794" customFormat="1" ht="15" customHeight="1">
      <c r="A117" s="526"/>
      <c r="B117" s="527"/>
      <c r="C117" s="527"/>
      <c r="D117" s="5610"/>
      <c r="E117" s="5464" t="s">
        <v>654</v>
      </c>
      <c r="F117" s="5465"/>
      <c r="G117" s="5466"/>
      <c r="H117" s="5470" t="str">
        <f>IF(A115="","",INDEX(DIFFERENTIATION_UNMERGE_SYSTEM,MATCH(A115,DIFFERENTIATION_ID_DIFF,0)))</f>
        <v/>
      </c>
      <c r="I117" s="5470"/>
      <c r="J117" s="5470"/>
      <c r="K117" s="5470"/>
      <c r="L117" s="5470"/>
      <c r="M117" s="5470"/>
      <c r="N117" s="5470"/>
      <c r="O117" s="5470"/>
      <c r="P117" s="5470"/>
      <c r="Q117" s="5470"/>
      <c r="R117" s="5470"/>
      <c r="S117" s="620"/>
      <c r="T117" s="617"/>
      <c r="U117" s="528"/>
      <c r="V117" s="528"/>
      <c r="W117" s="529"/>
      <c r="X117" s="529"/>
      <c r="Y117" s="529"/>
      <c r="Z117" s="529"/>
      <c r="AA117" s="530"/>
      <c r="AB117" s="531"/>
      <c r="AC117" s="5462"/>
      <c r="AD117" s="532"/>
      <c r="AE117" s="533"/>
      <c r="AF117" s="533"/>
      <c r="AG117" s="534"/>
      <c r="AH117" s="535"/>
      <c r="AI117" s="528"/>
      <c r="AJ117" s="528"/>
      <c r="AK117" s="528"/>
      <c r="AL117" s="528"/>
      <c r="AM117" s="528"/>
      <c r="AN117" s="528"/>
      <c r="AO117" s="528"/>
      <c r="AP117" s="528"/>
      <c r="AQ117" s="528"/>
      <c r="AR117" s="528"/>
      <c r="AS117" s="528"/>
      <c r="AT117" s="528"/>
      <c r="AU117" s="528"/>
      <c r="AV117" s="528"/>
      <c r="AW117" s="528"/>
      <c r="AX117" s="528"/>
      <c r="AY117" s="528"/>
      <c r="AZ117" s="528"/>
      <c r="BA117" s="528"/>
      <c r="BB117" s="528"/>
      <c r="BC117" s="528"/>
      <c r="BD117" s="528"/>
      <c r="BE117" s="528"/>
      <c r="BF117" s="528"/>
      <c r="BG117" s="528"/>
      <c r="BH117" s="528"/>
      <c r="BI117" s="528"/>
      <c r="BJ117" s="528"/>
      <c r="BK117" s="528"/>
      <c r="BL117" s="528"/>
      <c r="BM117" s="528"/>
      <c r="BN117" s="528"/>
      <c r="BO117" s="528"/>
      <c r="BP117" s="528"/>
      <c r="BQ117" s="528"/>
      <c r="BR117" s="528"/>
      <c r="BS117" s="528"/>
      <c r="BT117" s="528"/>
      <c r="BU117" s="528"/>
      <c r="BV117" s="529"/>
      <c r="BW117" s="529"/>
      <c r="BX117" s="529"/>
      <c r="BY117" s="529"/>
      <c r="BZ117" s="529"/>
      <c r="CA117" s="529"/>
      <c r="CB117" s="529"/>
      <c r="CC117" s="529"/>
      <c r="CD117" s="529"/>
      <c r="CE117" s="529"/>
    </row>
    <row r="118" spans="1:83" s="4794" customFormat="1" ht="24.75" customHeight="1">
      <c r="A118" s="1669"/>
      <c r="B118" s="1042"/>
      <c r="C118" s="328"/>
      <c r="D118" s="5610"/>
      <c r="E118" s="5463" t="s">
        <v>699</v>
      </c>
      <c r="F118" s="5463"/>
      <c r="G118" s="5463"/>
      <c r="H118" s="5463"/>
      <c r="I118" s="5463"/>
      <c r="J118" s="5463"/>
      <c r="K118" s="5463"/>
      <c r="L118" s="5463"/>
      <c r="M118" s="5463"/>
      <c r="N118" s="5463"/>
      <c r="O118" s="5463"/>
      <c r="P118" s="5463"/>
      <c r="Q118" s="465">
        <f>SUMIF(T119:T120,"i",Q119:Q120)</f>
        <v>0</v>
      </c>
      <c r="R118" s="906"/>
      <c r="S118" s="1661" t="s">
        <v>700</v>
      </c>
      <c r="T118" s="618" t="s">
        <v>701</v>
      </c>
      <c r="U118" s="5375">
        <v>1</v>
      </c>
      <c r="V118" s="5375" t="s">
        <v>664</v>
      </c>
      <c r="W118" s="1042"/>
      <c r="X118" s="1042"/>
      <c r="Y118" s="1042"/>
      <c r="Z118" s="1042"/>
      <c r="AA118" s="1500"/>
      <c r="AB118" s="1042"/>
      <c r="AC118" s="5462"/>
      <c r="AD118" s="532"/>
      <c r="AE118" s="1042"/>
      <c r="AF118" s="1042"/>
      <c r="AG118" s="1500"/>
      <c r="AH118" s="1500"/>
      <c r="AI118" s="1500"/>
      <c r="AJ118" s="1500"/>
      <c r="AK118" s="1500"/>
      <c r="AL118" s="1500"/>
      <c r="AM118" s="1500"/>
      <c r="AN118" s="1500"/>
      <c r="AO118" s="1500"/>
      <c r="AP118" s="1500"/>
      <c r="AQ118" s="1500"/>
      <c r="AR118" s="1500"/>
      <c r="AS118" s="1500"/>
      <c r="AT118" s="1500"/>
      <c r="AU118" s="1500"/>
      <c r="AV118" s="1500"/>
      <c r="AW118" s="1500"/>
      <c r="AX118" s="1500"/>
      <c r="AY118" s="1500"/>
      <c r="AZ118" s="1500"/>
      <c r="BA118" s="1500"/>
      <c r="BB118" s="1500"/>
      <c r="BC118" s="1500"/>
      <c r="BD118" s="1500"/>
      <c r="BE118" s="1500"/>
      <c r="BF118" s="1500"/>
      <c r="BG118" s="1500"/>
      <c r="BH118" s="1500"/>
      <c r="BI118" s="1500"/>
      <c r="BJ118" s="1500"/>
      <c r="BK118" s="1500"/>
      <c r="BL118" s="1500"/>
      <c r="BM118" s="1500"/>
      <c r="BN118" s="1500"/>
      <c r="BO118" s="1500"/>
      <c r="BP118" s="1500"/>
      <c r="BQ118" s="1500"/>
      <c r="BR118" s="1500"/>
      <c r="BS118" s="1500"/>
      <c r="BT118" s="1500"/>
      <c r="BU118" s="1500"/>
      <c r="BV118" s="1042"/>
      <c r="BW118" s="1042"/>
      <c r="BX118" s="1042"/>
      <c r="BY118" s="1042"/>
      <c r="BZ118" s="1042"/>
      <c r="CA118" s="1042"/>
      <c r="CB118" s="1042"/>
      <c r="CC118" s="1042"/>
      <c r="CD118" s="1042"/>
      <c r="CE118" s="1042"/>
    </row>
    <row r="119" spans="1:83" s="4794" customFormat="1" ht="11.25" hidden="1" customHeight="1">
      <c r="A119" s="1656"/>
      <c r="B119" s="1500"/>
      <c r="C119" s="1500"/>
      <c r="D119" s="5610"/>
      <c r="E119" s="538"/>
      <c r="F119" s="538">
        <v>0</v>
      </c>
      <c r="G119" s="538"/>
      <c r="H119" s="538"/>
      <c r="I119" s="538"/>
      <c r="J119" s="538"/>
      <c r="K119" s="538"/>
      <c r="L119" s="538"/>
      <c r="M119" s="538"/>
      <c r="N119" s="538"/>
      <c r="O119" s="538"/>
      <c r="P119" s="538"/>
      <c r="Q119" s="538"/>
      <c r="R119" s="538"/>
      <c r="S119" s="539"/>
      <c r="T119" s="619"/>
      <c r="U119" s="5375"/>
      <c r="V119" s="5375"/>
      <c r="W119" s="1500"/>
      <c r="X119" s="1500"/>
      <c r="Y119" s="1500"/>
      <c r="Z119" s="1500"/>
      <c r="AA119" s="1500"/>
      <c r="AB119" s="1042"/>
      <c r="AC119" s="5462"/>
      <c r="AD119" s="532"/>
      <c r="AE119" s="1042"/>
      <c r="AF119" s="1042"/>
      <c r="AG119" s="1500"/>
      <c r="AH119" s="1500"/>
      <c r="AI119" s="1500"/>
      <c r="AJ119" s="1500"/>
      <c r="AK119" s="1500"/>
      <c r="AL119" s="1500"/>
      <c r="AM119" s="1500"/>
      <c r="AN119" s="1500"/>
      <c r="AO119" s="1500"/>
      <c r="AP119" s="1500"/>
      <c r="AQ119" s="1500"/>
      <c r="AR119" s="1500"/>
      <c r="AS119" s="1500"/>
      <c r="AT119" s="1500"/>
      <c r="AU119" s="1500"/>
      <c r="AV119" s="1500"/>
      <c r="AW119" s="1500"/>
      <c r="AX119" s="1500"/>
      <c r="AY119" s="1500"/>
      <c r="AZ119" s="1500"/>
      <c r="BA119" s="1500"/>
      <c r="BB119" s="1500"/>
      <c r="BC119" s="1500"/>
      <c r="BD119" s="1500"/>
      <c r="BE119" s="1500"/>
      <c r="BF119" s="1500"/>
      <c r="BG119" s="1500"/>
      <c r="BH119" s="1500"/>
      <c r="BI119" s="1500"/>
      <c r="BJ119" s="1500"/>
      <c r="BK119" s="1500"/>
      <c r="BL119" s="1500"/>
      <c r="BM119" s="1500"/>
      <c r="BN119" s="1500"/>
      <c r="BO119" s="1500"/>
      <c r="BP119" s="1500"/>
      <c r="BQ119" s="1500"/>
      <c r="BR119" s="1500"/>
      <c r="BS119" s="1500"/>
      <c r="BT119" s="1500"/>
      <c r="BU119" s="1500"/>
      <c r="BV119" s="1500"/>
      <c r="BW119" s="1500"/>
      <c r="BX119" s="1500"/>
      <c r="BY119" s="1500"/>
      <c r="BZ119" s="1500"/>
      <c r="CA119" s="1500"/>
      <c r="CB119" s="1500"/>
      <c r="CC119" s="1500"/>
      <c r="CD119" s="1500"/>
      <c r="CE119" s="1500"/>
    </row>
    <row r="120" spans="1:83" s="4794" customFormat="1" ht="11.25" customHeight="1">
      <c r="A120" s="1669"/>
      <c r="B120" s="1042"/>
      <c r="C120" s="328"/>
      <c r="D120" s="5610"/>
      <c r="E120" s="552" t="s">
        <v>24</v>
      </c>
      <c r="F120" s="1050" t="s">
        <v>24</v>
      </c>
      <c r="G120" s="1050" t="s">
        <v>1934</v>
      </c>
      <c r="H120" s="554" t="s">
        <v>24</v>
      </c>
      <c r="I120" s="554"/>
      <c r="J120" s="554"/>
      <c r="K120" s="554"/>
      <c r="L120" s="554"/>
      <c r="M120" s="554"/>
      <c r="N120" s="554"/>
      <c r="O120" s="554"/>
      <c r="P120" s="554"/>
      <c r="Q120" s="554"/>
      <c r="R120" s="555"/>
      <c r="S120" s="556"/>
      <c r="T120" s="619"/>
      <c r="U120" s="5375"/>
      <c r="V120" s="5375"/>
      <c r="W120" s="1042"/>
      <c r="X120" s="1042"/>
      <c r="Y120" s="1042"/>
      <c r="Z120" s="1042"/>
      <c r="AA120" s="1500"/>
      <c r="AB120" s="1042"/>
      <c r="AC120" s="5462"/>
      <c r="AD120" s="532"/>
      <c r="AE120" s="1042"/>
      <c r="AF120" s="1042"/>
      <c r="AG120" s="1500"/>
      <c r="AH120" s="1500"/>
      <c r="AI120" s="1500"/>
      <c r="AJ120" s="1500"/>
      <c r="AK120" s="1500"/>
      <c r="AL120" s="1500"/>
      <c r="AM120" s="1500"/>
      <c r="AN120" s="1500"/>
      <c r="AO120" s="1500"/>
      <c r="AP120" s="1500"/>
      <c r="AQ120" s="1500"/>
      <c r="AR120" s="1500"/>
      <c r="AS120" s="1500"/>
      <c r="AT120" s="1500"/>
      <c r="AU120" s="1500"/>
      <c r="AV120" s="1500"/>
      <c r="AW120" s="1500"/>
      <c r="AX120" s="1500"/>
      <c r="AY120" s="1500"/>
      <c r="AZ120" s="1500"/>
      <c r="BA120" s="1500"/>
      <c r="BB120" s="1500"/>
      <c r="BC120" s="1500"/>
      <c r="BD120" s="1500"/>
      <c r="BE120" s="1500"/>
      <c r="BF120" s="1500"/>
      <c r="BG120" s="1500"/>
      <c r="BH120" s="1500"/>
      <c r="BI120" s="1500"/>
      <c r="BJ120" s="1500"/>
      <c r="BK120" s="1500"/>
      <c r="BL120" s="1500"/>
      <c r="BM120" s="1500"/>
      <c r="BN120" s="1500"/>
      <c r="BO120" s="1500"/>
      <c r="BP120" s="1500"/>
      <c r="BQ120" s="1500"/>
      <c r="BR120" s="1500"/>
      <c r="BS120" s="1500"/>
      <c r="BT120" s="1500"/>
      <c r="BU120" s="1500"/>
      <c r="BV120" s="1042"/>
      <c r="BW120" s="1042"/>
      <c r="BX120" s="1042"/>
      <c r="BY120" s="1042"/>
      <c r="BZ120" s="1042"/>
      <c r="CA120" s="1042"/>
      <c r="CB120" s="1042"/>
      <c r="CC120" s="1042"/>
      <c r="CD120" s="1042"/>
      <c r="CE120" s="1042"/>
    </row>
    <row r="121" spans="1:83" s="4794" customFormat="1" ht="24.75" customHeight="1">
      <c r="A121" s="1669"/>
      <c r="B121" s="1042"/>
      <c r="C121" s="328"/>
      <c r="D121" s="5610"/>
      <c r="E121" s="5463" t="s">
        <v>702</v>
      </c>
      <c r="F121" s="5463"/>
      <c r="G121" s="5463"/>
      <c r="H121" s="5463"/>
      <c r="I121" s="5463"/>
      <c r="J121" s="5463"/>
      <c r="K121" s="5463"/>
      <c r="L121" s="5463"/>
      <c r="M121" s="5463"/>
      <c r="N121" s="5463"/>
      <c r="O121" s="5463"/>
      <c r="P121" s="5463"/>
      <c r="Q121" s="465">
        <f>SUMIF(T122:T123,"i",Q122:Q123)</f>
        <v>0</v>
      </c>
      <c r="R121" s="906"/>
      <c r="S121" s="1661" t="s">
        <v>703</v>
      </c>
      <c r="T121" s="618" t="s">
        <v>701</v>
      </c>
      <c r="U121" s="5375">
        <v>1</v>
      </c>
      <c r="V121" s="5375" t="s">
        <v>664</v>
      </c>
      <c r="W121" s="1042"/>
      <c r="X121" s="1042"/>
      <c r="Y121" s="1042"/>
      <c r="Z121" s="1042"/>
      <c r="AA121" s="1500"/>
      <c r="AB121" s="1042"/>
      <c r="AC121" s="1659"/>
      <c r="AD121" s="532"/>
      <c r="AE121" s="1042"/>
      <c r="AF121" s="1042"/>
      <c r="AG121" s="1500"/>
      <c r="AH121" s="1500"/>
      <c r="AI121" s="1500"/>
      <c r="AJ121" s="1500"/>
      <c r="AK121" s="1500"/>
      <c r="AL121" s="1500"/>
      <c r="AM121" s="1500"/>
      <c r="AN121" s="1500"/>
      <c r="AO121" s="1500"/>
      <c r="AP121" s="1500"/>
      <c r="AQ121" s="1500"/>
      <c r="AR121" s="1500"/>
      <c r="AS121" s="1500"/>
      <c r="AT121" s="1500"/>
      <c r="AU121" s="1500"/>
      <c r="AV121" s="1500"/>
      <c r="AW121" s="1500"/>
      <c r="AX121" s="1500"/>
      <c r="AY121" s="1500"/>
      <c r="AZ121" s="1500"/>
      <c r="BA121" s="1500"/>
      <c r="BB121" s="1500"/>
      <c r="BC121" s="1500"/>
      <c r="BD121" s="1500"/>
      <c r="BE121" s="1500"/>
      <c r="BF121" s="1500"/>
      <c r="BG121" s="1500"/>
      <c r="BH121" s="1500"/>
      <c r="BI121" s="1500"/>
      <c r="BJ121" s="1500"/>
      <c r="BK121" s="1500"/>
      <c r="BL121" s="1500"/>
      <c r="BM121" s="1500"/>
      <c r="BN121" s="1500"/>
      <c r="BO121" s="1500"/>
      <c r="BP121" s="1500"/>
      <c r="BQ121" s="1500"/>
      <c r="BR121" s="1500"/>
      <c r="BS121" s="1500"/>
      <c r="BT121" s="1500"/>
      <c r="BU121" s="1500"/>
      <c r="BV121" s="1042"/>
      <c r="BW121" s="1042"/>
      <c r="BX121" s="1042"/>
      <c r="BY121" s="1042"/>
      <c r="BZ121" s="1042"/>
      <c r="CA121" s="1042"/>
      <c r="CB121" s="1042"/>
      <c r="CC121" s="1042"/>
      <c r="CD121" s="1042"/>
      <c r="CE121" s="1042"/>
    </row>
    <row r="122" spans="1:83" s="4794" customFormat="1" ht="11.25" hidden="1" customHeight="1">
      <c r="A122" s="1656"/>
      <c r="B122" s="1500"/>
      <c r="C122" s="1500"/>
      <c r="D122" s="5610"/>
      <c r="E122" s="538"/>
      <c r="F122" s="538">
        <v>0</v>
      </c>
      <c r="G122" s="538"/>
      <c r="H122" s="538"/>
      <c r="I122" s="538"/>
      <c r="J122" s="538"/>
      <c r="K122" s="538"/>
      <c r="L122" s="538"/>
      <c r="M122" s="538"/>
      <c r="N122" s="538"/>
      <c r="O122" s="538"/>
      <c r="P122" s="538"/>
      <c r="Q122" s="538"/>
      <c r="R122" s="538"/>
      <c r="S122" s="539"/>
      <c r="T122" s="619"/>
      <c r="U122" s="5375"/>
      <c r="V122" s="5375"/>
      <c r="W122" s="1500"/>
      <c r="X122" s="1500"/>
      <c r="Y122" s="1500"/>
      <c r="Z122" s="1500"/>
      <c r="AA122" s="1500"/>
      <c r="AB122" s="1042"/>
      <c r="AC122" s="1659"/>
      <c r="AD122" s="532"/>
      <c r="AE122" s="1042"/>
      <c r="AF122" s="1042"/>
      <c r="AG122" s="1500"/>
      <c r="AH122" s="1500"/>
      <c r="AI122" s="1500"/>
      <c r="AJ122" s="1500"/>
      <c r="AK122" s="1500"/>
      <c r="AL122" s="1500"/>
      <c r="AM122" s="1500"/>
      <c r="AN122" s="1500"/>
      <c r="AO122" s="1500"/>
      <c r="AP122" s="1500"/>
      <c r="AQ122" s="1500"/>
      <c r="AR122" s="1500"/>
      <c r="AS122" s="1500"/>
      <c r="AT122" s="1500"/>
      <c r="AU122" s="1500"/>
      <c r="AV122" s="1500"/>
      <c r="AW122" s="1500"/>
      <c r="AX122" s="1500"/>
      <c r="AY122" s="1500"/>
      <c r="AZ122" s="1500"/>
      <c r="BA122" s="1500"/>
      <c r="BB122" s="1500"/>
      <c r="BC122" s="1500"/>
      <c r="BD122" s="1500"/>
      <c r="BE122" s="1500"/>
      <c r="BF122" s="1500"/>
      <c r="BG122" s="1500"/>
      <c r="BH122" s="1500"/>
      <c r="BI122" s="1500"/>
      <c r="BJ122" s="1500"/>
      <c r="BK122" s="1500"/>
      <c r="BL122" s="1500"/>
      <c r="BM122" s="1500"/>
      <c r="BN122" s="1500"/>
      <c r="BO122" s="1500"/>
      <c r="BP122" s="1500"/>
      <c r="BQ122" s="1500"/>
      <c r="BR122" s="1500"/>
      <c r="BS122" s="1500"/>
      <c r="BT122" s="1500"/>
      <c r="BU122" s="1500"/>
      <c r="BV122" s="1500"/>
      <c r="BW122" s="1500"/>
      <c r="BX122" s="1500"/>
      <c r="BY122" s="1500"/>
      <c r="BZ122" s="1500"/>
      <c r="CA122" s="1500"/>
      <c r="CB122" s="1500"/>
      <c r="CC122" s="1500"/>
      <c r="CD122" s="1500"/>
      <c r="CE122" s="1500"/>
    </row>
    <row r="123" spans="1:83" s="4794" customFormat="1" ht="11.25" customHeight="1">
      <c r="A123" s="1669"/>
      <c r="B123" s="1042"/>
      <c r="C123" s="328"/>
      <c r="D123" s="5611"/>
      <c r="E123" s="552" t="s">
        <v>24</v>
      </c>
      <c r="F123" s="1050" t="s">
        <v>24</v>
      </c>
      <c r="G123" s="1050" t="s">
        <v>1934</v>
      </c>
      <c r="H123" s="554" t="s">
        <v>24</v>
      </c>
      <c r="I123" s="554"/>
      <c r="J123" s="554"/>
      <c r="K123" s="554"/>
      <c r="L123" s="554"/>
      <c r="M123" s="554"/>
      <c r="N123" s="554"/>
      <c r="O123" s="554"/>
      <c r="P123" s="554"/>
      <c r="Q123" s="554"/>
      <c r="R123" s="555"/>
      <c r="S123" s="556"/>
      <c r="T123" s="619"/>
      <c r="U123" s="5375"/>
      <c r="V123" s="5375"/>
      <c r="W123" s="1042"/>
      <c r="X123" s="1042"/>
      <c r="Y123" s="1042"/>
      <c r="Z123" s="1042"/>
      <c r="AA123" s="1500"/>
      <c r="AB123" s="1042"/>
      <c r="AC123" s="1659"/>
      <c r="AD123" s="532"/>
      <c r="AE123" s="1042"/>
      <c r="AF123" s="1042"/>
      <c r="AG123" s="1500"/>
      <c r="AH123" s="1500"/>
      <c r="AI123" s="1500"/>
      <c r="AJ123" s="1500"/>
      <c r="AK123" s="1500"/>
      <c r="AL123" s="1500"/>
      <c r="AM123" s="1500"/>
      <c r="AN123" s="1500"/>
      <c r="AO123" s="1500"/>
      <c r="AP123" s="1500"/>
      <c r="AQ123" s="1500"/>
      <c r="AR123" s="1500"/>
      <c r="AS123" s="1500"/>
      <c r="AT123" s="1500"/>
      <c r="AU123" s="1500"/>
      <c r="AV123" s="1500"/>
      <c r="AW123" s="1500"/>
      <c r="AX123" s="1500"/>
      <c r="AY123" s="1500"/>
      <c r="AZ123" s="1500"/>
      <c r="BA123" s="1500"/>
      <c r="BB123" s="1500"/>
      <c r="BC123" s="1500"/>
      <c r="BD123" s="1500"/>
      <c r="BE123" s="1500"/>
      <c r="BF123" s="1500"/>
      <c r="BG123" s="1500"/>
      <c r="BH123" s="1500"/>
      <c r="BI123" s="1500"/>
      <c r="BJ123" s="1500"/>
      <c r="BK123" s="1500"/>
      <c r="BL123" s="1500"/>
      <c r="BM123" s="1500"/>
      <c r="BN123" s="1500"/>
      <c r="BO123" s="1500"/>
      <c r="BP123" s="1500"/>
      <c r="BQ123" s="1500"/>
      <c r="BR123" s="1500"/>
      <c r="BS123" s="1500"/>
      <c r="BT123" s="1500"/>
      <c r="BU123" s="1500"/>
      <c r="BV123" s="1042"/>
      <c r="BW123" s="1042"/>
      <c r="BX123" s="1042"/>
      <c r="BY123" s="1042"/>
      <c r="BZ123" s="1042"/>
      <c r="CA123" s="1042"/>
      <c r="CB123" s="1042"/>
      <c r="CC123" s="1042"/>
      <c r="CD123" s="1042"/>
      <c r="CE123" s="1042"/>
    </row>
    <row r="125" spans="1:83" s="5175" customFormat="1" ht="11.25" customHeight="1">
      <c r="A125" s="1678" t="s">
        <v>1935</v>
      </c>
    </row>
    <row r="127" spans="1:83" s="4794" customFormat="1" ht="15" customHeight="1">
      <c r="A127" s="526"/>
      <c r="B127" s="527"/>
      <c r="C127" s="527"/>
      <c r="D127" s="5609" t="s">
        <v>129</v>
      </c>
      <c r="E127" s="5464" t="s">
        <v>125</v>
      </c>
      <c r="F127" s="5465"/>
      <c r="G127" s="5466"/>
      <c r="H127" s="5470" t="str">
        <f>IF(A127="","",INDEX(DIFFERENTIATION_UNMERGE_VD,MATCH(A127,DIFFERENTIATION_ID_DIFF,0)))</f>
        <v/>
      </c>
      <c r="I127" s="5470"/>
      <c r="J127" s="5470"/>
      <c r="K127" s="5470"/>
      <c r="L127" s="5470"/>
      <c r="M127" s="5470"/>
      <c r="N127" s="5470"/>
      <c r="O127" s="5470"/>
      <c r="P127" s="5470"/>
      <c r="Q127" s="5470"/>
      <c r="R127" s="5470"/>
      <c r="S127" s="620"/>
      <c r="T127" s="617"/>
      <c r="U127" s="528"/>
      <c r="V127" s="528"/>
      <c r="W127" s="529"/>
      <c r="X127" s="529"/>
      <c r="Y127" s="529"/>
      <c r="Z127" s="529"/>
      <c r="AA127" s="530"/>
      <c r="AB127" s="531"/>
      <c r="AC127" s="5462"/>
      <c r="AD127" s="532"/>
      <c r="AE127" s="533" t="s">
        <v>24</v>
      </c>
      <c r="AF127" s="533"/>
      <c r="AG127" s="534" t="s">
        <v>698</v>
      </c>
      <c r="AH127" s="535">
        <v>3</v>
      </c>
      <c r="AI127" s="528"/>
      <c r="AJ127" s="528"/>
      <c r="AK127" s="528"/>
      <c r="AL127" s="528"/>
      <c r="AM127" s="528"/>
      <c r="AN127" s="528"/>
      <c r="AO127" s="528"/>
      <c r="AP127" s="528"/>
      <c r="AQ127" s="528"/>
      <c r="AR127" s="528"/>
      <c r="AS127" s="528"/>
      <c r="AT127" s="528"/>
      <c r="AU127" s="528"/>
      <c r="AV127" s="528"/>
      <c r="AW127" s="528"/>
      <c r="AX127" s="528"/>
      <c r="AY127" s="528"/>
      <c r="AZ127" s="528"/>
      <c r="BA127" s="528"/>
      <c r="BB127" s="528"/>
      <c r="BC127" s="528"/>
      <c r="BD127" s="528"/>
      <c r="BE127" s="528"/>
      <c r="BF127" s="528"/>
      <c r="BG127" s="528"/>
      <c r="BH127" s="528"/>
      <c r="BI127" s="528"/>
      <c r="BJ127" s="528"/>
      <c r="BK127" s="528"/>
      <c r="BL127" s="528"/>
      <c r="BM127" s="528"/>
      <c r="BN127" s="528"/>
      <c r="BO127" s="528"/>
      <c r="BP127" s="528"/>
      <c r="BQ127" s="528"/>
      <c r="BR127" s="528"/>
      <c r="BS127" s="528"/>
      <c r="BT127" s="528"/>
      <c r="BU127" s="528"/>
      <c r="BV127" s="529"/>
      <c r="BW127" s="529"/>
      <c r="BX127" s="529"/>
      <c r="BY127" s="529"/>
      <c r="BZ127" s="529"/>
      <c r="CA127" s="529"/>
      <c r="CB127" s="529"/>
      <c r="CC127" s="529"/>
      <c r="CD127" s="529"/>
      <c r="CE127" s="529"/>
    </row>
    <row r="128" spans="1:83" s="4794" customFormat="1" ht="15" customHeight="1">
      <c r="A128" s="526"/>
      <c r="B128" s="527"/>
      <c r="C128" s="527"/>
      <c r="D128" s="5610"/>
      <c r="E128" s="5464" t="s">
        <v>653</v>
      </c>
      <c r="F128" s="5465"/>
      <c r="G128" s="5466"/>
      <c r="H128" s="5470" t="str">
        <f>IF(A127="","",INDEX(DIFFERENTIATION_UNMERGE_AREA,MATCH(A127,DIFFERENTIATION_ID_DIFF,0)))</f>
        <v/>
      </c>
      <c r="I128" s="5470"/>
      <c r="J128" s="5470"/>
      <c r="K128" s="5470"/>
      <c r="L128" s="5470"/>
      <c r="M128" s="5470"/>
      <c r="N128" s="5470"/>
      <c r="O128" s="5470"/>
      <c r="P128" s="5470"/>
      <c r="Q128" s="5470"/>
      <c r="R128" s="5470"/>
      <c r="S128" s="620"/>
      <c r="T128" s="617"/>
      <c r="U128" s="528"/>
      <c r="V128" s="528"/>
      <c r="W128" s="529"/>
      <c r="X128" s="529"/>
      <c r="Y128" s="529"/>
      <c r="Z128" s="529"/>
      <c r="AA128" s="530"/>
      <c r="AB128" s="531"/>
      <c r="AC128" s="5462"/>
      <c r="AD128" s="532"/>
      <c r="AE128" s="533"/>
      <c r="AF128" s="533"/>
      <c r="AG128" s="534"/>
      <c r="AH128" s="535"/>
      <c r="AI128" s="528"/>
      <c r="AJ128" s="528"/>
      <c r="AK128" s="528"/>
      <c r="AL128" s="528"/>
      <c r="AM128" s="528"/>
      <c r="AN128" s="528"/>
      <c r="AO128" s="528"/>
      <c r="AP128" s="528"/>
      <c r="AQ128" s="528"/>
      <c r="AR128" s="528"/>
      <c r="AS128" s="528"/>
      <c r="AT128" s="528"/>
      <c r="AU128" s="528"/>
      <c r="AV128" s="528"/>
      <c r="AW128" s="528"/>
      <c r="AX128" s="528"/>
      <c r="AY128" s="528"/>
      <c r="AZ128" s="528"/>
      <c r="BA128" s="528"/>
      <c r="BB128" s="528"/>
      <c r="BC128" s="528"/>
      <c r="BD128" s="528"/>
      <c r="BE128" s="528"/>
      <c r="BF128" s="528"/>
      <c r="BG128" s="528"/>
      <c r="BH128" s="528"/>
      <c r="BI128" s="528"/>
      <c r="BJ128" s="528"/>
      <c r="BK128" s="528"/>
      <c r="BL128" s="528"/>
      <c r="BM128" s="528"/>
      <c r="BN128" s="528"/>
      <c r="BO128" s="528"/>
      <c r="BP128" s="528"/>
      <c r="BQ128" s="528"/>
      <c r="BR128" s="528"/>
      <c r="BS128" s="528"/>
      <c r="BT128" s="528"/>
      <c r="BU128" s="528"/>
      <c r="BV128" s="529"/>
      <c r="BW128" s="529"/>
      <c r="BX128" s="529"/>
      <c r="BY128" s="529"/>
      <c r="BZ128" s="529"/>
      <c r="CA128" s="529"/>
      <c r="CB128" s="529"/>
      <c r="CC128" s="529"/>
      <c r="CD128" s="529"/>
      <c r="CE128" s="529"/>
    </row>
    <row r="129" spans="1:83" s="4794" customFormat="1" ht="15" customHeight="1">
      <c r="A129" s="526"/>
      <c r="B129" s="527"/>
      <c r="C129" s="527"/>
      <c r="D129" s="5610"/>
      <c r="E129" s="5464" t="s">
        <v>654</v>
      </c>
      <c r="F129" s="5465"/>
      <c r="G129" s="5466"/>
      <c r="H129" s="5470" t="str">
        <f>IF(A127="","",INDEX(DIFFERENTIATION_UNMERGE_SYSTEM,MATCH(A127,DIFFERENTIATION_ID_DIFF,0)))</f>
        <v/>
      </c>
      <c r="I129" s="5470"/>
      <c r="J129" s="5470"/>
      <c r="K129" s="5470"/>
      <c r="L129" s="5470"/>
      <c r="M129" s="5470"/>
      <c r="N129" s="5470"/>
      <c r="O129" s="5470"/>
      <c r="P129" s="5470"/>
      <c r="Q129" s="5470"/>
      <c r="R129" s="5470"/>
      <c r="S129" s="620"/>
      <c r="T129" s="617"/>
      <c r="U129" s="528"/>
      <c r="V129" s="528"/>
      <c r="W129" s="529"/>
      <c r="X129" s="529"/>
      <c r="Y129" s="529"/>
      <c r="Z129" s="529"/>
      <c r="AA129" s="530"/>
      <c r="AB129" s="531"/>
      <c r="AC129" s="5462"/>
      <c r="AD129" s="532"/>
      <c r="AE129" s="533"/>
      <c r="AF129" s="533"/>
      <c r="AG129" s="534"/>
      <c r="AH129" s="535"/>
      <c r="AI129" s="528"/>
      <c r="AJ129" s="528"/>
      <c r="AK129" s="528"/>
      <c r="AL129" s="528"/>
      <c r="AM129" s="528"/>
      <c r="AN129" s="528"/>
      <c r="AO129" s="528"/>
      <c r="AP129" s="528"/>
      <c r="AQ129" s="528"/>
      <c r="AR129" s="528"/>
      <c r="AS129" s="528"/>
      <c r="AT129" s="528"/>
      <c r="AU129" s="528"/>
      <c r="AV129" s="528"/>
      <c r="AW129" s="528"/>
      <c r="AX129" s="528"/>
      <c r="AY129" s="528"/>
      <c r="AZ129" s="528"/>
      <c r="BA129" s="528"/>
      <c r="BB129" s="528"/>
      <c r="BC129" s="528"/>
      <c r="BD129" s="528"/>
      <c r="BE129" s="528"/>
      <c r="BF129" s="528"/>
      <c r="BG129" s="528"/>
      <c r="BH129" s="528"/>
      <c r="BI129" s="528"/>
      <c r="BJ129" s="528"/>
      <c r="BK129" s="528"/>
      <c r="BL129" s="528"/>
      <c r="BM129" s="528"/>
      <c r="BN129" s="528"/>
      <c r="BO129" s="528"/>
      <c r="BP129" s="528"/>
      <c r="BQ129" s="528"/>
      <c r="BR129" s="528"/>
      <c r="BS129" s="528"/>
      <c r="BT129" s="528"/>
      <c r="BU129" s="528"/>
      <c r="BV129" s="529"/>
      <c r="BW129" s="529"/>
      <c r="BX129" s="529"/>
      <c r="BY129" s="529"/>
      <c r="BZ129" s="529"/>
      <c r="CA129" s="529"/>
      <c r="CB129" s="529"/>
      <c r="CC129" s="529"/>
      <c r="CD129" s="529"/>
      <c r="CE129" s="529"/>
    </row>
    <row r="130" spans="1:83" s="4794" customFormat="1" ht="24.75" customHeight="1">
      <c r="A130" s="1669"/>
      <c r="B130" s="1042"/>
      <c r="C130" s="328"/>
      <c r="D130" s="5610"/>
      <c r="E130" s="5463" t="s">
        <v>699</v>
      </c>
      <c r="F130" s="5463"/>
      <c r="G130" s="5463"/>
      <c r="H130" s="5463"/>
      <c r="I130" s="5463"/>
      <c r="J130" s="5463"/>
      <c r="K130" s="5463"/>
      <c r="L130" s="5463"/>
      <c r="M130" s="5463"/>
      <c r="N130" s="5463"/>
      <c r="O130" s="5463"/>
      <c r="P130" s="5463"/>
      <c r="Q130" s="465">
        <f>SUMIF(T131:T132,"i",Q131:Q132)</f>
        <v>0</v>
      </c>
      <c r="R130" s="906"/>
      <c r="S130" s="1661" t="s">
        <v>700</v>
      </c>
      <c r="T130" s="618" t="s">
        <v>701</v>
      </c>
      <c r="U130" s="5375">
        <v>1</v>
      </c>
      <c r="V130" s="5375" t="s">
        <v>664</v>
      </c>
      <c r="W130" s="1042"/>
      <c r="X130" s="1042"/>
      <c r="Y130" s="1042"/>
      <c r="Z130" s="1042"/>
      <c r="AA130" s="1500"/>
      <c r="AB130" s="1042"/>
      <c r="AC130" s="5462"/>
      <c r="AD130" s="532"/>
      <c r="AE130" s="1042"/>
      <c r="AF130" s="1042"/>
      <c r="AG130" s="1500"/>
      <c r="AH130" s="1500"/>
      <c r="AI130" s="1500"/>
      <c r="AJ130" s="1500"/>
      <c r="AK130" s="1500"/>
      <c r="AL130" s="1500"/>
      <c r="AM130" s="1500"/>
      <c r="AN130" s="1500"/>
      <c r="AO130" s="1500"/>
      <c r="AP130" s="1500"/>
      <c r="AQ130" s="1500"/>
      <c r="AR130" s="1500"/>
      <c r="AS130" s="1500"/>
      <c r="AT130" s="1500"/>
      <c r="AU130" s="1500"/>
      <c r="AV130" s="1500"/>
      <c r="AW130" s="1500"/>
      <c r="AX130" s="1500"/>
      <c r="AY130" s="1500"/>
      <c r="AZ130" s="1500"/>
      <c r="BA130" s="1500"/>
      <c r="BB130" s="1500"/>
      <c r="BC130" s="1500"/>
      <c r="BD130" s="1500"/>
      <c r="BE130" s="1500"/>
      <c r="BF130" s="1500"/>
      <c r="BG130" s="1500"/>
      <c r="BH130" s="1500"/>
      <c r="BI130" s="1500"/>
      <c r="BJ130" s="1500"/>
      <c r="BK130" s="1500"/>
      <c r="BL130" s="1500"/>
      <c r="BM130" s="1500"/>
      <c r="BN130" s="1500"/>
      <c r="BO130" s="1500"/>
      <c r="BP130" s="1500"/>
      <c r="BQ130" s="1500"/>
      <c r="BR130" s="1500"/>
      <c r="BS130" s="1500"/>
      <c r="BT130" s="1500"/>
      <c r="BU130" s="1500"/>
      <c r="BV130" s="1042"/>
      <c r="BW130" s="1042"/>
      <c r="BX130" s="1042"/>
      <c r="BY130" s="1042"/>
      <c r="BZ130" s="1042"/>
      <c r="CA130" s="1042"/>
      <c r="CB130" s="1042"/>
      <c r="CC130" s="1042"/>
      <c r="CD130" s="1042"/>
      <c r="CE130" s="1042"/>
    </row>
    <row r="131" spans="1:83" s="4794" customFormat="1" ht="11.25" hidden="1" customHeight="1">
      <c r="A131" s="1656"/>
      <c r="B131" s="1500"/>
      <c r="C131" s="1500"/>
      <c r="D131" s="5610"/>
      <c r="E131" s="538"/>
      <c r="F131" s="538">
        <v>0</v>
      </c>
      <c r="G131" s="538"/>
      <c r="H131" s="538"/>
      <c r="I131" s="538"/>
      <c r="J131" s="538"/>
      <c r="K131" s="538"/>
      <c r="L131" s="538"/>
      <c r="M131" s="538"/>
      <c r="N131" s="538"/>
      <c r="O131" s="538"/>
      <c r="P131" s="538"/>
      <c r="Q131" s="538"/>
      <c r="R131" s="538"/>
      <c r="S131" s="539"/>
      <c r="T131" s="619"/>
      <c r="U131" s="5375"/>
      <c r="V131" s="5375"/>
      <c r="W131" s="1500"/>
      <c r="X131" s="1500"/>
      <c r="Y131" s="1500"/>
      <c r="Z131" s="1500"/>
      <c r="AA131" s="1500"/>
      <c r="AB131" s="1042"/>
      <c r="AC131" s="5462"/>
      <c r="AD131" s="532"/>
      <c r="AE131" s="1042"/>
      <c r="AF131" s="1042"/>
      <c r="AG131" s="1500"/>
      <c r="AH131" s="1500"/>
      <c r="AI131" s="1500"/>
      <c r="AJ131" s="1500"/>
      <c r="AK131" s="1500"/>
      <c r="AL131" s="1500"/>
      <c r="AM131" s="1500"/>
      <c r="AN131" s="1500"/>
      <c r="AO131" s="1500"/>
      <c r="AP131" s="1500"/>
      <c r="AQ131" s="1500"/>
      <c r="AR131" s="1500"/>
      <c r="AS131" s="1500"/>
      <c r="AT131" s="1500"/>
      <c r="AU131" s="1500"/>
      <c r="AV131" s="1500"/>
      <c r="AW131" s="1500"/>
      <c r="AX131" s="1500"/>
      <c r="AY131" s="1500"/>
      <c r="AZ131" s="1500"/>
      <c r="BA131" s="1500"/>
      <c r="BB131" s="1500"/>
      <c r="BC131" s="1500"/>
      <c r="BD131" s="1500"/>
      <c r="BE131" s="1500"/>
      <c r="BF131" s="1500"/>
      <c r="BG131" s="1500"/>
      <c r="BH131" s="1500"/>
      <c r="BI131" s="1500"/>
      <c r="BJ131" s="1500"/>
      <c r="BK131" s="1500"/>
      <c r="BL131" s="1500"/>
      <c r="BM131" s="1500"/>
      <c r="BN131" s="1500"/>
      <c r="BO131" s="1500"/>
      <c r="BP131" s="1500"/>
      <c r="BQ131" s="1500"/>
      <c r="BR131" s="1500"/>
      <c r="BS131" s="1500"/>
      <c r="BT131" s="1500"/>
      <c r="BU131" s="1500"/>
      <c r="BV131" s="1500"/>
      <c r="BW131" s="1500"/>
      <c r="BX131" s="1500"/>
      <c r="BY131" s="1500"/>
      <c r="BZ131" s="1500"/>
      <c r="CA131" s="1500"/>
      <c r="CB131" s="1500"/>
      <c r="CC131" s="1500"/>
      <c r="CD131" s="1500"/>
      <c r="CE131" s="1500"/>
    </row>
    <row r="132" spans="1:83" s="4794" customFormat="1" ht="11.25" customHeight="1">
      <c r="A132" s="1669"/>
      <c r="B132" s="1042"/>
      <c r="C132" s="328"/>
      <c r="D132" s="5610"/>
      <c r="E132" s="552" t="s">
        <v>24</v>
      </c>
      <c r="F132" s="1050" t="s">
        <v>24</v>
      </c>
      <c r="G132" s="1050" t="s">
        <v>1934</v>
      </c>
      <c r="H132" s="554" t="s">
        <v>24</v>
      </c>
      <c r="I132" s="554"/>
      <c r="J132" s="554"/>
      <c r="K132" s="554"/>
      <c r="L132" s="554"/>
      <c r="M132" s="554"/>
      <c r="N132" s="554"/>
      <c r="O132" s="554"/>
      <c r="P132" s="554"/>
      <c r="Q132" s="554"/>
      <c r="R132" s="555"/>
      <c r="S132" s="556"/>
      <c r="T132" s="619"/>
      <c r="U132" s="5375"/>
      <c r="V132" s="5375"/>
      <c r="W132" s="1042"/>
      <c r="X132" s="1042"/>
      <c r="Y132" s="1042"/>
      <c r="Z132" s="1042"/>
      <c r="AA132" s="1500"/>
      <c r="AB132" s="1042"/>
      <c r="AC132" s="5462"/>
      <c r="AD132" s="532"/>
      <c r="AE132" s="1042"/>
      <c r="AF132" s="1042"/>
      <c r="AG132" s="1500"/>
      <c r="AH132" s="1500"/>
      <c r="AI132" s="1500"/>
      <c r="AJ132" s="1500"/>
      <c r="AK132" s="1500"/>
      <c r="AL132" s="1500"/>
      <c r="AM132" s="1500"/>
      <c r="AN132" s="1500"/>
      <c r="AO132" s="1500"/>
      <c r="AP132" s="1500"/>
      <c r="AQ132" s="1500"/>
      <c r="AR132" s="1500"/>
      <c r="AS132" s="1500"/>
      <c r="AT132" s="1500"/>
      <c r="AU132" s="1500"/>
      <c r="AV132" s="1500"/>
      <c r="AW132" s="1500"/>
      <c r="AX132" s="1500"/>
      <c r="AY132" s="1500"/>
      <c r="AZ132" s="1500"/>
      <c r="BA132" s="1500"/>
      <c r="BB132" s="1500"/>
      <c r="BC132" s="1500"/>
      <c r="BD132" s="1500"/>
      <c r="BE132" s="1500"/>
      <c r="BF132" s="1500"/>
      <c r="BG132" s="1500"/>
      <c r="BH132" s="1500"/>
      <c r="BI132" s="1500"/>
      <c r="BJ132" s="1500"/>
      <c r="BK132" s="1500"/>
      <c r="BL132" s="1500"/>
      <c r="BM132" s="1500"/>
      <c r="BN132" s="1500"/>
      <c r="BO132" s="1500"/>
      <c r="BP132" s="1500"/>
      <c r="BQ132" s="1500"/>
      <c r="BR132" s="1500"/>
      <c r="BS132" s="1500"/>
      <c r="BT132" s="1500"/>
      <c r="BU132" s="1500"/>
      <c r="BV132" s="1042"/>
      <c r="BW132" s="1042"/>
      <c r="BX132" s="1042"/>
      <c r="BY132" s="1042"/>
      <c r="BZ132" s="1042"/>
      <c r="CA132" s="1042"/>
      <c r="CB132" s="1042"/>
      <c r="CC132" s="1042"/>
      <c r="CD132" s="1042"/>
      <c r="CE132" s="1042"/>
    </row>
    <row r="133" spans="1:83" s="4826" customFormat="1" ht="5.25" hidden="1" customHeight="1">
      <c r="A133" s="1656"/>
      <c r="B133" s="1500"/>
      <c r="C133" s="1500"/>
      <c r="D133" s="5610"/>
      <c r="E133" s="928"/>
      <c r="F133" s="928"/>
      <c r="G133" s="928"/>
      <c r="H133" s="928"/>
      <c r="I133" s="928"/>
      <c r="J133" s="928"/>
      <c r="K133" s="928"/>
      <c r="L133" s="928"/>
      <c r="M133" s="928"/>
      <c r="N133" s="928"/>
      <c r="O133" s="928"/>
      <c r="P133" s="928"/>
      <c r="Q133" s="929"/>
      <c r="R133" s="930"/>
      <c r="S133" s="931"/>
      <c r="T133" s="618" t="s">
        <v>701</v>
      </c>
      <c r="U133" s="5375">
        <v>1</v>
      </c>
      <c r="V133" s="5375" t="s">
        <v>664</v>
      </c>
      <c r="W133" s="1500"/>
      <c r="X133" s="1500"/>
      <c r="Y133" s="1500"/>
      <c r="Z133" s="1500"/>
      <c r="AA133" s="1500"/>
      <c r="AB133" s="1500"/>
      <c r="AC133" s="926"/>
      <c r="AD133" s="927"/>
      <c r="AE133" s="1500"/>
      <c r="AF133" s="1500"/>
      <c r="AG133" s="1500"/>
      <c r="AH133" s="1500"/>
      <c r="AI133" s="1500"/>
      <c r="AJ133" s="1500"/>
      <c r="AK133" s="1500"/>
      <c r="AL133" s="1500"/>
      <c r="AM133" s="1500"/>
      <c r="AN133" s="1500"/>
      <c r="AO133" s="1500"/>
      <c r="AP133" s="1500"/>
      <c r="AQ133" s="1500"/>
      <c r="AR133" s="1500"/>
      <c r="AS133" s="1500"/>
      <c r="AT133" s="1500"/>
      <c r="AU133" s="1500"/>
      <c r="AV133" s="1500"/>
      <c r="AW133" s="1500"/>
      <c r="AX133" s="1500"/>
      <c r="AY133" s="1500"/>
      <c r="AZ133" s="1500"/>
      <c r="BA133" s="1500"/>
      <c r="BB133" s="1500"/>
      <c r="BC133" s="1500"/>
      <c r="BD133" s="1500"/>
      <c r="BE133" s="1500"/>
      <c r="BF133" s="1500"/>
      <c r="BG133" s="1500"/>
      <c r="BH133" s="1500"/>
      <c r="BI133" s="1500"/>
      <c r="BJ133" s="1500"/>
      <c r="BK133" s="1500"/>
      <c r="BL133" s="1500"/>
      <c r="BM133" s="1500"/>
      <c r="BN133" s="1500"/>
      <c r="BO133" s="1500"/>
      <c r="BP133" s="1500"/>
      <c r="BQ133" s="1500"/>
      <c r="BR133" s="1500"/>
      <c r="BS133" s="1500"/>
      <c r="BT133" s="1500"/>
      <c r="BU133" s="1500"/>
      <c r="BV133" s="1500"/>
      <c r="BW133" s="1500"/>
      <c r="BX133" s="1500"/>
      <c r="BY133" s="1500"/>
      <c r="BZ133" s="1500"/>
      <c r="CA133" s="1500"/>
      <c r="CB133" s="1500"/>
      <c r="CC133" s="1500"/>
      <c r="CD133" s="1500"/>
      <c r="CE133" s="1500"/>
    </row>
    <row r="134" spans="1:83" s="4826" customFormat="1" ht="5.25" hidden="1" customHeight="1">
      <c r="A134" s="1656"/>
      <c r="B134" s="1500"/>
      <c r="C134" s="1500"/>
      <c r="D134" s="5610"/>
      <c r="E134" s="538"/>
      <c r="F134" s="538"/>
      <c r="G134" s="538"/>
      <c r="H134" s="538"/>
      <c r="I134" s="538"/>
      <c r="J134" s="538"/>
      <c r="K134" s="538"/>
      <c r="L134" s="538"/>
      <c r="M134" s="538"/>
      <c r="N134" s="538"/>
      <c r="O134" s="538"/>
      <c r="P134" s="538"/>
      <c r="Q134" s="538"/>
      <c r="R134" s="538"/>
      <c r="S134" s="539"/>
      <c r="T134" s="619"/>
      <c r="U134" s="5375"/>
      <c r="V134" s="5375"/>
      <c r="W134" s="1500"/>
      <c r="X134" s="1500"/>
      <c r="Y134" s="1500"/>
      <c r="Z134" s="1500"/>
      <c r="AA134" s="1500"/>
      <c r="AB134" s="1500"/>
      <c r="AC134" s="926"/>
      <c r="AD134" s="927"/>
      <c r="AE134" s="1500"/>
      <c r="AF134" s="1500"/>
      <c r="AG134" s="1500"/>
      <c r="AH134" s="1500"/>
      <c r="AI134" s="1500"/>
      <c r="AJ134" s="1500"/>
      <c r="AK134" s="1500"/>
      <c r="AL134" s="1500"/>
      <c r="AM134" s="1500"/>
      <c r="AN134" s="1500"/>
      <c r="AO134" s="1500"/>
      <c r="AP134" s="1500"/>
      <c r="AQ134" s="1500"/>
      <c r="AR134" s="1500"/>
      <c r="AS134" s="1500"/>
      <c r="AT134" s="1500"/>
      <c r="AU134" s="1500"/>
      <c r="AV134" s="1500"/>
      <c r="AW134" s="1500"/>
      <c r="AX134" s="1500"/>
      <c r="AY134" s="1500"/>
      <c r="AZ134" s="1500"/>
      <c r="BA134" s="1500"/>
      <c r="BB134" s="1500"/>
      <c r="BC134" s="1500"/>
      <c r="BD134" s="1500"/>
      <c r="BE134" s="1500"/>
      <c r="BF134" s="1500"/>
      <c r="BG134" s="1500"/>
      <c r="BH134" s="1500"/>
      <c r="BI134" s="1500"/>
      <c r="BJ134" s="1500"/>
      <c r="BK134" s="1500"/>
      <c r="BL134" s="1500"/>
      <c r="BM134" s="1500"/>
      <c r="BN134" s="1500"/>
      <c r="BO134" s="1500"/>
      <c r="BP134" s="1500"/>
      <c r="BQ134" s="1500"/>
      <c r="BR134" s="1500"/>
      <c r="BS134" s="1500"/>
      <c r="BT134" s="1500"/>
      <c r="BU134" s="1500"/>
      <c r="BV134" s="1500"/>
      <c r="BW134" s="1500"/>
      <c r="BX134" s="1500"/>
      <c r="BY134" s="1500"/>
      <c r="BZ134" s="1500"/>
      <c r="CA134" s="1500"/>
      <c r="CB134" s="1500"/>
      <c r="CC134" s="1500"/>
      <c r="CD134" s="1500"/>
      <c r="CE134" s="1500"/>
    </row>
    <row r="135" spans="1:83" s="4826" customFormat="1" ht="5.25" hidden="1" customHeight="1">
      <c r="A135" s="1656"/>
      <c r="B135" s="1500"/>
      <c r="C135" s="1500"/>
      <c r="D135" s="5611"/>
      <c r="E135" s="932"/>
      <c r="F135" s="933"/>
      <c r="G135" s="933"/>
      <c r="H135" s="934"/>
      <c r="I135" s="934"/>
      <c r="J135" s="934"/>
      <c r="K135" s="934"/>
      <c r="L135" s="934"/>
      <c r="M135" s="934"/>
      <c r="N135" s="934"/>
      <c r="O135" s="934"/>
      <c r="P135" s="934"/>
      <c r="Q135" s="934"/>
      <c r="R135" s="837"/>
      <c r="S135" s="935"/>
      <c r="T135" s="619"/>
      <c r="U135" s="5375"/>
      <c r="V135" s="5375"/>
      <c r="W135" s="1500"/>
      <c r="X135" s="1500"/>
      <c r="Y135" s="1500"/>
      <c r="Z135" s="1500"/>
      <c r="AA135" s="1500"/>
      <c r="AB135" s="1500"/>
      <c r="AC135" s="926"/>
      <c r="AD135" s="927"/>
      <c r="AE135" s="1500"/>
      <c r="AF135" s="1500"/>
      <c r="AG135" s="1500"/>
      <c r="AH135" s="1500"/>
      <c r="AI135" s="1500"/>
      <c r="AJ135" s="1500"/>
      <c r="AK135" s="1500"/>
      <c r="AL135" s="1500"/>
      <c r="AM135" s="1500"/>
      <c r="AN135" s="1500"/>
      <c r="AO135" s="1500"/>
      <c r="AP135" s="1500"/>
      <c r="AQ135" s="1500"/>
      <c r="AR135" s="1500"/>
      <c r="AS135" s="1500"/>
      <c r="AT135" s="1500"/>
      <c r="AU135" s="1500"/>
      <c r="AV135" s="1500"/>
      <c r="AW135" s="1500"/>
      <c r="AX135" s="1500"/>
      <c r="AY135" s="1500"/>
      <c r="AZ135" s="1500"/>
      <c r="BA135" s="1500"/>
      <c r="BB135" s="1500"/>
      <c r="BC135" s="1500"/>
      <c r="BD135" s="1500"/>
      <c r="BE135" s="1500"/>
      <c r="BF135" s="1500"/>
      <c r="BG135" s="1500"/>
      <c r="BH135" s="1500"/>
      <c r="BI135" s="1500"/>
      <c r="BJ135" s="1500"/>
      <c r="BK135" s="1500"/>
      <c r="BL135" s="1500"/>
      <c r="BM135" s="1500"/>
      <c r="BN135" s="1500"/>
      <c r="BO135" s="1500"/>
      <c r="BP135" s="1500"/>
      <c r="BQ135" s="1500"/>
      <c r="BR135" s="1500"/>
      <c r="BS135" s="1500"/>
      <c r="BT135" s="1500"/>
      <c r="BU135" s="1500"/>
      <c r="BV135" s="1500"/>
      <c r="BW135" s="1500"/>
      <c r="BX135" s="1500"/>
      <c r="BY135" s="1500"/>
      <c r="BZ135" s="1500"/>
      <c r="CA135" s="1500"/>
      <c r="CB135" s="1500"/>
      <c r="CC135" s="1500"/>
      <c r="CD135" s="1500"/>
      <c r="CE135" s="1500"/>
    </row>
    <row r="136" spans="1:83" ht="17.25" customHeight="1">
      <c r="D136" s="1697"/>
    </row>
    <row r="137" spans="1:83" s="5175" customFormat="1" ht="11.25" customHeight="1">
      <c r="A137" s="1678" t="s">
        <v>1936</v>
      </c>
    </row>
    <row r="139" spans="1:83" s="4794" customFormat="1" ht="45" customHeight="1">
      <c r="A139" s="1669"/>
      <c r="B139" s="1042"/>
      <c r="C139" s="328"/>
      <c r="D139" s="25"/>
      <c r="E139" s="5604"/>
      <c r="F139" s="5226" t="s">
        <v>129</v>
      </c>
      <c r="G139" s="5607" t="s">
        <v>24</v>
      </c>
      <c r="H139" s="207"/>
      <c r="I139" s="540" t="s">
        <v>129</v>
      </c>
      <c r="J139" s="1670" t="s">
        <v>1937</v>
      </c>
      <c r="K139" s="541" t="s">
        <v>635</v>
      </c>
      <c r="L139" s="5349" t="s">
        <v>635</v>
      </c>
      <c r="M139" s="5272"/>
      <c r="N139" s="541" t="s">
        <v>635</v>
      </c>
      <c r="O139" s="541" t="s">
        <v>635</v>
      </c>
      <c r="P139" s="541" t="s">
        <v>635</v>
      </c>
      <c r="Q139" s="542">
        <f>SUM(Q140:Q142)</f>
        <v>0</v>
      </c>
      <c r="R139" s="542">
        <f>IF(R136=0,0,(Q136/R136)*100)</f>
        <v>0</v>
      </c>
      <c r="S139" s="5311"/>
      <c r="T139" s="618" t="s">
        <v>701</v>
      </c>
      <c r="U139" s="25"/>
      <c r="V139" s="25"/>
      <c r="AC139" s="25"/>
    </row>
    <row r="140" spans="1:83" s="4794" customFormat="1" ht="11.25" customHeight="1">
      <c r="A140" s="1669"/>
      <c r="B140" s="1042"/>
      <c r="C140" s="328"/>
      <c r="D140" s="25"/>
      <c r="E140" s="5605"/>
      <c r="F140" s="5226"/>
      <c r="G140" s="5607"/>
      <c r="H140" s="5244"/>
      <c r="I140" s="5501" t="s">
        <v>1028</v>
      </c>
      <c r="J140" s="5602"/>
      <c r="K140" s="5603"/>
      <c r="L140" s="543"/>
      <c r="M140" s="544" t="s">
        <v>129</v>
      </c>
      <c r="N140" s="1658"/>
      <c r="O140" s="545"/>
      <c r="P140" s="546"/>
      <c r="Q140" s="545"/>
      <c r="R140" s="547">
        <v>0</v>
      </c>
      <c r="S140" s="5311"/>
      <c r="T140" s="618"/>
      <c r="U140" s="25"/>
      <c r="V140" s="25"/>
      <c r="AC140" s="25"/>
    </row>
    <row r="141" spans="1:83" s="4794" customFormat="1" ht="11.25" customHeight="1">
      <c r="A141" s="1669"/>
      <c r="B141" s="1042"/>
      <c r="C141" s="328"/>
      <c r="D141" s="25"/>
      <c r="E141" s="5605"/>
      <c r="F141" s="5226"/>
      <c r="G141" s="5607"/>
      <c r="H141" s="5244"/>
      <c r="I141" s="5501"/>
      <c r="J141" s="5602"/>
      <c r="K141" s="5306"/>
      <c r="L141" s="548"/>
      <c r="M141" s="549"/>
      <c r="N141" s="550" t="s">
        <v>1938</v>
      </c>
      <c r="O141" s="550"/>
      <c r="P141" s="550"/>
      <c r="Q141" s="550"/>
      <c r="R141" s="551"/>
      <c r="S141" s="5311"/>
      <c r="T141" s="618"/>
      <c r="U141" s="25"/>
      <c r="V141" s="25"/>
      <c r="AC141" s="25"/>
    </row>
    <row r="142" spans="1:83" s="4794" customFormat="1" ht="11.25" customHeight="1">
      <c r="A142" s="1669"/>
      <c r="B142" s="1042"/>
      <c r="C142" s="328"/>
      <c r="D142" s="25"/>
      <c r="E142" s="5606"/>
      <c r="F142" s="5226"/>
      <c r="G142" s="5608"/>
      <c r="H142" s="548" t="s">
        <v>24</v>
      </c>
      <c r="I142" s="549"/>
      <c r="J142" s="550" t="s">
        <v>1939</v>
      </c>
      <c r="K142" s="550"/>
      <c r="L142" s="550"/>
      <c r="M142" s="550"/>
      <c r="N142" s="550"/>
      <c r="O142" s="550"/>
      <c r="P142" s="550"/>
      <c r="Q142" s="550"/>
      <c r="R142" s="551"/>
      <c r="S142" s="5311"/>
      <c r="T142" s="618"/>
      <c r="U142" s="25"/>
      <c r="V142" s="25"/>
      <c r="AC142" s="25"/>
    </row>
    <row r="147" spans="1:43" s="4794" customFormat="1" ht="11.25" customHeight="1">
      <c r="A147" s="1669"/>
      <c r="B147" s="1042"/>
      <c r="C147" s="328"/>
      <c r="D147" s="25"/>
      <c r="E147" s="1691"/>
      <c r="F147" s="1691"/>
      <c r="G147" s="1691"/>
      <c r="H147" s="5244"/>
      <c r="I147" s="5501" t="s">
        <v>1028</v>
      </c>
      <c r="J147" s="5602"/>
      <c r="K147" s="5603"/>
      <c r="L147" s="543"/>
      <c r="M147" s="544" t="s">
        <v>129</v>
      </c>
      <c r="N147" s="1658"/>
      <c r="O147" s="545"/>
      <c r="P147" s="546"/>
      <c r="Q147" s="545"/>
      <c r="R147" s="547">
        <v>0</v>
      </c>
      <c r="S147" s="25"/>
      <c r="T147" s="618"/>
      <c r="U147" s="25"/>
      <c r="V147" s="25"/>
      <c r="AC147" s="25"/>
    </row>
    <row r="148" spans="1:43" s="4794" customFormat="1" ht="11.25" customHeight="1">
      <c r="A148" s="1669"/>
      <c r="B148" s="1042"/>
      <c r="C148" s="328"/>
      <c r="D148" s="25"/>
      <c r="E148" s="1691"/>
      <c r="F148" s="1691"/>
      <c r="G148" s="1691"/>
      <c r="H148" s="5244"/>
      <c r="I148" s="5501"/>
      <c r="J148" s="5602"/>
      <c r="K148" s="5306"/>
      <c r="L148" s="548"/>
      <c r="M148" s="549"/>
      <c r="N148" s="550" t="s">
        <v>1938</v>
      </c>
      <c r="O148" s="550"/>
      <c r="P148" s="550"/>
      <c r="Q148" s="550"/>
      <c r="R148" s="551"/>
      <c r="S148" s="25"/>
      <c r="T148" s="618"/>
      <c r="U148" s="25"/>
      <c r="V148" s="25"/>
      <c r="AC148" s="25"/>
    </row>
    <row r="150" spans="1:43" s="4794" customFormat="1" ht="11.25" customHeight="1">
      <c r="A150" s="1669"/>
      <c r="B150" s="1042"/>
      <c r="C150" s="328"/>
      <c r="D150" s="25"/>
      <c r="E150" s="1698"/>
      <c r="F150" s="1696"/>
      <c r="G150" s="1696"/>
      <c r="H150" s="1699"/>
      <c r="I150" s="1691"/>
      <c r="J150" s="1692"/>
      <c r="K150" s="1692"/>
      <c r="L150" s="543"/>
      <c r="M150" s="544" t="s">
        <v>129</v>
      </c>
      <c r="N150" s="1658"/>
      <c r="O150" s="545"/>
      <c r="P150" s="546"/>
      <c r="Q150" s="545"/>
      <c r="R150" s="547">
        <v>0</v>
      </c>
      <c r="S150" s="25"/>
      <c r="T150" s="618"/>
      <c r="U150" s="25"/>
      <c r="V150" s="25"/>
      <c r="AC150" s="25"/>
    </row>
    <row r="152" spans="1:43" s="5175" customFormat="1" ht="17.25" customHeight="1">
      <c r="A152" s="1678" t="s">
        <v>1940</v>
      </c>
    </row>
    <row r="153" spans="1:43" ht="17.25" customHeight="1">
      <c r="G153" s="1700"/>
      <c r="H153" s="1700"/>
      <c r="I153" s="1700"/>
      <c r="M153" s="1696"/>
    </row>
    <row r="154" spans="1:43" s="5179" customFormat="1" ht="17.25" customHeight="1">
      <c r="A154" s="1701"/>
      <c r="C154" s="1703"/>
      <c r="D154" s="5299"/>
      <c r="E154" s="5260"/>
      <c r="F154" s="5262"/>
      <c r="G154" s="5292"/>
      <c r="H154" s="5299"/>
      <c r="I154" s="5299">
        <v>1</v>
      </c>
      <c r="J154" s="5295"/>
      <c r="K154" s="5296" t="s">
        <v>64</v>
      </c>
      <c r="L154" s="5226"/>
      <c r="M154" s="5226" t="s">
        <v>129</v>
      </c>
      <c r="N154" s="5303" t="str">
        <f>IF(Z154="","",INDEX(TERRITORY_MR_LIST,MATCH(Z154,TERRITORY_LIST_ID,0)))</f>
        <v/>
      </c>
      <c r="O154" s="5296" t="s">
        <v>64</v>
      </c>
      <c r="P154" s="5226"/>
      <c r="Q154" s="5226" t="s">
        <v>129</v>
      </c>
      <c r="R154" s="5306" t="s">
        <v>24</v>
      </c>
      <c r="S154" s="5225" t="s">
        <v>64</v>
      </c>
      <c r="T154" s="1674"/>
      <c r="U154" s="1674" t="s">
        <v>129</v>
      </c>
      <c r="V154" s="1704" t="s">
        <v>24</v>
      </c>
      <c r="W154" s="1664"/>
      <c r="Y154" s="1150"/>
      <c r="Z154" s="1150"/>
      <c r="AA154" s="1150"/>
      <c r="AB154" s="1150"/>
      <c r="AC154" s="1150"/>
      <c r="AD154" s="1150"/>
      <c r="AE154" s="1150"/>
      <c r="AF154" s="1150"/>
      <c r="AG154" s="1150"/>
      <c r="AH154" s="1150"/>
      <c r="AI154" s="1150"/>
      <c r="AJ154" s="1150"/>
      <c r="AK154" s="1150"/>
      <c r="AL154" s="1705"/>
      <c r="AM154" s="1705"/>
      <c r="AN154" s="1150"/>
      <c r="AO154" s="1150"/>
      <c r="AP154" s="1150"/>
      <c r="AQ154" s="1150"/>
    </row>
    <row r="155" spans="1:43" s="5179" customFormat="1" ht="17.25" customHeight="1">
      <c r="A155" s="1701"/>
      <c r="C155" s="1706"/>
      <c r="D155" s="5299"/>
      <c r="E155" s="5260"/>
      <c r="F155" s="5263"/>
      <c r="G155" s="5292"/>
      <c r="H155" s="5299"/>
      <c r="I155" s="5299"/>
      <c r="J155" s="5295"/>
      <c r="K155" s="5297"/>
      <c r="L155" s="5226"/>
      <c r="M155" s="5226"/>
      <c r="N155" s="5303"/>
      <c r="O155" s="5297"/>
      <c r="P155" s="5226"/>
      <c r="Q155" s="5226"/>
      <c r="R155" s="5306"/>
      <c r="S155" s="5225"/>
      <c r="T155" s="235"/>
      <c r="U155" s="236"/>
      <c r="V155" s="236" t="s">
        <v>492</v>
      </c>
      <c r="W155" s="237"/>
      <c r="Y155" s="1143"/>
      <c r="Z155" s="1143"/>
      <c r="AA155" s="1143"/>
      <c r="AB155" s="1143"/>
      <c r="AC155" s="1143"/>
      <c r="AD155" s="1143"/>
      <c r="AE155" s="1143"/>
      <c r="AF155" s="1143"/>
      <c r="AG155" s="1143"/>
      <c r="AH155" s="1143"/>
      <c r="AI155" s="1143"/>
      <c r="AJ155" s="1143"/>
      <c r="AK155" s="1143"/>
    </row>
    <row r="156" spans="1:43" s="5179" customFormat="1" ht="17.25" customHeight="1">
      <c r="A156" s="1701"/>
      <c r="C156" s="1706"/>
      <c r="D156" s="5253"/>
      <c r="E156" s="5261"/>
      <c r="F156" s="5263"/>
      <c r="G156" s="5294"/>
      <c r="H156" s="5253"/>
      <c r="I156" s="5253"/>
      <c r="J156" s="5300"/>
      <c r="K156" s="5297"/>
      <c r="L156" s="5253"/>
      <c r="M156" s="5253"/>
      <c r="N156" s="5304"/>
      <c r="O156" s="5230"/>
      <c r="P156" s="235"/>
      <c r="Q156" s="236"/>
      <c r="R156" s="236" t="s">
        <v>271</v>
      </c>
      <c r="S156" s="1707"/>
      <c r="T156" s="1707"/>
      <c r="U156" s="1707"/>
      <c r="V156" s="1707"/>
      <c r="W156" s="237"/>
      <c r="Y156" s="1143"/>
      <c r="Z156" s="1143"/>
      <c r="AA156" s="1143"/>
      <c r="AB156" s="1143"/>
      <c r="AC156" s="1143"/>
      <c r="AD156" s="1143"/>
      <c r="AE156" s="1143"/>
      <c r="AF156" s="1143"/>
      <c r="AG156" s="1143"/>
      <c r="AH156" s="1143"/>
      <c r="AI156" s="1143"/>
      <c r="AJ156" s="1143"/>
      <c r="AK156" s="1143"/>
    </row>
    <row r="157" spans="1:43" s="5179" customFormat="1" ht="17.25" customHeight="1">
      <c r="A157" s="1701"/>
      <c r="C157" s="1706"/>
      <c r="D157" s="5253"/>
      <c r="E157" s="5261"/>
      <c r="F157" s="5263"/>
      <c r="G157" s="5294"/>
      <c r="H157" s="5253"/>
      <c r="I157" s="5253"/>
      <c r="J157" s="5300"/>
      <c r="K157" s="5230"/>
      <c r="L157" s="235"/>
      <c r="M157" s="236"/>
      <c r="N157" s="236" t="s">
        <v>330</v>
      </c>
      <c r="O157" s="236"/>
      <c r="P157" s="236"/>
      <c r="Q157" s="236"/>
      <c r="R157" s="236"/>
      <c r="S157" s="1707"/>
      <c r="T157" s="1707"/>
      <c r="U157" s="1707"/>
      <c r="V157" s="1707"/>
      <c r="W157" s="237"/>
      <c r="Y157" s="1143"/>
      <c r="Z157" s="1143"/>
      <c r="AA157" s="1143"/>
      <c r="AB157" s="1143"/>
      <c r="AC157" s="1143"/>
      <c r="AD157" s="1143"/>
      <c r="AE157" s="1143"/>
      <c r="AF157" s="1143"/>
      <c r="AG157" s="1143"/>
      <c r="AH157" s="1143"/>
      <c r="AI157" s="1143"/>
      <c r="AJ157" s="1143"/>
      <c r="AK157" s="1143"/>
    </row>
    <row r="158" spans="1:43" s="5179" customFormat="1" ht="17.25" customHeight="1">
      <c r="A158" s="1701"/>
      <c r="C158" s="1706"/>
      <c r="D158" s="5253"/>
      <c r="E158" s="5261"/>
      <c r="F158" s="5264"/>
      <c r="G158" s="5294"/>
      <c r="H158" s="235"/>
      <c r="I158" s="236"/>
      <c r="J158" s="236" t="s">
        <v>331</v>
      </c>
      <c r="K158" s="236"/>
      <c r="L158" s="236"/>
      <c r="M158" s="236"/>
      <c r="N158" s="236"/>
      <c r="O158" s="236"/>
      <c r="P158" s="236"/>
      <c r="Q158" s="236"/>
      <c r="R158" s="236"/>
      <c r="S158" s="1707"/>
      <c r="T158" s="1707"/>
      <c r="U158" s="1707"/>
      <c r="V158" s="1707"/>
      <c r="W158" s="237"/>
      <c r="Y158" s="1143"/>
      <c r="Z158" s="1143"/>
      <c r="AA158" s="1143"/>
      <c r="AB158" s="1143"/>
      <c r="AC158" s="1143"/>
      <c r="AD158" s="1143"/>
      <c r="AE158" s="1143"/>
      <c r="AF158" s="1143"/>
      <c r="AG158" s="1143"/>
      <c r="AH158" s="1143"/>
      <c r="AI158" s="1143"/>
      <c r="AJ158" s="1143"/>
      <c r="AK158" s="1143"/>
    </row>
    <row r="159" spans="1:43" ht="17.25" customHeight="1">
      <c r="G159" s="1700"/>
      <c r="H159" s="1700"/>
      <c r="I159" s="1700"/>
      <c r="M159" s="1696"/>
    </row>
    <row r="160" spans="1:43" s="5179" customFormat="1" ht="17.25" customHeight="1">
      <c r="A160" s="1701"/>
      <c r="C160" s="1703"/>
      <c r="D160" s="1691"/>
      <c r="E160" s="1708"/>
      <c r="F160" s="1647"/>
      <c r="G160" s="1709"/>
      <c r="H160" s="5299"/>
      <c r="I160" s="5299">
        <v>1</v>
      </c>
      <c r="J160" s="5295"/>
      <c r="K160" s="5296" t="s">
        <v>64</v>
      </c>
      <c r="L160" s="5226"/>
      <c r="M160" s="5226" t="s">
        <v>129</v>
      </c>
      <c r="N160" s="5303" t="str">
        <f>IF(Z160="","",INDEX(TERRITORY_MR_LIST,MATCH(Z160,TERRITORY_LIST_ID,0)))</f>
        <v/>
      </c>
      <c r="O160" s="5296" t="s">
        <v>64</v>
      </c>
      <c r="P160" s="5226"/>
      <c r="Q160" s="5226" t="s">
        <v>129</v>
      </c>
      <c r="R160" s="5306" t="s">
        <v>24</v>
      </c>
      <c r="S160" s="5225" t="s">
        <v>64</v>
      </c>
      <c r="T160" s="1674"/>
      <c r="U160" s="1674" t="s">
        <v>129</v>
      </c>
      <c r="V160" s="1704" t="s">
        <v>24</v>
      </c>
      <c r="W160" s="1664"/>
      <c r="Y160" s="1150"/>
      <c r="Z160" s="1150"/>
      <c r="AA160" s="1150"/>
      <c r="AB160" s="1150"/>
      <c r="AC160" s="1150"/>
      <c r="AD160" s="1150"/>
      <c r="AE160" s="1150"/>
      <c r="AF160" s="1150"/>
      <c r="AG160" s="1150"/>
      <c r="AH160" s="1150"/>
      <c r="AI160" s="1150"/>
      <c r="AJ160" s="1150"/>
      <c r="AK160" s="1150"/>
      <c r="AL160" s="1705"/>
      <c r="AM160" s="1705"/>
      <c r="AN160" s="1150"/>
      <c r="AO160" s="1150"/>
      <c r="AP160" s="1150"/>
      <c r="AQ160" s="1150"/>
    </row>
    <row r="161" spans="1:43" s="5179" customFormat="1" ht="17.25" customHeight="1">
      <c r="A161" s="1701"/>
      <c r="C161" s="1706"/>
      <c r="D161" s="1691"/>
      <c r="E161" s="1708"/>
      <c r="F161" s="1647"/>
      <c r="G161" s="1709"/>
      <c r="H161" s="5299"/>
      <c r="I161" s="5299"/>
      <c r="J161" s="5295"/>
      <c r="K161" s="5297"/>
      <c r="L161" s="5226"/>
      <c r="M161" s="5226"/>
      <c r="N161" s="5303"/>
      <c r="O161" s="5297"/>
      <c r="P161" s="5226"/>
      <c r="Q161" s="5226"/>
      <c r="R161" s="5306"/>
      <c r="S161" s="5225"/>
      <c r="T161" s="235"/>
      <c r="U161" s="236"/>
      <c r="V161" s="236" t="s">
        <v>492</v>
      </c>
      <c r="W161" s="237"/>
      <c r="Y161" s="1143"/>
      <c r="Z161" s="1143"/>
      <c r="AA161" s="1143"/>
      <c r="AB161" s="1143"/>
      <c r="AC161" s="1143"/>
      <c r="AD161" s="1143"/>
      <c r="AE161" s="1143"/>
      <c r="AF161" s="1143"/>
      <c r="AG161" s="1143"/>
      <c r="AH161" s="1143"/>
      <c r="AI161" s="1143"/>
      <c r="AJ161" s="1143"/>
      <c r="AK161" s="1143"/>
    </row>
    <row r="162" spans="1:43" s="5179" customFormat="1" ht="17.25" customHeight="1">
      <c r="A162" s="1701"/>
      <c r="C162" s="1706"/>
      <c r="D162" s="1691"/>
      <c r="E162" s="1708"/>
      <c r="F162" s="1647"/>
      <c r="G162" s="1709"/>
      <c r="H162" s="5253"/>
      <c r="I162" s="5253"/>
      <c r="J162" s="5300"/>
      <c r="K162" s="5297"/>
      <c r="L162" s="5253"/>
      <c r="M162" s="5253"/>
      <c r="N162" s="5304"/>
      <c r="O162" s="5230"/>
      <c r="P162" s="235"/>
      <c r="Q162" s="236"/>
      <c r="R162" s="236" t="s">
        <v>271</v>
      </c>
      <c r="S162" s="1707"/>
      <c r="T162" s="1707"/>
      <c r="U162" s="1707"/>
      <c r="V162" s="1707"/>
      <c r="W162" s="237"/>
      <c r="Y162" s="1143"/>
      <c r="Z162" s="1143"/>
      <c r="AA162" s="1143"/>
      <c r="AB162" s="1143"/>
      <c r="AC162" s="1143"/>
      <c r="AD162" s="1143"/>
      <c r="AE162" s="1143"/>
      <c r="AF162" s="1143"/>
      <c r="AG162" s="1143"/>
      <c r="AH162" s="1143"/>
      <c r="AI162" s="1143"/>
      <c r="AJ162" s="1143"/>
      <c r="AK162" s="1143"/>
    </row>
    <row r="163" spans="1:43" s="5179" customFormat="1" ht="17.25" customHeight="1">
      <c r="A163" s="1701"/>
      <c r="C163" s="1706"/>
      <c r="D163" s="1691"/>
      <c r="E163" s="1708"/>
      <c r="F163" s="1647"/>
      <c r="G163" s="1709"/>
      <c r="H163" s="5253"/>
      <c r="I163" s="5253"/>
      <c r="J163" s="5300"/>
      <c r="K163" s="5230"/>
      <c r="L163" s="235"/>
      <c r="M163" s="236"/>
      <c r="N163" s="236" t="s">
        <v>330</v>
      </c>
      <c r="O163" s="236"/>
      <c r="P163" s="236"/>
      <c r="Q163" s="236"/>
      <c r="R163" s="236"/>
      <c r="S163" s="1707"/>
      <c r="T163" s="1707"/>
      <c r="U163" s="1707"/>
      <c r="V163" s="1707"/>
      <c r="W163" s="237"/>
      <c r="Y163" s="1143"/>
      <c r="Z163" s="1143"/>
      <c r="AA163" s="1143"/>
      <c r="AB163" s="1143"/>
      <c r="AC163" s="1143"/>
      <c r="AD163" s="1143"/>
      <c r="AE163" s="1143"/>
      <c r="AF163" s="1143"/>
      <c r="AG163" s="1143"/>
      <c r="AH163" s="1143"/>
      <c r="AI163" s="1143"/>
      <c r="AJ163" s="1143"/>
      <c r="AK163" s="1143"/>
    </row>
    <row r="164" spans="1:43" ht="17.25" customHeight="1">
      <c r="G164" s="1700"/>
      <c r="H164" s="1700"/>
      <c r="I164" s="1700"/>
      <c r="M164" s="1696"/>
    </row>
    <row r="165" spans="1:43" s="5179" customFormat="1" ht="17.25" customHeight="1">
      <c r="A165" s="1701"/>
      <c r="C165" s="1703"/>
      <c r="D165" s="1691"/>
      <c r="E165" s="1708"/>
      <c r="F165" s="1647"/>
      <c r="G165" s="1709"/>
      <c r="H165" s="1691"/>
      <c r="I165" s="1691"/>
      <c r="J165" s="1710"/>
      <c r="K165" s="1623"/>
      <c r="L165" s="5226"/>
      <c r="M165" s="5226" t="s">
        <v>129</v>
      </c>
      <c r="N165" s="5303" t="str">
        <f>IF(Z165="","",INDEX(TERRITORY_MR_LIST,MATCH(Z165,TERRITORY_LIST_ID,0)))</f>
        <v/>
      </c>
      <c r="O165" s="5296" t="s">
        <v>64</v>
      </c>
      <c r="P165" s="5226"/>
      <c r="Q165" s="5226" t="s">
        <v>129</v>
      </c>
      <c r="R165" s="5306" t="s">
        <v>24</v>
      </c>
      <c r="S165" s="5225" t="s">
        <v>64</v>
      </c>
      <c r="T165" s="1674"/>
      <c r="U165" s="1674" t="s">
        <v>129</v>
      </c>
      <c r="V165" s="1704" t="s">
        <v>24</v>
      </c>
      <c r="W165" s="1664"/>
      <c r="Y165" s="1150"/>
      <c r="Z165" s="1150"/>
      <c r="AA165" s="1150"/>
      <c r="AB165" s="1150"/>
      <c r="AC165" s="1150"/>
      <c r="AD165" s="1150"/>
      <c r="AE165" s="1150"/>
      <c r="AF165" s="1150"/>
      <c r="AG165" s="1150"/>
      <c r="AH165" s="1150"/>
      <c r="AI165" s="1150"/>
      <c r="AJ165" s="1150"/>
      <c r="AK165" s="1150"/>
      <c r="AL165" s="1705"/>
      <c r="AM165" s="1705"/>
      <c r="AN165" s="1150"/>
      <c r="AO165" s="1150"/>
      <c r="AP165" s="1150"/>
      <c r="AQ165" s="1150"/>
    </row>
    <row r="166" spans="1:43" s="5179" customFormat="1" ht="17.25" customHeight="1">
      <c r="A166" s="1701"/>
      <c r="C166" s="1706"/>
      <c r="D166" s="1691"/>
      <c r="E166" s="1708"/>
      <c r="F166" s="1647"/>
      <c r="G166" s="1709"/>
      <c r="H166" s="1691"/>
      <c r="I166" s="1691"/>
      <c r="J166" s="1710"/>
      <c r="K166" s="1623"/>
      <c r="L166" s="5226"/>
      <c r="M166" s="5226"/>
      <c r="N166" s="5303"/>
      <c r="O166" s="5297"/>
      <c r="P166" s="5226"/>
      <c r="Q166" s="5226"/>
      <c r="R166" s="5306"/>
      <c r="S166" s="5225"/>
      <c r="T166" s="235"/>
      <c r="U166" s="236"/>
      <c r="V166" s="236" t="s">
        <v>492</v>
      </c>
      <c r="W166" s="237"/>
      <c r="Y166" s="1143"/>
      <c r="Z166" s="1143"/>
      <c r="AA166" s="1143"/>
      <c r="AB166" s="1143"/>
      <c r="AC166" s="1143"/>
      <c r="AD166" s="1143"/>
      <c r="AE166" s="1143"/>
      <c r="AF166" s="1143"/>
      <c r="AG166" s="1143"/>
      <c r="AH166" s="1143"/>
      <c r="AI166" s="1143"/>
      <c r="AJ166" s="1143"/>
      <c r="AK166" s="1143"/>
    </row>
    <row r="167" spans="1:43" s="5179" customFormat="1" ht="17.25" customHeight="1">
      <c r="A167" s="1701"/>
      <c r="C167" s="1706"/>
      <c r="D167" s="1691"/>
      <c r="E167" s="1708"/>
      <c r="F167" s="1647"/>
      <c r="G167" s="1709"/>
      <c r="H167" s="1691"/>
      <c r="I167" s="1691"/>
      <c r="J167" s="1710"/>
      <c r="K167" s="1623"/>
      <c r="L167" s="5253"/>
      <c r="M167" s="5253"/>
      <c r="N167" s="5304"/>
      <c r="O167" s="5230"/>
      <c r="P167" s="235"/>
      <c r="Q167" s="236"/>
      <c r="R167" s="236" t="s">
        <v>271</v>
      </c>
      <c r="S167" s="1707"/>
      <c r="T167" s="1707"/>
      <c r="U167" s="1707"/>
      <c r="V167" s="1707"/>
      <c r="W167" s="237"/>
      <c r="Y167" s="1143"/>
      <c r="Z167" s="1143"/>
      <c r="AA167" s="1143"/>
      <c r="AB167" s="1143"/>
      <c r="AC167" s="1143"/>
      <c r="AD167" s="1143"/>
      <c r="AE167" s="1143"/>
      <c r="AF167" s="1143"/>
      <c r="AG167" s="1143"/>
      <c r="AH167" s="1143"/>
      <c r="AI167" s="1143"/>
      <c r="AJ167" s="1143"/>
      <c r="AK167" s="1143"/>
    </row>
    <row r="168" spans="1:43" ht="17.25" customHeight="1">
      <c r="G168" s="1700"/>
      <c r="H168" s="1700"/>
      <c r="I168" s="1700"/>
      <c r="M168" s="1696"/>
    </row>
    <row r="169" spans="1:43" s="5179" customFormat="1" ht="17.25" customHeight="1">
      <c r="A169" s="1701"/>
      <c r="C169" s="1703"/>
      <c r="D169" s="1691"/>
      <c r="E169" s="1708"/>
      <c r="F169" s="1647"/>
      <c r="G169" s="1709"/>
      <c r="H169" s="1691"/>
      <c r="I169" s="1691"/>
      <c r="J169" s="1710"/>
      <c r="K169" s="1623"/>
      <c r="L169" s="1619"/>
      <c r="M169" s="1619"/>
      <c r="N169" s="1711"/>
      <c r="O169" s="1650"/>
      <c r="P169" s="5226"/>
      <c r="Q169" s="5226" t="s">
        <v>129</v>
      </c>
      <c r="R169" s="5306" t="s">
        <v>24</v>
      </c>
      <c r="S169" s="5225" t="s">
        <v>64</v>
      </c>
      <c r="T169" s="1674"/>
      <c r="U169" s="1674" t="s">
        <v>129</v>
      </c>
      <c r="V169" s="1704" t="s">
        <v>24</v>
      </c>
      <c r="W169" s="1664"/>
      <c r="Y169" s="1150"/>
      <c r="Z169" s="1150"/>
      <c r="AA169" s="1150"/>
      <c r="AB169" s="1150"/>
      <c r="AC169" s="1150"/>
      <c r="AD169" s="1150"/>
      <c r="AE169" s="1150"/>
      <c r="AF169" s="1150"/>
      <c r="AG169" s="1150"/>
      <c r="AH169" s="1150"/>
      <c r="AI169" s="1150"/>
      <c r="AJ169" s="1150"/>
      <c r="AK169" s="1150"/>
      <c r="AL169" s="1705"/>
      <c r="AM169" s="1705"/>
      <c r="AN169" s="1150"/>
      <c r="AO169" s="1150"/>
      <c r="AP169" s="1150"/>
      <c r="AQ169" s="1150"/>
    </row>
    <row r="170" spans="1:43" s="5179" customFormat="1" ht="17.25" customHeight="1">
      <c r="A170" s="1701"/>
      <c r="C170" s="1706"/>
      <c r="D170" s="1691"/>
      <c r="E170" s="1708"/>
      <c r="F170" s="1647"/>
      <c r="G170" s="1709"/>
      <c r="H170" s="1691"/>
      <c r="I170" s="1691"/>
      <c r="J170" s="1710"/>
      <c r="K170" s="1623"/>
      <c r="L170" s="1619"/>
      <c r="M170" s="1619"/>
      <c r="N170" s="1711"/>
      <c r="O170" s="1650"/>
      <c r="P170" s="5226"/>
      <c r="Q170" s="5226"/>
      <c r="R170" s="5306"/>
      <c r="S170" s="5225"/>
      <c r="T170" s="235"/>
      <c r="U170" s="236"/>
      <c r="V170" s="236" t="s">
        <v>492</v>
      </c>
      <c r="W170" s="237"/>
      <c r="Y170" s="1143"/>
      <c r="Z170" s="1143"/>
      <c r="AA170" s="1143"/>
      <c r="AB170" s="1143"/>
      <c r="AC170" s="1143"/>
      <c r="AD170" s="1143"/>
      <c r="AE170" s="1143"/>
      <c r="AF170" s="1143"/>
      <c r="AG170" s="1143"/>
      <c r="AH170" s="1143"/>
      <c r="AI170" s="1143"/>
      <c r="AJ170" s="1143"/>
      <c r="AK170" s="1143"/>
    </row>
    <row r="171" spans="1:43" ht="17.25" customHeight="1">
      <c r="G171" s="1700"/>
      <c r="H171" s="1700"/>
      <c r="I171" s="1700"/>
      <c r="M171" s="1696"/>
    </row>
    <row r="172" spans="1:43" s="5179" customFormat="1" ht="17.25" customHeight="1">
      <c r="A172" s="1701"/>
      <c r="C172" s="1703"/>
      <c r="D172" s="1691"/>
      <c r="E172" s="1708"/>
      <c r="F172" s="1647"/>
      <c r="G172" s="1709"/>
      <c r="H172" s="1619"/>
      <c r="I172" s="1619"/>
      <c r="J172" s="1620"/>
      <c r="K172" s="1709"/>
      <c r="L172" s="1619"/>
      <c r="M172" s="1619"/>
      <c r="N172" s="1709"/>
      <c r="O172" s="1709"/>
      <c r="P172" s="1619"/>
      <c r="Q172" s="1619"/>
      <c r="R172" s="1621"/>
      <c r="S172" s="1709"/>
      <c r="T172" s="1674"/>
      <c r="U172" s="1674" t="s">
        <v>129</v>
      </c>
      <c r="V172" s="1704" t="s">
        <v>24</v>
      </c>
      <c r="W172" s="1664"/>
      <c r="Y172" s="1150"/>
      <c r="Z172" s="1150"/>
      <c r="AA172" s="1150"/>
      <c r="AB172" s="1150"/>
      <c r="AC172" s="1150"/>
      <c r="AD172" s="1150"/>
      <c r="AE172" s="1150"/>
      <c r="AF172" s="1150"/>
      <c r="AG172" s="1150"/>
      <c r="AH172" s="1150"/>
      <c r="AI172" s="1150"/>
      <c r="AJ172" s="1150"/>
      <c r="AK172" s="1150"/>
      <c r="AL172" s="1705"/>
      <c r="AM172" s="1705"/>
      <c r="AN172" s="1150"/>
      <c r="AO172" s="1150"/>
      <c r="AP172" s="1150"/>
      <c r="AQ172" s="1150"/>
    </row>
    <row r="174" spans="1:43" s="5175" customFormat="1" ht="17.25" customHeight="1">
      <c r="A174" s="1678" t="s">
        <v>1941</v>
      </c>
    </row>
    <row r="175" spans="1:43" ht="17.25" customHeight="1">
      <c r="G175" s="1700"/>
      <c r="H175" s="1700"/>
      <c r="I175" s="1700"/>
      <c r="M175" s="1696"/>
    </row>
    <row r="176" spans="1:43" s="5179" customFormat="1" ht="17.25" customHeight="1">
      <c r="A176" s="1701"/>
      <c r="C176" s="1703"/>
      <c r="D176" s="5299"/>
      <c r="E176" s="5260"/>
      <c r="F176" s="5262"/>
      <c r="G176" s="5292"/>
      <c r="H176" s="5299"/>
      <c r="I176" s="5299">
        <v>1</v>
      </c>
      <c r="J176" s="5295"/>
      <c r="K176" s="5296" t="s">
        <v>64</v>
      </c>
      <c r="L176" s="5226"/>
      <c r="M176" s="5226" t="s">
        <v>129</v>
      </c>
      <c r="N176" s="5303" t="str">
        <f>IF(Z176="","",INDEX(TERRITORY_MR_LIST,MATCH(Z176,TERRITORY_LIST_ID,0)))</f>
        <v/>
      </c>
      <c r="O176" s="5296" t="s">
        <v>64</v>
      </c>
      <c r="P176" s="5226"/>
      <c r="Q176" s="5226" t="s">
        <v>129</v>
      </c>
      <c r="R176" s="5306" t="s">
        <v>24</v>
      </c>
      <c r="S176" s="5302" t="s">
        <v>54</v>
      </c>
      <c r="T176" s="1665"/>
      <c r="U176" s="1665" t="s">
        <v>129</v>
      </c>
      <c r="V176" s="1311"/>
      <c r="W176" s="5295"/>
      <c r="Y176" s="1150"/>
      <c r="Z176" s="1150"/>
      <c r="AA176" s="1150"/>
      <c r="AB176" s="1150"/>
      <c r="AC176" s="1150"/>
      <c r="AD176" s="1150"/>
      <c r="AE176" s="1150"/>
      <c r="AF176" s="1150"/>
      <c r="AG176" s="1150"/>
      <c r="AH176" s="1150"/>
      <c r="AI176" s="1150"/>
      <c r="AJ176" s="1150"/>
      <c r="AK176" s="1150"/>
      <c r="AL176" s="1705"/>
      <c r="AM176" s="1705"/>
      <c r="AN176" s="1150"/>
      <c r="AO176" s="1150"/>
      <c r="AP176" s="1150"/>
      <c r="AQ176" s="1150"/>
    </row>
    <row r="177" spans="1:43" s="5179" customFormat="1" ht="17.25" customHeight="1">
      <c r="A177" s="1701"/>
      <c r="C177" s="1706"/>
      <c r="D177" s="5299"/>
      <c r="E177" s="5260"/>
      <c r="F177" s="5263"/>
      <c r="G177" s="5292"/>
      <c r="H177" s="5299"/>
      <c r="I177" s="5299"/>
      <c r="J177" s="5295"/>
      <c r="K177" s="5297"/>
      <c r="L177" s="5226"/>
      <c r="M177" s="5226"/>
      <c r="N177" s="5303"/>
      <c r="O177" s="5297"/>
      <c r="P177" s="5226"/>
      <c r="Q177" s="5226"/>
      <c r="R177" s="5306"/>
      <c r="S177" s="5302"/>
      <c r="T177" s="1312"/>
      <c r="U177" s="1313"/>
      <c r="V177" s="1313"/>
      <c r="W177" s="5295"/>
      <c r="Y177" s="1143"/>
      <c r="Z177" s="1143"/>
      <c r="AA177" s="1143"/>
      <c r="AB177" s="1143"/>
      <c r="AC177" s="1143"/>
      <c r="AD177" s="1143"/>
      <c r="AE177" s="1143"/>
      <c r="AF177" s="1143"/>
      <c r="AG177" s="1143"/>
      <c r="AH177" s="1143"/>
      <c r="AI177" s="1143"/>
      <c r="AJ177" s="1143"/>
      <c r="AK177" s="1143"/>
    </row>
    <row r="178" spans="1:43" s="5179" customFormat="1" ht="17.25" customHeight="1">
      <c r="A178" s="1701"/>
      <c r="C178" s="1706"/>
      <c r="D178" s="5253"/>
      <c r="E178" s="5261"/>
      <c r="F178" s="5263"/>
      <c r="G178" s="5294"/>
      <c r="H178" s="5253"/>
      <c r="I178" s="5253"/>
      <c r="J178" s="5300"/>
      <c r="K178" s="5297"/>
      <c r="L178" s="5253"/>
      <c r="M178" s="5253"/>
      <c r="N178" s="5304"/>
      <c r="O178" s="5230"/>
      <c r="P178" s="235"/>
      <c r="Q178" s="236"/>
      <c r="R178" s="236" t="s">
        <v>271</v>
      </c>
      <c r="S178" s="1707"/>
      <c r="T178" s="1707"/>
      <c r="U178" s="1707"/>
      <c r="V178" s="1707"/>
      <c r="W178" s="1310"/>
      <c r="Y178" s="1143"/>
      <c r="Z178" s="1143"/>
      <c r="AA178" s="1143"/>
      <c r="AB178" s="1143"/>
      <c r="AC178" s="1143"/>
      <c r="AD178" s="1143"/>
      <c r="AE178" s="1143"/>
      <c r="AF178" s="1143"/>
      <c r="AG178" s="1143"/>
      <c r="AH178" s="1143"/>
      <c r="AI178" s="1143"/>
      <c r="AJ178" s="1143"/>
      <c r="AK178" s="1143"/>
    </row>
    <row r="179" spans="1:43" s="5179" customFormat="1" ht="17.25" customHeight="1">
      <c r="A179" s="1701"/>
      <c r="C179" s="1706"/>
      <c r="D179" s="5253"/>
      <c r="E179" s="5261"/>
      <c r="F179" s="5263"/>
      <c r="G179" s="5294"/>
      <c r="H179" s="5253"/>
      <c r="I179" s="5253"/>
      <c r="J179" s="5300"/>
      <c r="K179" s="5230"/>
      <c r="L179" s="235"/>
      <c r="M179" s="236"/>
      <c r="N179" s="236" t="s">
        <v>330</v>
      </c>
      <c r="O179" s="236"/>
      <c r="P179" s="236"/>
      <c r="Q179" s="236"/>
      <c r="R179" s="236"/>
      <c r="S179" s="1707"/>
      <c r="T179" s="1707"/>
      <c r="U179" s="1707"/>
      <c r="V179" s="1707"/>
      <c r="W179" s="237"/>
      <c r="Y179" s="1143"/>
      <c r="Z179" s="1143"/>
      <c r="AA179" s="1143"/>
      <c r="AB179" s="1143"/>
      <c r="AC179" s="1143"/>
      <c r="AD179" s="1143"/>
      <c r="AE179" s="1143"/>
      <c r="AF179" s="1143"/>
      <c r="AG179" s="1143"/>
      <c r="AH179" s="1143"/>
      <c r="AI179" s="1143"/>
      <c r="AJ179" s="1143"/>
      <c r="AK179" s="1143"/>
    </row>
    <row r="180" spans="1:43" s="5179" customFormat="1" ht="17.25" customHeight="1">
      <c r="A180" s="1701"/>
      <c r="C180" s="1706"/>
      <c r="D180" s="5253"/>
      <c r="E180" s="5261"/>
      <c r="F180" s="5264"/>
      <c r="G180" s="5294"/>
      <c r="H180" s="235"/>
      <c r="I180" s="236"/>
      <c r="J180" s="236" t="s">
        <v>331</v>
      </c>
      <c r="K180" s="236"/>
      <c r="L180" s="236"/>
      <c r="M180" s="236"/>
      <c r="N180" s="236"/>
      <c r="O180" s="236"/>
      <c r="P180" s="236"/>
      <c r="Q180" s="236"/>
      <c r="R180" s="236"/>
      <c r="S180" s="1707"/>
      <c r="T180" s="1707"/>
      <c r="U180" s="1707"/>
      <c r="V180" s="1707"/>
      <c r="W180" s="237"/>
      <c r="Y180" s="1143"/>
      <c r="Z180" s="1143"/>
      <c r="AA180" s="1143"/>
      <c r="AB180" s="1143"/>
      <c r="AC180" s="1143"/>
      <c r="AD180" s="1143"/>
      <c r="AE180" s="1143"/>
      <c r="AF180" s="1143"/>
      <c r="AG180" s="1143"/>
      <c r="AH180" s="1143"/>
      <c r="AI180" s="1143"/>
      <c r="AJ180" s="1143"/>
      <c r="AK180" s="1143"/>
    </row>
    <row r="181" spans="1:43" ht="17.25" customHeight="1">
      <c r="A181" s="1712"/>
    </row>
    <row r="182" spans="1:43" s="5179" customFormat="1" ht="17.25" customHeight="1">
      <c r="A182" s="1701"/>
      <c r="C182" s="1703"/>
      <c r="D182" s="1691"/>
      <c r="E182" s="1708"/>
      <c r="F182" s="1647"/>
      <c r="G182" s="1709"/>
      <c r="H182" s="5299"/>
      <c r="I182" s="5299">
        <v>1</v>
      </c>
      <c r="J182" s="5295"/>
      <c r="K182" s="5296" t="s">
        <v>64</v>
      </c>
      <c r="L182" s="5226"/>
      <c r="M182" s="5226" t="s">
        <v>129</v>
      </c>
      <c r="N182" s="5303" t="str">
        <f>IF(Z182="","",INDEX(TERRITORY_MR_LIST,MATCH(Z182,TERRITORY_LIST_ID,0)))</f>
        <v/>
      </c>
      <c r="O182" s="5296" t="s">
        <v>64</v>
      </c>
      <c r="P182" s="5226"/>
      <c r="Q182" s="5226" t="s">
        <v>129</v>
      </c>
      <c r="R182" s="5306" t="s">
        <v>24</v>
      </c>
      <c r="S182" s="5302" t="s">
        <v>54</v>
      </c>
      <c r="T182" s="1665"/>
      <c r="U182" s="1665" t="s">
        <v>129</v>
      </c>
      <c r="V182" s="1311"/>
      <c r="W182" s="5295"/>
      <c r="Y182" s="1150"/>
      <c r="Z182" s="1150"/>
      <c r="AA182" s="1150"/>
      <c r="AB182" s="1150"/>
      <c r="AC182" s="1150"/>
      <c r="AD182" s="1150"/>
      <c r="AE182" s="1150"/>
      <c r="AF182" s="1150"/>
      <c r="AG182" s="1150"/>
      <c r="AH182" s="1150"/>
      <c r="AI182" s="1150"/>
      <c r="AJ182" s="1150"/>
      <c r="AK182" s="1150"/>
      <c r="AL182" s="1705"/>
      <c r="AM182" s="1705"/>
      <c r="AN182" s="1150"/>
      <c r="AO182" s="1150"/>
      <c r="AP182" s="1150"/>
      <c r="AQ182" s="1150"/>
    </row>
    <row r="183" spans="1:43" s="5179" customFormat="1" ht="17.25" customHeight="1">
      <c r="A183" s="1701"/>
      <c r="C183" s="1706"/>
      <c r="D183" s="1691"/>
      <c r="E183" s="1708"/>
      <c r="F183" s="1647"/>
      <c r="G183" s="1709"/>
      <c r="H183" s="5299"/>
      <c r="I183" s="5299"/>
      <c r="J183" s="5295"/>
      <c r="K183" s="5297"/>
      <c r="L183" s="5226"/>
      <c r="M183" s="5226"/>
      <c r="N183" s="5303"/>
      <c r="O183" s="5297"/>
      <c r="P183" s="5226"/>
      <c r="Q183" s="5226"/>
      <c r="R183" s="5306"/>
      <c r="S183" s="5302"/>
      <c r="T183" s="1312"/>
      <c r="U183" s="1313"/>
      <c r="V183" s="1313"/>
      <c r="W183" s="5295"/>
      <c r="Y183" s="1143"/>
      <c r="Z183" s="1143"/>
      <c r="AA183" s="1143"/>
      <c r="AB183" s="1143"/>
      <c r="AC183" s="1143"/>
      <c r="AD183" s="1143"/>
      <c r="AE183" s="1143"/>
      <c r="AF183" s="1143"/>
      <c r="AG183" s="1143"/>
      <c r="AH183" s="1143"/>
      <c r="AI183" s="1143"/>
      <c r="AJ183" s="1143"/>
      <c r="AK183" s="1143"/>
    </row>
    <row r="184" spans="1:43" s="5179" customFormat="1" ht="17.25" customHeight="1">
      <c r="A184" s="1701"/>
      <c r="C184" s="1706"/>
      <c r="D184" s="1691"/>
      <c r="E184" s="1708"/>
      <c r="F184" s="1647"/>
      <c r="G184" s="1709"/>
      <c r="H184" s="5253"/>
      <c r="I184" s="5253"/>
      <c r="J184" s="5300"/>
      <c r="K184" s="5297"/>
      <c r="L184" s="5253"/>
      <c r="M184" s="5253"/>
      <c r="N184" s="5304"/>
      <c r="O184" s="5230"/>
      <c r="P184" s="235"/>
      <c r="Q184" s="236"/>
      <c r="R184" s="236" t="s">
        <v>271</v>
      </c>
      <c r="S184" s="1707"/>
      <c r="T184" s="1707"/>
      <c r="U184" s="1707"/>
      <c r="V184" s="1707"/>
      <c r="W184" s="1310"/>
      <c r="Y184" s="1143"/>
      <c r="Z184" s="1143"/>
      <c r="AA184" s="1143"/>
      <c r="AB184" s="1143"/>
      <c r="AC184" s="1143"/>
      <c r="AD184" s="1143"/>
      <c r="AE184" s="1143"/>
      <c r="AF184" s="1143"/>
      <c r="AG184" s="1143"/>
      <c r="AH184" s="1143"/>
      <c r="AI184" s="1143"/>
      <c r="AJ184" s="1143"/>
      <c r="AK184" s="1143"/>
    </row>
    <row r="185" spans="1:43" s="5179" customFormat="1" ht="17.25" customHeight="1">
      <c r="A185" s="1701"/>
      <c r="C185" s="1706"/>
      <c r="D185" s="1691"/>
      <c r="E185" s="1708"/>
      <c r="F185" s="1647"/>
      <c r="G185" s="1709"/>
      <c r="H185" s="5253"/>
      <c r="I185" s="5253"/>
      <c r="J185" s="5300"/>
      <c r="K185" s="5230"/>
      <c r="L185" s="235"/>
      <c r="M185" s="236"/>
      <c r="N185" s="236" t="s">
        <v>330</v>
      </c>
      <c r="O185" s="236"/>
      <c r="P185" s="236"/>
      <c r="Q185" s="236"/>
      <c r="R185" s="236"/>
      <c r="S185" s="1707"/>
      <c r="T185" s="1707"/>
      <c r="U185" s="1707"/>
      <c r="V185" s="1707"/>
      <c r="W185" s="237"/>
      <c r="Y185" s="1143"/>
      <c r="Z185" s="1143"/>
      <c r="AA185" s="1143"/>
      <c r="AB185" s="1143"/>
      <c r="AC185" s="1143"/>
      <c r="AD185" s="1143"/>
      <c r="AE185" s="1143"/>
      <c r="AF185" s="1143"/>
      <c r="AG185" s="1143"/>
      <c r="AH185" s="1143"/>
      <c r="AI185" s="1143"/>
      <c r="AJ185" s="1143"/>
      <c r="AK185" s="1143"/>
    </row>
    <row r="186" spans="1:43" ht="17.25" customHeight="1">
      <c r="A186" s="1712"/>
    </row>
    <row r="187" spans="1:43" s="5179" customFormat="1" ht="17.25" customHeight="1">
      <c r="A187" s="1701"/>
      <c r="C187" s="1703"/>
      <c r="D187" s="1691"/>
      <c r="E187" s="1708"/>
      <c r="F187" s="1647"/>
      <c r="G187" s="1709"/>
      <c r="H187" s="1691"/>
      <c r="I187" s="1691"/>
      <c r="J187" s="1713"/>
      <c r="K187" s="1709"/>
      <c r="L187" s="5226"/>
      <c r="M187" s="5226" t="s">
        <v>129</v>
      </c>
      <c r="N187" s="5303" t="str">
        <f>IF(Z187="","",INDEX(TERRITORY_MR_LIST,MATCH(Z187,TERRITORY_LIST_ID,0)))</f>
        <v/>
      </c>
      <c r="O187" s="5296" t="s">
        <v>64</v>
      </c>
      <c r="P187" s="5226"/>
      <c r="Q187" s="5226" t="s">
        <v>129</v>
      </c>
      <c r="R187" s="5306" t="s">
        <v>24</v>
      </c>
      <c r="S187" s="5302" t="s">
        <v>54</v>
      </c>
      <c r="T187" s="1665"/>
      <c r="U187" s="1665" t="s">
        <v>129</v>
      </c>
      <c r="V187" s="1311"/>
      <c r="W187" s="5295"/>
      <c r="Y187" s="1150"/>
      <c r="Z187" s="1150"/>
      <c r="AA187" s="1150"/>
      <c r="AB187" s="1150"/>
      <c r="AC187" s="1150"/>
      <c r="AD187" s="1150"/>
      <c r="AE187" s="1150"/>
      <c r="AF187" s="1150"/>
      <c r="AG187" s="1150"/>
      <c r="AH187" s="1150"/>
      <c r="AI187" s="1150"/>
      <c r="AJ187" s="1150"/>
      <c r="AK187" s="1150"/>
      <c r="AL187" s="1705"/>
      <c r="AM187" s="1705"/>
      <c r="AN187" s="1150"/>
      <c r="AO187" s="1150"/>
      <c r="AP187" s="1150"/>
      <c r="AQ187" s="1150"/>
    </row>
    <row r="188" spans="1:43" s="5179" customFormat="1" ht="17.25" customHeight="1">
      <c r="A188" s="1701"/>
      <c r="C188" s="1706"/>
      <c r="D188" s="1691"/>
      <c r="E188" s="1708"/>
      <c r="F188" s="1647"/>
      <c r="G188" s="1709"/>
      <c r="H188" s="1691"/>
      <c r="I188" s="1691"/>
      <c r="J188" s="1713"/>
      <c r="K188" s="1709"/>
      <c r="L188" s="5226"/>
      <c r="M188" s="5226"/>
      <c r="N188" s="5303"/>
      <c r="O188" s="5297"/>
      <c r="P188" s="5226"/>
      <c r="Q188" s="5226"/>
      <c r="R188" s="5306"/>
      <c r="S188" s="5302"/>
      <c r="T188" s="1312"/>
      <c r="U188" s="1313"/>
      <c r="V188" s="1313"/>
      <c r="W188" s="5295"/>
      <c r="Y188" s="1143"/>
      <c r="Z188" s="1143"/>
      <c r="AA188" s="1143"/>
      <c r="AB188" s="1143"/>
      <c r="AC188" s="1143"/>
      <c r="AD188" s="1143"/>
      <c r="AE188" s="1143"/>
      <c r="AF188" s="1143"/>
      <c r="AG188" s="1143"/>
      <c r="AH188" s="1143"/>
      <c r="AI188" s="1143"/>
      <c r="AJ188" s="1143"/>
      <c r="AK188" s="1143"/>
    </row>
    <row r="189" spans="1:43" s="5179" customFormat="1" ht="17.25" customHeight="1">
      <c r="A189" s="1701"/>
      <c r="C189" s="1706"/>
      <c r="D189" s="1691"/>
      <c r="E189" s="1708"/>
      <c r="F189" s="1647"/>
      <c r="G189" s="1709"/>
      <c r="H189" s="1691"/>
      <c r="I189" s="1691"/>
      <c r="J189" s="1713"/>
      <c r="K189" s="1709"/>
      <c r="L189" s="5253"/>
      <c r="M189" s="5253"/>
      <c r="N189" s="5304"/>
      <c r="O189" s="5230"/>
      <c r="P189" s="235"/>
      <c r="Q189" s="236"/>
      <c r="R189" s="236" t="s">
        <v>271</v>
      </c>
      <c r="S189" s="1707"/>
      <c r="T189" s="1707"/>
      <c r="U189" s="1707"/>
      <c r="V189" s="1707"/>
      <c r="W189" s="1310"/>
      <c r="Y189" s="1143"/>
      <c r="Z189" s="1143"/>
      <c r="AA189" s="1143"/>
      <c r="AB189" s="1143"/>
      <c r="AC189" s="1143"/>
      <c r="AD189" s="1143"/>
      <c r="AE189" s="1143"/>
      <c r="AF189" s="1143"/>
      <c r="AG189" s="1143"/>
      <c r="AH189" s="1143"/>
      <c r="AI189" s="1143"/>
      <c r="AJ189" s="1143"/>
      <c r="AK189" s="1143"/>
    </row>
    <row r="190" spans="1:43" ht="17.25" customHeight="1">
      <c r="A190" s="1712"/>
    </row>
    <row r="191" spans="1:43" s="5179" customFormat="1" ht="17.25" customHeight="1">
      <c r="A191" s="1701"/>
      <c r="C191" s="1703"/>
      <c r="D191" s="1691"/>
      <c r="E191" s="1708"/>
      <c r="F191" s="1647"/>
      <c r="G191" s="1709"/>
      <c r="H191" s="1691"/>
      <c r="I191" s="1691"/>
      <c r="J191" s="1713"/>
      <c r="K191" s="1709"/>
      <c r="L191" s="1691"/>
      <c r="M191" s="1691"/>
      <c r="N191" s="1711"/>
      <c r="O191" s="1650"/>
      <c r="P191" s="5226"/>
      <c r="Q191" s="5226" t="s">
        <v>129</v>
      </c>
      <c r="R191" s="5306" t="s">
        <v>24</v>
      </c>
      <c r="S191" s="5302" t="s">
        <v>54</v>
      </c>
      <c r="T191" s="1665"/>
      <c r="U191" s="1665" t="s">
        <v>129</v>
      </c>
      <c r="V191" s="1311"/>
      <c r="W191" s="5295"/>
      <c r="Y191" s="1150"/>
      <c r="Z191" s="1150"/>
      <c r="AA191" s="1150"/>
      <c r="AB191" s="1150"/>
      <c r="AC191" s="1150"/>
      <c r="AD191" s="1150"/>
      <c r="AE191" s="1150"/>
      <c r="AF191" s="1150"/>
      <c r="AG191" s="1150"/>
      <c r="AH191" s="1150"/>
      <c r="AI191" s="1150"/>
      <c r="AJ191" s="1150"/>
      <c r="AK191" s="1150"/>
      <c r="AL191" s="1705"/>
      <c r="AM191" s="1705"/>
      <c r="AN191" s="1150"/>
      <c r="AO191" s="1150"/>
      <c r="AP191" s="1150"/>
      <c r="AQ191" s="1150"/>
    </row>
    <row r="192" spans="1:43" s="5179" customFormat="1" ht="17.25" customHeight="1">
      <c r="A192" s="1701"/>
      <c r="C192" s="1706"/>
      <c r="D192" s="1691"/>
      <c r="E192" s="1708"/>
      <c r="F192" s="1647"/>
      <c r="G192" s="1709"/>
      <c r="H192" s="1691"/>
      <c r="I192" s="1691"/>
      <c r="J192" s="1713"/>
      <c r="K192" s="1709"/>
      <c r="L192" s="1691"/>
      <c r="M192" s="1691"/>
      <c r="N192" s="1711"/>
      <c r="O192" s="1650"/>
      <c r="P192" s="5226"/>
      <c r="Q192" s="5226"/>
      <c r="R192" s="5306"/>
      <c r="S192" s="5302"/>
      <c r="T192" s="1312"/>
      <c r="U192" s="1313"/>
      <c r="V192" s="1313"/>
      <c r="W192" s="5295"/>
      <c r="Y192" s="1143"/>
      <c r="Z192" s="1143"/>
      <c r="AA192" s="1143"/>
      <c r="AB192" s="1143"/>
      <c r="AC192" s="1143"/>
      <c r="AD192" s="1143"/>
      <c r="AE192" s="1143"/>
      <c r="AF192" s="1143"/>
      <c r="AG192" s="1143"/>
      <c r="AH192" s="1143"/>
      <c r="AI192" s="1143"/>
      <c r="AJ192" s="1143"/>
      <c r="AK192" s="1143"/>
    </row>
    <row r="193" spans="1:63" ht="17.25" customHeight="1">
      <c r="A193" s="1712"/>
    </row>
    <row r="194" spans="1:63" ht="16.5" customHeight="1">
      <c r="A194" s="1701"/>
      <c r="B194" s="1702"/>
      <c r="C194" s="1706"/>
      <c r="D194" s="5299"/>
      <c r="E194" s="5311"/>
      <c r="F194" s="5311"/>
      <c r="G194" s="5244"/>
      <c r="H194" s="5265"/>
      <c r="I194" s="5267"/>
      <c r="J194" s="5269"/>
      <c r="K194" s="5254"/>
      <c r="L194" s="5254"/>
      <c r="M194" s="5254"/>
      <c r="N194" s="5256"/>
      <c r="O194" s="5254"/>
      <c r="P194" s="5254"/>
      <c r="Q194" s="5254"/>
      <c r="R194" s="5259"/>
      <c r="S194" s="5254"/>
      <c r="T194" s="1646"/>
      <c r="U194" s="1646"/>
      <c r="V194" s="1714"/>
      <c r="W194" s="1177"/>
    </row>
    <row r="195" spans="1:63" ht="16.5" customHeight="1">
      <c r="A195" s="1701"/>
      <c r="B195" s="1702"/>
      <c r="C195" s="1706"/>
      <c r="D195" s="5299"/>
      <c r="E195" s="5311"/>
      <c r="F195" s="5311"/>
      <c r="G195" s="5244"/>
      <c r="H195" s="5266"/>
      <c r="I195" s="5268"/>
      <c r="J195" s="5270"/>
      <c r="K195" s="5255"/>
      <c r="L195" s="5255"/>
      <c r="M195" s="5255"/>
      <c r="N195" s="5257"/>
      <c r="O195" s="5255"/>
      <c r="P195" s="5255"/>
      <c r="Q195" s="5255"/>
      <c r="R195" s="5258"/>
      <c r="S195" s="5255"/>
      <c r="T195" s="1178"/>
      <c r="U195" s="1178"/>
      <c r="V195" s="1178"/>
      <c r="W195" s="1179"/>
    </row>
    <row r="196" spans="1:63" ht="17.25" customHeight="1">
      <c r="A196" s="1701"/>
      <c r="B196" s="1702"/>
      <c r="C196" s="1706"/>
      <c r="D196" s="5299"/>
      <c r="E196" s="5311"/>
      <c r="F196" s="5311"/>
      <c r="G196" s="5244"/>
      <c r="H196" s="5266"/>
      <c r="I196" s="5268"/>
      <c r="J196" s="5271"/>
      <c r="K196" s="5255"/>
      <c r="L196" s="5255"/>
      <c r="M196" s="5255"/>
      <c r="N196" s="5258"/>
      <c r="O196" s="5255"/>
      <c r="P196" s="1649"/>
      <c r="Q196" s="1178"/>
      <c r="R196" s="1178"/>
      <c r="S196" s="1715"/>
      <c r="T196" s="1715"/>
      <c r="U196" s="1715"/>
      <c r="V196" s="1715"/>
      <c r="W196" s="1179"/>
    </row>
    <row r="197" spans="1:63" ht="17.25" customHeight="1">
      <c r="A197" s="1701"/>
      <c r="B197" s="1702"/>
      <c r="C197" s="1706"/>
      <c r="D197" s="5299"/>
      <c r="E197" s="5311"/>
      <c r="F197" s="5311"/>
      <c r="G197" s="5244"/>
      <c r="H197" s="5266"/>
      <c r="I197" s="5268"/>
      <c r="J197" s="5271"/>
      <c r="K197" s="5255"/>
      <c r="L197" s="1178"/>
      <c r="M197" s="1178"/>
      <c r="N197" s="1178"/>
      <c r="O197" s="1178"/>
      <c r="P197" s="1178"/>
      <c r="Q197" s="1178"/>
      <c r="R197" s="1178"/>
      <c r="S197" s="1715"/>
      <c r="T197" s="1715"/>
      <c r="U197" s="1715"/>
      <c r="V197" s="1715"/>
      <c r="W197" s="1179"/>
    </row>
    <row r="198" spans="1:63" ht="17.25" customHeight="1">
      <c r="A198" s="1701"/>
      <c r="B198" s="1702"/>
      <c r="C198" s="1706"/>
      <c r="D198" s="5299"/>
      <c r="E198" s="5311"/>
      <c r="F198" s="5311"/>
      <c r="G198" s="5244"/>
      <c r="H198" s="1180"/>
      <c r="I198" s="1181"/>
      <c r="J198" s="1181"/>
      <c r="K198" s="1181"/>
      <c r="L198" s="1181"/>
      <c r="M198" s="1181"/>
      <c r="N198" s="1181"/>
      <c r="O198" s="1181"/>
      <c r="P198" s="1181"/>
      <c r="Q198" s="1181"/>
      <c r="R198" s="1181"/>
      <c r="S198" s="1716"/>
      <c r="T198" s="1716"/>
      <c r="U198" s="1716"/>
      <c r="V198" s="1716"/>
      <c r="W198" s="1183"/>
    </row>
    <row r="200" spans="1:63" s="5175" customFormat="1" ht="17.25" customHeight="1">
      <c r="A200" s="1678" t="s">
        <v>1942</v>
      </c>
    </row>
    <row r="201" spans="1:63" ht="17.25" customHeight="1">
      <c r="G201" s="1700"/>
      <c r="H201" s="1700"/>
      <c r="I201" s="1700"/>
      <c r="M201" s="1696"/>
    </row>
    <row r="202" spans="1:63" s="4794" customFormat="1" ht="15" customHeight="1">
      <c r="D202" s="5579"/>
      <c r="E202" s="5326"/>
      <c r="F202" s="5326"/>
      <c r="G202" s="5296"/>
      <c r="H202" s="1433"/>
      <c r="I202" s="5583">
        <v>1</v>
      </c>
      <c r="J202" s="5295"/>
      <c r="K202" s="1448"/>
      <c r="L202" s="5296" t="s">
        <v>64</v>
      </c>
      <c r="M202" s="5296" t="s">
        <v>64</v>
      </c>
      <c r="N202" s="1433"/>
      <c r="O202" s="5226" t="s">
        <v>129</v>
      </c>
      <c r="P202" s="5573"/>
      <c r="Q202" s="1449"/>
      <c r="R202" s="5296" t="s">
        <v>64</v>
      </c>
      <c r="S202" s="5296" t="s">
        <v>64</v>
      </c>
      <c r="T202" s="1717"/>
      <c r="U202" s="5226" t="s">
        <v>129</v>
      </c>
      <c r="V202" s="5580" t="str">
        <f>IF(AK202="","",INDEX(TERRITORY_MR_LIST,MATCH(AK202,TERRITORY_LIST_ID,0)))</f>
        <v/>
      </c>
      <c r="W202" s="1450"/>
      <c r="X202" s="5296" t="s">
        <v>64</v>
      </c>
      <c r="Y202" s="5296" t="s">
        <v>54</v>
      </c>
      <c r="Z202" s="1433"/>
      <c r="AA202" s="5226" t="s">
        <v>129</v>
      </c>
      <c r="AB202" s="5582"/>
      <c r="AC202" s="1451"/>
      <c r="AD202" s="5296" t="s">
        <v>64</v>
      </c>
      <c r="AE202" s="5296" t="s">
        <v>54</v>
      </c>
      <c r="AF202" s="1431"/>
      <c r="AG202" s="1674" t="s">
        <v>129</v>
      </c>
      <c r="AH202" s="1441"/>
      <c r="AI202" s="1664"/>
    </row>
    <row r="203" spans="1:63" s="4794" customFormat="1" ht="15" customHeight="1">
      <c r="D203" s="5579"/>
      <c r="E203" s="5326"/>
      <c r="F203" s="5326"/>
      <c r="G203" s="5297"/>
      <c r="H203" s="1433"/>
      <c r="I203" s="5583"/>
      <c r="J203" s="5295"/>
      <c r="K203" s="1432"/>
      <c r="L203" s="5297"/>
      <c r="M203" s="5297"/>
      <c r="N203" s="1433"/>
      <c r="O203" s="5226"/>
      <c r="P203" s="5573"/>
      <c r="Q203" s="1429"/>
      <c r="R203" s="5297"/>
      <c r="S203" s="5297"/>
      <c r="T203" s="1717"/>
      <c r="U203" s="5226"/>
      <c r="V203" s="5581"/>
      <c r="W203" s="1430"/>
      <c r="X203" s="5297"/>
      <c r="Y203" s="5297"/>
      <c r="Z203" s="1433"/>
      <c r="AA203" s="5226"/>
      <c r="AB203" s="5559"/>
      <c r="AC203" s="1434"/>
      <c r="AD203" s="5230"/>
      <c r="AE203" s="5230"/>
      <c r="AF203" s="1435"/>
      <c r="AG203" s="1436"/>
      <c r="AH203" s="5574" t="s">
        <v>1943</v>
      </c>
      <c r="AI203" s="5575"/>
    </row>
    <row r="204" spans="1:63" s="4794" customFormat="1" ht="15" customHeight="1">
      <c r="D204" s="5579"/>
      <c r="E204" s="5326"/>
      <c r="F204" s="5326"/>
      <c r="G204" s="5297"/>
      <c r="H204" s="1433"/>
      <c r="I204" s="5583"/>
      <c r="J204" s="5295"/>
      <c r="K204" s="1432"/>
      <c r="L204" s="5297"/>
      <c r="M204" s="5297"/>
      <c r="N204" s="1433"/>
      <c r="O204" s="5226"/>
      <c r="P204" s="5573"/>
      <c r="Q204" s="1429"/>
      <c r="R204" s="5297"/>
      <c r="S204" s="5297"/>
      <c r="T204" s="1717"/>
      <c r="U204" s="5226"/>
      <c r="V204" s="5581"/>
      <c r="W204" s="1430"/>
      <c r="X204" s="5297"/>
      <c r="Y204" s="5297"/>
      <c r="Z204" s="1472"/>
      <c r="AA204" s="1438"/>
      <c r="AB204" s="5576" t="s">
        <v>1944</v>
      </c>
      <c r="AC204" s="5576"/>
      <c r="AD204" s="5576"/>
      <c r="AE204" s="5576"/>
      <c r="AF204" s="5576"/>
      <c r="AG204" s="5576"/>
      <c r="AH204" s="5576"/>
      <c r="AI204" s="5577"/>
    </row>
    <row r="205" spans="1:63" s="4794" customFormat="1" ht="15" customHeight="1">
      <c r="D205" s="5579"/>
      <c r="E205" s="5326"/>
      <c r="F205" s="5326"/>
      <c r="G205" s="5297"/>
      <c r="H205" s="1433"/>
      <c r="I205" s="5583"/>
      <c r="J205" s="5295"/>
      <c r="K205" s="1432"/>
      <c r="L205" s="5297"/>
      <c r="M205" s="5297"/>
      <c r="N205" s="1433"/>
      <c r="O205" s="5226"/>
      <c r="P205" s="5578"/>
      <c r="Q205" s="1429"/>
      <c r="R205" s="5297"/>
      <c r="S205" s="5297"/>
      <c r="T205" s="1718"/>
      <c r="U205" s="1473"/>
      <c r="V205" s="5574" t="s">
        <v>123</v>
      </c>
      <c r="W205" s="5574"/>
      <c r="X205" s="5574"/>
      <c r="Y205" s="5574"/>
      <c r="Z205" s="5574"/>
      <c r="AA205" s="5574"/>
      <c r="AB205" s="5574"/>
      <c r="AC205" s="5574"/>
      <c r="AD205" s="5574"/>
      <c r="AE205" s="5574"/>
      <c r="AF205" s="5574"/>
      <c r="AG205" s="5574"/>
      <c r="AH205" s="5574"/>
      <c r="AI205" s="5575"/>
    </row>
    <row r="206" spans="1:63" s="4794" customFormat="1" ht="11.25" customHeight="1">
      <c r="D206" s="5579"/>
      <c r="E206" s="5326"/>
      <c r="F206" s="5326"/>
      <c r="G206" s="5297"/>
      <c r="H206" s="1437"/>
      <c r="I206" s="5583"/>
      <c r="J206" s="5584"/>
      <c r="K206" s="1432"/>
      <c r="L206" s="5297"/>
      <c r="M206" s="5297"/>
      <c r="N206" s="1437"/>
      <c r="O206" s="1438"/>
      <c r="P206" s="5574" t="s">
        <v>1945</v>
      </c>
      <c r="Q206" s="5574"/>
      <c r="R206" s="5574"/>
      <c r="S206" s="5574"/>
      <c r="T206" s="5574"/>
      <c r="U206" s="5574"/>
      <c r="V206" s="5574"/>
      <c r="W206" s="5574"/>
      <c r="X206" s="5574"/>
      <c r="Y206" s="5574"/>
      <c r="Z206" s="5574"/>
      <c r="AA206" s="5574"/>
      <c r="AB206" s="5574"/>
      <c r="AC206" s="5574"/>
      <c r="AD206" s="5574"/>
      <c r="AE206" s="5574"/>
      <c r="AF206" s="5574"/>
      <c r="AG206" s="5574"/>
      <c r="AH206" s="5574"/>
      <c r="AI206" s="5575"/>
    </row>
    <row r="207" spans="1:63" s="4828" customFormat="1" ht="11.25" customHeight="1">
      <c r="D207" s="5579"/>
      <c r="E207" s="5326"/>
      <c r="F207" s="5326"/>
      <c r="G207" s="5230"/>
      <c r="H207" s="1439"/>
      <c r="I207" s="1440"/>
      <c r="J207" s="5574" t="s">
        <v>331</v>
      </c>
      <c r="K207" s="5574"/>
      <c r="L207" s="5574"/>
      <c r="M207" s="5574"/>
      <c r="N207" s="5574"/>
      <c r="O207" s="5574"/>
      <c r="P207" s="5574"/>
      <c r="Q207" s="5574"/>
      <c r="R207" s="5574"/>
      <c r="S207" s="5574"/>
      <c r="T207" s="5574"/>
      <c r="U207" s="5574"/>
      <c r="V207" s="5574"/>
      <c r="W207" s="5574"/>
      <c r="X207" s="5574"/>
      <c r="Y207" s="5574"/>
      <c r="Z207" s="5574"/>
      <c r="AA207" s="5574"/>
      <c r="AB207" s="5574"/>
      <c r="AC207" s="5574"/>
      <c r="AD207" s="5574"/>
      <c r="AE207" s="5574"/>
      <c r="AF207" s="5574"/>
      <c r="AG207" s="5574"/>
      <c r="AH207" s="5574"/>
      <c r="AI207" s="5575"/>
      <c r="BK207" s="1443"/>
    </row>
    <row r="208" spans="1:63" ht="17.25" customHeight="1">
      <c r="G208" s="1700"/>
      <c r="I208" s="1700"/>
      <c r="J208" s="1700"/>
      <c r="N208" s="1696"/>
    </row>
    <row r="209" spans="1:63" s="4794" customFormat="1" ht="15" customHeight="1">
      <c r="D209" s="5579"/>
      <c r="E209" s="5326"/>
      <c r="F209" s="5326"/>
      <c r="G209" s="5311"/>
      <c r="H209" s="1468"/>
      <c r="I209" s="5313"/>
      <c r="J209" s="5269"/>
      <c r="K209" s="1648"/>
      <c r="L209" s="5254"/>
      <c r="M209" s="5254"/>
      <c r="N209" s="1453"/>
      <c r="O209" s="5254"/>
      <c r="P209" s="5269"/>
      <c r="Q209" s="1652"/>
      <c r="R209" s="5254"/>
      <c r="S209" s="5254"/>
      <c r="T209" s="1719"/>
      <c r="U209" s="5254"/>
      <c r="V209" s="5269"/>
      <c r="W209" s="1456"/>
      <c r="X209" s="5254"/>
      <c r="Y209" s="5254"/>
      <c r="Z209" s="1453"/>
      <c r="AA209" s="5254"/>
      <c r="AB209" s="5269"/>
      <c r="AC209" s="1457"/>
      <c r="AD209" s="5254"/>
      <c r="AE209" s="5254"/>
      <c r="AF209" s="1646"/>
      <c r="AG209" s="1646"/>
      <c r="AH209" s="1458"/>
      <c r="AI209" s="1177"/>
    </row>
    <row r="210" spans="1:63" s="4794" customFormat="1" ht="15" customHeight="1">
      <c r="D210" s="5579"/>
      <c r="E210" s="5326"/>
      <c r="F210" s="5326"/>
      <c r="G210" s="5311"/>
      <c r="H210" s="1469"/>
      <c r="I210" s="5314"/>
      <c r="J210" s="5270"/>
      <c r="K210" s="1477"/>
      <c r="L210" s="5255"/>
      <c r="M210" s="5255"/>
      <c r="N210" s="1459"/>
      <c r="O210" s="5255"/>
      <c r="P210" s="5270"/>
      <c r="Q210" s="1653"/>
      <c r="R210" s="5255"/>
      <c r="S210" s="5255"/>
      <c r="T210" s="1720"/>
      <c r="U210" s="5255"/>
      <c r="V210" s="5270"/>
      <c r="W210" s="1462"/>
      <c r="X210" s="5255"/>
      <c r="Y210" s="5255"/>
      <c r="Z210" s="1459"/>
      <c r="AA210" s="5255"/>
      <c r="AB210" s="5270"/>
      <c r="AC210" s="1463"/>
      <c r="AD210" s="5255"/>
      <c r="AE210" s="5255"/>
      <c r="AF210" s="1651"/>
      <c r="AG210" s="1651"/>
      <c r="AH210" s="5309"/>
      <c r="AI210" s="5310"/>
    </row>
    <row r="211" spans="1:63" s="4794" customFormat="1" ht="15" customHeight="1">
      <c r="D211" s="5579"/>
      <c r="E211" s="5326"/>
      <c r="F211" s="5326"/>
      <c r="G211" s="5311"/>
      <c r="H211" s="1469"/>
      <c r="I211" s="5314"/>
      <c r="J211" s="5270"/>
      <c r="K211" s="1477"/>
      <c r="L211" s="5255"/>
      <c r="M211" s="5255"/>
      <c r="N211" s="1459"/>
      <c r="O211" s="5255"/>
      <c r="P211" s="5270"/>
      <c r="Q211" s="1653"/>
      <c r="R211" s="5255"/>
      <c r="S211" s="5255"/>
      <c r="T211" s="1720"/>
      <c r="U211" s="5255"/>
      <c r="V211" s="5270"/>
      <c r="W211" s="1462"/>
      <c r="X211" s="5255"/>
      <c r="Y211" s="5255"/>
      <c r="Z211" s="1649"/>
      <c r="AA211" s="1651"/>
      <c r="AB211" s="5309"/>
      <c r="AC211" s="5309"/>
      <c r="AD211" s="5309"/>
      <c r="AE211" s="5309"/>
      <c r="AF211" s="5309"/>
      <c r="AG211" s="5309"/>
      <c r="AH211" s="5309"/>
      <c r="AI211" s="5310"/>
    </row>
    <row r="212" spans="1:63" s="4794" customFormat="1" ht="15" customHeight="1">
      <c r="D212" s="5579"/>
      <c r="E212" s="5326"/>
      <c r="F212" s="5326"/>
      <c r="G212" s="5311"/>
      <c r="H212" s="1469"/>
      <c r="I212" s="5314"/>
      <c r="J212" s="5270"/>
      <c r="K212" s="1477"/>
      <c r="L212" s="5255"/>
      <c r="M212" s="5255"/>
      <c r="N212" s="1459"/>
      <c r="O212" s="5255"/>
      <c r="P212" s="5270"/>
      <c r="Q212" s="1653"/>
      <c r="R212" s="5255"/>
      <c r="S212" s="5255"/>
      <c r="T212" s="1721"/>
      <c r="U212" s="1466"/>
      <c r="V212" s="5309"/>
      <c r="W212" s="5309"/>
      <c r="X212" s="5309"/>
      <c r="Y212" s="5309"/>
      <c r="Z212" s="5309"/>
      <c r="AA212" s="5309"/>
      <c r="AB212" s="5309"/>
      <c r="AC212" s="5309"/>
      <c r="AD212" s="5309"/>
      <c r="AE212" s="5309"/>
      <c r="AF212" s="5309"/>
      <c r="AG212" s="5309"/>
      <c r="AH212" s="5309"/>
      <c r="AI212" s="5310"/>
    </row>
    <row r="213" spans="1:63" s="4794" customFormat="1" ht="11.25" customHeight="1">
      <c r="D213" s="5579"/>
      <c r="E213" s="5326"/>
      <c r="F213" s="5326"/>
      <c r="G213" s="5311"/>
      <c r="H213" s="1470"/>
      <c r="I213" s="5314"/>
      <c r="J213" s="5270"/>
      <c r="K213" s="1477"/>
      <c r="L213" s="5255"/>
      <c r="M213" s="5255"/>
      <c r="N213" s="1651"/>
      <c r="O213" s="1651"/>
      <c r="P213" s="5309"/>
      <c r="Q213" s="5309"/>
      <c r="R213" s="5309"/>
      <c r="S213" s="5309"/>
      <c r="T213" s="5309"/>
      <c r="U213" s="5309"/>
      <c r="V213" s="5309"/>
      <c r="W213" s="5309"/>
      <c r="X213" s="5309"/>
      <c r="Y213" s="5309"/>
      <c r="Z213" s="5309"/>
      <c r="AA213" s="5309"/>
      <c r="AB213" s="5309"/>
      <c r="AC213" s="5309"/>
      <c r="AD213" s="5309"/>
      <c r="AE213" s="5309"/>
      <c r="AF213" s="5309"/>
      <c r="AG213" s="5309"/>
      <c r="AH213" s="5309"/>
      <c r="AI213" s="5310"/>
    </row>
    <row r="214" spans="1:63" s="4828" customFormat="1" ht="11.25" customHeight="1">
      <c r="D214" s="5579"/>
      <c r="E214" s="5326"/>
      <c r="F214" s="5326"/>
      <c r="G214" s="5316"/>
      <c r="H214" s="1467"/>
      <c r="I214" s="1471"/>
      <c r="J214" s="5317"/>
      <c r="K214" s="5317"/>
      <c r="L214" s="5317"/>
      <c r="M214" s="5317"/>
      <c r="N214" s="5317"/>
      <c r="O214" s="5317"/>
      <c r="P214" s="5317"/>
      <c r="Q214" s="5317"/>
      <c r="R214" s="5317"/>
      <c r="S214" s="5317"/>
      <c r="T214" s="5317"/>
      <c r="U214" s="5317"/>
      <c r="V214" s="5317"/>
      <c r="W214" s="5317"/>
      <c r="X214" s="5317"/>
      <c r="Y214" s="5317"/>
      <c r="Z214" s="5317"/>
      <c r="AA214" s="5317"/>
      <c r="AB214" s="5317"/>
      <c r="AC214" s="5317"/>
      <c r="AD214" s="5317"/>
      <c r="AE214" s="5317"/>
      <c r="AF214" s="5317"/>
      <c r="AG214" s="5317"/>
      <c r="AH214" s="5317"/>
      <c r="AI214" s="5318"/>
      <c r="BK214" s="1443"/>
    </row>
    <row r="215" spans="1:63" ht="17.25" customHeight="1">
      <c r="A215" s="1712"/>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4830" hidden="1"/>
    <col min="3" max="4" width="3.7109375" style="4830" customWidth="1"/>
    <col min="5" max="6" width="16" style="4830" customWidth="1"/>
    <col min="7" max="7" width="11.5703125" style="4830" customWidth="1"/>
    <col min="8" max="9" width="3.7109375" style="4830" customWidth="1"/>
    <col min="10" max="10" width="13.140625" style="4830" customWidth="1"/>
    <col min="11" max="11" width="0.28515625" style="4830" customWidth="1"/>
    <col min="12" max="13" width="10.7109375" style="4830" customWidth="1"/>
    <col min="14" max="15" width="3.7109375" style="4830" customWidth="1"/>
    <col min="16" max="16" width="19.7109375" style="4830" customWidth="1"/>
    <col min="17" max="17" width="0.28515625" style="4830" customWidth="1"/>
    <col min="18" max="19" width="10.7109375" style="4830" customWidth="1"/>
    <col min="20" max="21" width="3.7109375" style="4830" customWidth="1"/>
    <col min="22" max="22" width="25.7109375" style="4830" customWidth="1"/>
    <col min="23" max="23" width="0.28515625" style="4830" customWidth="1"/>
    <col min="24" max="25" width="10.7109375" style="4830" customWidth="1"/>
    <col min="26" max="27" width="3.7109375" style="4830" customWidth="1"/>
    <col min="28" max="28" width="16.42578125" style="4830" customWidth="1"/>
    <col min="29" max="29" width="0.28515625" style="4830" customWidth="1"/>
    <col min="30" max="31" width="10.7109375" style="4830" customWidth="1"/>
    <col min="32" max="33" width="3.7109375" style="4830" customWidth="1"/>
    <col min="34" max="34" width="8.7109375" style="4830" customWidth="1"/>
    <col min="35" max="35" width="21.7109375" style="4830" customWidth="1"/>
    <col min="36" max="36" width="9.140625" style="4794"/>
    <col min="37" max="37" width="9.140625" style="4831"/>
    <col min="38" max="64" width="9.140625" style="4794"/>
  </cols>
  <sheetData>
    <row r="1" spans="1:64" s="4826" customFormat="1" ht="11.25" hidden="1" customHeight="1">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row>
    <row r="2" spans="1:64" s="4827" customFormat="1" ht="11.25" hidden="1" customHeight="1">
      <c r="L2" s="1423" t="s">
        <v>357</v>
      </c>
      <c r="M2" s="1423" t="s">
        <v>358</v>
      </c>
      <c r="R2" s="1423" t="s">
        <v>359</v>
      </c>
      <c r="S2" s="1423" t="s">
        <v>358</v>
      </c>
      <c r="X2" s="1423" t="s">
        <v>357</v>
      </c>
      <c r="Y2" s="1423" t="s">
        <v>358</v>
      </c>
      <c r="AD2" s="1423" t="s">
        <v>357</v>
      </c>
      <c r="AE2" s="1423" t="s">
        <v>358</v>
      </c>
      <c r="AJ2" s="1444"/>
      <c r="AK2" s="1444"/>
      <c r="AL2" s="1444"/>
      <c r="AM2" s="1444"/>
      <c r="AN2" s="1444"/>
      <c r="AO2" s="1444"/>
      <c r="AP2" s="1444"/>
      <c r="AQ2" s="1444"/>
      <c r="AR2" s="1444"/>
      <c r="AS2" s="1444"/>
      <c r="AT2" s="1444"/>
      <c r="AU2" s="1444"/>
      <c r="AV2" s="1444"/>
      <c r="AW2" s="1444"/>
      <c r="AX2" s="1444"/>
      <c r="AY2" s="1444"/>
      <c r="AZ2" s="1444"/>
      <c r="BA2" s="1444"/>
      <c r="BB2" s="1444"/>
      <c r="BC2" s="1444"/>
      <c r="BD2" s="1444"/>
      <c r="BE2" s="1444"/>
      <c r="BF2" s="1444"/>
      <c r="BG2" s="1444"/>
      <c r="BH2" s="1444"/>
      <c r="BI2" s="1444"/>
      <c r="BJ2" s="1444"/>
      <c r="BK2" s="1444"/>
      <c r="BL2" s="1444"/>
    </row>
    <row r="3" spans="1:64" s="4828" customFormat="1" ht="11.25" customHeight="1">
      <c r="AJ3" s="1443"/>
      <c r="AK3" s="224"/>
      <c r="AL3" s="1443"/>
      <c r="AM3" s="1443"/>
      <c r="AN3" s="1443"/>
      <c r="AO3" s="1443"/>
      <c r="AP3" s="1443"/>
      <c r="AQ3" s="1443"/>
      <c r="AR3" s="1443"/>
      <c r="AS3" s="1443"/>
      <c r="AT3" s="1443"/>
      <c r="AU3" s="1443"/>
      <c r="AV3" s="1443"/>
      <c r="AW3" s="1443"/>
      <c r="AX3" s="1443"/>
      <c r="AY3" s="1443"/>
      <c r="AZ3" s="1443"/>
      <c r="BA3" s="1443"/>
      <c r="BB3" s="1443"/>
      <c r="BC3" s="1443"/>
      <c r="BD3" s="1443"/>
      <c r="BE3" s="1443"/>
      <c r="BF3" s="1443"/>
      <c r="BG3" s="1443"/>
      <c r="BH3" s="1443"/>
      <c r="BI3" s="1443"/>
      <c r="BJ3" s="1443"/>
      <c r="BK3" s="1443"/>
      <c r="BL3" s="1443"/>
    </row>
    <row r="4" spans="1:64" s="4793" customFormat="1" ht="33" customHeight="1">
      <c r="A4" s="1038"/>
      <c r="B4" s="1037"/>
      <c r="C4" s="1387"/>
      <c r="D4" s="5321" t="s">
        <v>360</v>
      </c>
      <c r="E4" s="5321"/>
      <c r="F4" s="5321"/>
      <c r="G4" s="5321"/>
      <c r="H4" s="5321"/>
      <c r="I4" s="5321"/>
      <c r="J4" s="5321"/>
      <c r="K4" s="601"/>
      <c r="T4" s="1424"/>
      <c r="AJ4" s="1445"/>
      <c r="AK4" s="1446"/>
      <c r="AL4" s="1445"/>
      <c r="AM4" s="1445"/>
      <c r="AN4" s="1445"/>
      <c r="AO4" s="1445"/>
      <c r="AP4" s="1445"/>
      <c r="AQ4" s="1445"/>
      <c r="AR4" s="1445"/>
      <c r="AS4" s="1445"/>
      <c r="AT4" s="1445"/>
      <c r="AU4" s="1445"/>
      <c r="AV4" s="1445"/>
      <c r="AW4" s="1445"/>
      <c r="AX4" s="1445"/>
      <c r="AY4" s="1445"/>
      <c r="AZ4" s="1445"/>
      <c r="BA4" s="1445"/>
      <c r="BB4" s="1445"/>
      <c r="BC4" s="1445"/>
      <c r="BD4" s="1445"/>
      <c r="BE4" s="1445"/>
      <c r="BF4" s="1445"/>
      <c r="BG4" s="1445"/>
      <c r="BH4" s="1445"/>
      <c r="BI4" s="1445"/>
      <c r="BJ4" s="1445"/>
      <c r="BK4" s="1445"/>
      <c r="BL4" s="1445"/>
    </row>
    <row r="5" spans="1:64" s="4829" customFormat="1" ht="14.25" customHeight="1">
      <c r="A5" s="1496"/>
      <c r="B5" s="1495"/>
      <c r="C5" s="1387"/>
      <c r="D5" s="5308" t="str">
        <f>IF(org=0,"Не определено",org)</f>
        <v>ООО «Газпром теплоэнерго МО»</v>
      </c>
      <c r="E5" s="5308"/>
      <c r="F5" s="5308"/>
      <c r="G5" s="5308"/>
      <c r="H5" s="5308"/>
      <c r="I5" s="5308"/>
      <c r="J5" s="5308"/>
      <c r="K5" s="601"/>
      <c r="T5" s="1424"/>
      <c r="AJ5" s="1445"/>
      <c r="AK5" s="1446"/>
      <c r="AL5" s="1445"/>
      <c r="AM5" s="1445"/>
      <c r="AN5" s="1445"/>
      <c r="AO5" s="1445"/>
      <c r="AP5" s="1445"/>
      <c r="AQ5" s="1445"/>
      <c r="AR5" s="1445"/>
      <c r="AS5" s="1445"/>
      <c r="AT5" s="1445"/>
      <c r="AU5" s="1445"/>
      <c r="AV5" s="1445"/>
      <c r="AW5" s="1445"/>
      <c r="AX5" s="1445"/>
      <c r="AY5" s="1445"/>
      <c r="AZ5" s="1445"/>
      <c r="BA5" s="1445"/>
      <c r="BB5" s="1445"/>
      <c r="BC5" s="1445"/>
      <c r="BD5" s="1445"/>
      <c r="BE5" s="1445"/>
      <c r="BF5" s="1445"/>
      <c r="BG5" s="1445"/>
      <c r="BH5" s="1445"/>
      <c r="BI5" s="1445"/>
      <c r="BJ5" s="1445"/>
      <c r="BK5" s="1445"/>
      <c r="BL5" s="1445"/>
    </row>
    <row r="6" spans="1:64" s="4793" customFormat="1" ht="14.25" customHeight="1">
      <c r="A6" s="1038"/>
      <c r="B6" s="1037"/>
      <c r="C6" s="1387"/>
      <c r="D6" s="601"/>
      <c r="E6" s="601"/>
      <c r="F6" s="601"/>
      <c r="G6" s="601"/>
      <c r="H6" s="601"/>
      <c r="I6" s="601"/>
      <c r="J6" s="601"/>
      <c r="K6" s="601"/>
      <c r="T6" s="1424"/>
      <c r="AJ6" s="1445"/>
      <c r="AK6" s="1446"/>
      <c r="AL6" s="1445"/>
      <c r="AM6" s="1445"/>
      <c r="AN6" s="1445"/>
      <c r="AO6" s="1445"/>
      <c r="AP6" s="1445"/>
      <c r="AQ6" s="1445"/>
      <c r="AR6" s="1445"/>
      <c r="AS6" s="1445"/>
      <c r="AT6" s="1445"/>
      <c r="AU6" s="1445"/>
      <c r="AV6" s="1445"/>
      <c r="AW6" s="1445"/>
      <c r="AX6" s="1445"/>
      <c r="AY6" s="1445"/>
      <c r="AZ6" s="1445"/>
      <c r="BA6" s="1445"/>
      <c r="BB6" s="1445"/>
      <c r="BC6" s="1445"/>
      <c r="BD6" s="1445"/>
      <c r="BE6" s="1445"/>
      <c r="BF6" s="1445"/>
      <c r="BG6" s="1445"/>
      <c r="BH6" s="1445"/>
      <c r="BI6" s="1445"/>
      <c r="BJ6" s="1445"/>
      <c r="BK6" s="1445"/>
      <c r="BL6" s="1445"/>
    </row>
    <row r="7" spans="1:64" s="4826" customFormat="1" ht="0.75" customHeight="1">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c r="BJ7" s="337"/>
      <c r="BK7" s="337"/>
      <c r="BL7" s="337"/>
    </row>
    <row r="8" spans="1:64" ht="31.5" customHeight="1">
      <c r="D8" s="5244" t="s">
        <v>85</v>
      </c>
      <c r="E8" s="5244" t="s">
        <v>125</v>
      </c>
      <c r="F8" s="5322" t="s">
        <v>140</v>
      </c>
      <c r="G8" s="5323"/>
      <c r="H8" s="5322" t="s">
        <v>85</v>
      </c>
      <c r="I8" s="5323"/>
      <c r="J8" s="5244" t="s">
        <v>141</v>
      </c>
      <c r="K8" s="1425"/>
      <c r="L8" s="5307" t="s">
        <v>361</v>
      </c>
      <c r="M8" s="5307"/>
      <c r="N8" s="5307"/>
      <c r="O8" s="5307"/>
      <c r="P8" s="5307"/>
      <c r="Q8" s="1426"/>
      <c r="R8" s="5215" t="s">
        <v>362</v>
      </c>
      <c r="S8" s="5220"/>
      <c r="T8" s="5220"/>
      <c r="U8" s="5220"/>
      <c r="V8" s="5220"/>
      <c r="W8" s="1426"/>
      <c r="X8" s="5244" t="s">
        <v>363</v>
      </c>
      <c r="Y8" s="5244"/>
      <c r="Z8" s="5244"/>
      <c r="AA8" s="5244"/>
      <c r="AB8" s="5244"/>
      <c r="AC8" s="1427"/>
      <c r="AD8" s="5244" t="s">
        <v>364</v>
      </c>
      <c r="AE8" s="5244"/>
      <c r="AF8" s="5244"/>
      <c r="AG8" s="5244"/>
      <c r="AH8" s="5215"/>
      <c r="AI8" s="5244" t="s">
        <v>365</v>
      </c>
      <c r="AJ8" s="1443"/>
    </row>
    <row r="9" spans="1:64" ht="22.5" customHeight="1">
      <c r="D9" s="5244"/>
      <c r="E9" s="5244"/>
      <c r="F9" s="5307" t="s">
        <v>86</v>
      </c>
      <c r="G9" s="5307" t="s">
        <v>146</v>
      </c>
      <c r="H9" s="5324"/>
      <c r="I9" s="5325"/>
      <c r="J9" s="5215"/>
      <c r="K9" s="1428"/>
      <c r="L9" s="5244" t="s">
        <v>366</v>
      </c>
      <c r="M9" s="5215"/>
      <c r="N9" s="5322" t="s">
        <v>85</v>
      </c>
      <c r="O9" s="5323"/>
      <c r="P9" s="5244" t="s">
        <v>147</v>
      </c>
      <c r="Q9" s="1425"/>
      <c r="R9" s="5244" t="s">
        <v>366</v>
      </c>
      <c r="S9" s="5215"/>
      <c r="T9" s="5322" t="s">
        <v>85</v>
      </c>
      <c r="U9" s="5323"/>
      <c r="V9" s="5244" t="s">
        <v>147</v>
      </c>
      <c r="W9" s="1425"/>
      <c r="X9" s="5244" t="s">
        <v>366</v>
      </c>
      <c r="Y9" s="5215"/>
      <c r="Z9" s="5322" t="s">
        <v>85</v>
      </c>
      <c r="AA9" s="5323"/>
      <c r="AB9" s="5244" t="s">
        <v>367</v>
      </c>
      <c r="AC9" s="1425"/>
      <c r="AD9" s="5244" t="s">
        <v>366</v>
      </c>
      <c r="AE9" s="5215"/>
      <c r="AF9" s="5322" t="s">
        <v>85</v>
      </c>
      <c r="AG9" s="5323"/>
      <c r="AH9" s="5215" t="s">
        <v>367</v>
      </c>
      <c r="AI9" s="5244"/>
      <c r="AJ9" s="1443"/>
    </row>
    <row r="10" spans="1:64" ht="22.5" customHeight="1">
      <c r="D10" s="5307"/>
      <c r="E10" s="5307"/>
      <c r="F10" s="5326"/>
      <c r="G10" s="5326"/>
      <c r="H10" s="5327"/>
      <c r="I10" s="5328"/>
      <c r="J10" s="5322"/>
      <c r="K10" s="1428"/>
      <c r="L10" s="1447" t="s">
        <v>368</v>
      </c>
      <c r="M10" s="1442" t="s">
        <v>369</v>
      </c>
      <c r="N10" s="5324"/>
      <c r="O10" s="5325"/>
      <c r="P10" s="5307"/>
      <c r="Q10" s="1425"/>
      <c r="R10" s="1447" t="s">
        <v>368</v>
      </c>
      <c r="S10" s="1442" t="s">
        <v>369</v>
      </c>
      <c r="T10" s="5324"/>
      <c r="U10" s="5325"/>
      <c r="V10" s="5307"/>
      <c r="W10" s="1425"/>
      <c r="X10" s="1447" t="s">
        <v>368</v>
      </c>
      <c r="Y10" s="1442" t="s">
        <v>369</v>
      </c>
      <c r="Z10" s="5324"/>
      <c r="AA10" s="5325"/>
      <c r="AB10" s="5307"/>
      <c r="AC10" s="1425"/>
      <c r="AD10" s="1447" t="s">
        <v>368</v>
      </c>
      <c r="AE10" s="1442" t="s">
        <v>369</v>
      </c>
      <c r="AF10" s="5324"/>
      <c r="AG10" s="5325"/>
      <c r="AH10" s="5322"/>
      <c r="AI10" s="5307"/>
      <c r="AJ10" s="1443"/>
      <c r="AK10" s="174" t="s">
        <v>370</v>
      </c>
      <c r="AL10" s="174" t="s">
        <v>148</v>
      </c>
    </row>
    <row r="11" spans="1:64" ht="14.25" customHeight="1">
      <c r="D11" s="5315" t="s">
        <v>129</v>
      </c>
      <c r="E11" s="5311" t="s">
        <v>371</v>
      </c>
      <c r="F11" s="5311" t="s">
        <v>372</v>
      </c>
      <c r="G11" s="5296" t="s">
        <v>54</v>
      </c>
      <c r="H11" s="1468"/>
      <c r="I11" s="5313"/>
      <c r="J11" s="5269"/>
      <c r="K11" s="1386"/>
      <c r="L11" s="5254"/>
      <c r="M11" s="5254"/>
      <c r="N11" s="1453"/>
      <c r="O11" s="5254"/>
      <c r="P11" s="5269"/>
      <c r="Q11" s="1454"/>
      <c r="R11" s="5254"/>
      <c r="S11" s="5254"/>
      <c r="T11" s="1455"/>
      <c r="U11" s="5254"/>
      <c r="V11" s="5269"/>
      <c r="W11" s="1456"/>
      <c r="X11" s="5254"/>
      <c r="Y11" s="5254"/>
      <c r="Z11" s="1453"/>
      <c r="AA11" s="5254"/>
      <c r="AB11" s="5269"/>
      <c r="AC11" s="1457"/>
      <c r="AD11" s="5254"/>
      <c r="AE11" s="5254"/>
      <c r="AF11" s="1385"/>
      <c r="AG11" s="1385"/>
      <c r="AH11" s="1458"/>
      <c r="AI11" s="1177"/>
      <c r="AJ11" s="1443"/>
    </row>
    <row r="12" spans="1:64" ht="14.25" customHeight="1">
      <c r="D12" s="5315"/>
      <c r="E12" s="5311"/>
      <c r="F12" s="5311"/>
      <c r="G12" s="5297"/>
      <c r="H12" s="1469"/>
      <c r="I12" s="5314"/>
      <c r="J12" s="5270"/>
      <c r="K12" s="1477"/>
      <c r="L12" s="5255"/>
      <c r="M12" s="5255"/>
      <c r="N12" s="1459"/>
      <c r="O12" s="5255"/>
      <c r="P12" s="5270"/>
      <c r="Q12" s="1460"/>
      <c r="R12" s="5255"/>
      <c r="S12" s="5255"/>
      <c r="T12" s="1461"/>
      <c r="U12" s="5255"/>
      <c r="V12" s="5270"/>
      <c r="W12" s="1462"/>
      <c r="X12" s="5255"/>
      <c r="Y12" s="5255"/>
      <c r="Z12" s="1459"/>
      <c r="AA12" s="5255"/>
      <c r="AB12" s="5270"/>
      <c r="AC12" s="1463"/>
      <c r="AD12" s="5255"/>
      <c r="AE12" s="5255"/>
      <c r="AF12" s="1464"/>
      <c r="AG12" s="1464"/>
      <c r="AH12" s="5309"/>
      <c r="AI12" s="5310"/>
      <c r="AJ12" s="1443"/>
    </row>
    <row r="13" spans="1:64" ht="14.25" customHeight="1">
      <c r="D13" s="5315"/>
      <c r="E13" s="5311"/>
      <c r="F13" s="5311"/>
      <c r="G13" s="5297"/>
      <c r="H13" s="1469"/>
      <c r="I13" s="5314"/>
      <c r="J13" s="5270"/>
      <c r="K13" s="1477"/>
      <c r="L13" s="5255"/>
      <c r="M13" s="5255"/>
      <c r="N13" s="1459"/>
      <c r="O13" s="5255"/>
      <c r="P13" s="5270"/>
      <c r="Q13" s="1460"/>
      <c r="R13" s="5255"/>
      <c r="S13" s="5255"/>
      <c r="T13" s="1461"/>
      <c r="U13" s="5255"/>
      <c r="V13" s="5270"/>
      <c r="W13" s="1462"/>
      <c r="X13" s="5255"/>
      <c r="Y13" s="5255"/>
      <c r="Z13" s="1384"/>
      <c r="AA13" s="1464"/>
      <c r="AB13" s="5309"/>
      <c r="AC13" s="5309"/>
      <c r="AD13" s="5309"/>
      <c r="AE13" s="5309"/>
      <c r="AF13" s="5309"/>
      <c r="AG13" s="5309"/>
      <c r="AH13" s="5309"/>
      <c r="AI13" s="5310"/>
      <c r="AJ13" s="1443"/>
    </row>
    <row r="14" spans="1:64" ht="14.25" customHeight="1">
      <c r="D14" s="5315"/>
      <c r="E14" s="5311"/>
      <c r="F14" s="5311"/>
      <c r="G14" s="5297"/>
      <c r="H14" s="1469"/>
      <c r="I14" s="5314"/>
      <c r="J14" s="5270"/>
      <c r="K14" s="1477"/>
      <c r="L14" s="5255"/>
      <c r="M14" s="5255"/>
      <c r="N14" s="1459"/>
      <c r="O14" s="5255"/>
      <c r="P14" s="5270"/>
      <c r="Q14" s="1460"/>
      <c r="R14" s="5255"/>
      <c r="S14" s="5255"/>
      <c r="T14" s="1465"/>
      <c r="U14" s="1466"/>
      <c r="V14" s="5309"/>
      <c r="W14" s="5309"/>
      <c r="X14" s="5309"/>
      <c r="Y14" s="5309"/>
      <c r="Z14" s="5309"/>
      <c r="AA14" s="5309"/>
      <c r="AB14" s="5309"/>
      <c r="AC14" s="5309"/>
      <c r="AD14" s="5309"/>
      <c r="AE14" s="5309"/>
      <c r="AF14" s="5309"/>
      <c r="AG14" s="5309"/>
      <c r="AH14" s="5309"/>
      <c r="AI14" s="5310"/>
      <c r="AJ14" s="1443"/>
    </row>
    <row r="15" spans="1:64" ht="11.25" customHeight="1">
      <c r="D15" s="5315"/>
      <c r="E15" s="5311"/>
      <c r="F15" s="5311"/>
      <c r="G15" s="5297"/>
      <c r="H15" s="1470"/>
      <c r="I15" s="5314"/>
      <c r="J15" s="5270"/>
      <c r="K15" s="1477"/>
      <c r="L15" s="5255"/>
      <c r="M15" s="5255"/>
      <c r="N15" s="1464"/>
      <c r="O15" s="1464"/>
      <c r="P15" s="5309"/>
      <c r="Q15" s="5309"/>
      <c r="R15" s="5309"/>
      <c r="S15" s="5309"/>
      <c r="T15" s="5309"/>
      <c r="U15" s="5309"/>
      <c r="V15" s="5309"/>
      <c r="W15" s="5309"/>
      <c r="X15" s="5309"/>
      <c r="Y15" s="5309"/>
      <c r="Z15" s="5309"/>
      <c r="AA15" s="5309"/>
      <c r="AB15" s="5309"/>
      <c r="AC15" s="5309"/>
      <c r="AD15" s="5309"/>
      <c r="AE15" s="5309"/>
      <c r="AF15" s="5309"/>
      <c r="AG15" s="5309"/>
      <c r="AH15" s="5309"/>
      <c r="AI15" s="5310"/>
      <c r="AJ15" s="1443"/>
    </row>
    <row r="16" spans="1:64" s="4828" customFormat="1" ht="11.25" customHeight="1">
      <c r="D16" s="5319"/>
      <c r="E16" s="5320"/>
      <c r="F16" s="5312"/>
      <c r="G16" s="5230"/>
      <c r="H16" s="1467"/>
      <c r="I16" s="1471"/>
      <c r="J16" s="5317"/>
      <c r="K16" s="5317"/>
      <c r="L16" s="5317"/>
      <c r="M16" s="5317"/>
      <c r="N16" s="5317"/>
      <c r="O16" s="5317"/>
      <c r="P16" s="5317"/>
      <c r="Q16" s="5317"/>
      <c r="R16" s="5317"/>
      <c r="S16" s="5317"/>
      <c r="T16" s="5317"/>
      <c r="U16" s="5317"/>
      <c r="V16" s="5317"/>
      <c r="W16" s="5317"/>
      <c r="X16" s="5317"/>
      <c r="Y16" s="5317"/>
      <c r="Z16" s="5317"/>
      <c r="AA16" s="5317"/>
      <c r="AB16" s="5317"/>
      <c r="AC16" s="5317"/>
      <c r="AD16" s="5317"/>
      <c r="AE16" s="5317"/>
      <c r="AF16" s="5317"/>
      <c r="AG16" s="5317"/>
      <c r="AH16" s="5317"/>
      <c r="AI16" s="5318"/>
      <c r="AJ16" s="1443"/>
      <c r="AK16" s="224"/>
      <c r="AL16" s="1443"/>
      <c r="AM16" s="1443"/>
      <c r="AN16" s="1443"/>
      <c r="AO16" s="1443"/>
      <c r="AP16" s="1443"/>
      <c r="AQ16" s="1443"/>
      <c r="AR16" s="1443"/>
      <c r="AS16" s="1443"/>
      <c r="AT16" s="1443"/>
      <c r="AU16" s="1443"/>
      <c r="AV16" s="1443"/>
      <c r="AW16" s="1443"/>
      <c r="AX16" s="1443"/>
      <c r="AY16" s="1443"/>
      <c r="AZ16" s="1443"/>
      <c r="BA16" s="1443"/>
      <c r="BB16" s="1443"/>
      <c r="BC16" s="1443"/>
      <c r="BD16" s="1443"/>
      <c r="BE16" s="1443"/>
      <c r="BF16" s="1443"/>
      <c r="BG16" s="1443"/>
      <c r="BH16" s="1443"/>
      <c r="BI16" s="1443"/>
      <c r="BJ16" s="1443"/>
      <c r="BK16" s="1443"/>
      <c r="BL16" s="1443"/>
    </row>
    <row r="17" spans="4:64" ht="14.25" customHeight="1">
      <c r="D17" s="5315" t="s">
        <v>100</v>
      </c>
      <c r="E17" s="5311" t="s">
        <v>371</v>
      </c>
      <c r="F17" s="5311" t="s">
        <v>373</v>
      </c>
      <c r="G17" s="5296" t="s">
        <v>54</v>
      </c>
      <c r="H17" s="1468"/>
      <c r="I17" s="5313"/>
      <c r="J17" s="5269"/>
      <c r="K17" s="1386"/>
      <c r="L17" s="5254"/>
      <c r="M17" s="5254"/>
      <c r="N17" s="1453"/>
      <c r="O17" s="5254"/>
      <c r="P17" s="5269"/>
      <c r="Q17" s="1454"/>
      <c r="R17" s="5254"/>
      <c r="S17" s="5254"/>
      <c r="T17" s="1455"/>
      <c r="U17" s="5254"/>
      <c r="V17" s="5269"/>
      <c r="W17" s="1456"/>
      <c r="X17" s="5254"/>
      <c r="Y17" s="5254"/>
      <c r="Z17" s="1453"/>
      <c r="AA17" s="5254"/>
      <c r="AB17" s="5269"/>
      <c r="AC17" s="1457"/>
      <c r="AD17" s="5254"/>
      <c r="AE17" s="5254"/>
      <c r="AF17" s="1385"/>
      <c r="AG17" s="1385"/>
      <c r="AH17" s="1458"/>
      <c r="AI17" s="1177"/>
      <c r="AJ17" s="1443"/>
    </row>
    <row r="18" spans="4:64" ht="14.25" customHeight="1">
      <c r="D18" s="5315"/>
      <c r="E18" s="5311"/>
      <c r="F18" s="5311"/>
      <c r="G18" s="5297"/>
      <c r="H18" s="1469"/>
      <c r="I18" s="5314"/>
      <c r="J18" s="5270"/>
      <c r="K18" s="1452"/>
      <c r="L18" s="5255"/>
      <c r="M18" s="5255"/>
      <c r="N18" s="1459"/>
      <c r="O18" s="5255"/>
      <c r="P18" s="5270"/>
      <c r="Q18" s="1460"/>
      <c r="R18" s="5255"/>
      <c r="S18" s="5255"/>
      <c r="T18" s="1461"/>
      <c r="U18" s="5255"/>
      <c r="V18" s="5270"/>
      <c r="W18" s="1462"/>
      <c r="X18" s="5255"/>
      <c r="Y18" s="5255"/>
      <c r="Z18" s="1459"/>
      <c r="AA18" s="5255"/>
      <c r="AB18" s="5270"/>
      <c r="AC18" s="1463"/>
      <c r="AD18" s="5255"/>
      <c r="AE18" s="5255"/>
      <c r="AF18" s="1464"/>
      <c r="AG18" s="1464"/>
      <c r="AH18" s="5309"/>
      <c r="AI18" s="5310"/>
      <c r="AJ18" s="1443"/>
    </row>
    <row r="19" spans="4:64" ht="14.25" customHeight="1">
      <c r="D19" s="5315"/>
      <c r="E19" s="5311"/>
      <c r="F19" s="5311"/>
      <c r="G19" s="5297"/>
      <c r="H19" s="1469"/>
      <c r="I19" s="5314"/>
      <c r="J19" s="5270"/>
      <c r="K19" s="1452"/>
      <c r="L19" s="5255"/>
      <c r="M19" s="5255"/>
      <c r="N19" s="1459"/>
      <c r="O19" s="5255"/>
      <c r="P19" s="5270"/>
      <c r="Q19" s="1460"/>
      <c r="R19" s="5255"/>
      <c r="S19" s="5255"/>
      <c r="T19" s="1461"/>
      <c r="U19" s="5255"/>
      <c r="V19" s="5270"/>
      <c r="W19" s="1462"/>
      <c r="X19" s="5255"/>
      <c r="Y19" s="5255"/>
      <c r="Z19" s="1384"/>
      <c r="AA19" s="1464"/>
      <c r="AB19" s="5309"/>
      <c r="AC19" s="5309"/>
      <c r="AD19" s="5309"/>
      <c r="AE19" s="5309"/>
      <c r="AF19" s="5309"/>
      <c r="AG19" s="5309"/>
      <c r="AH19" s="5309"/>
      <c r="AI19" s="5310"/>
      <c r="AJ19" s="1443"/>
    </row>
    <row r="20" spans="4:64" ht="14.25" customHeight="1">
      <c r="D20" s="5315"/>
      <c r="E20" s="5311"/>
      <c r="F20" s="5311"/>
      <c r="G20" s="5297"/>
      <c r="H20" s="1469"/>
      <c r="I20" s="5314"/>
      <c r="J20" s="5270"/>
      <c r="K20" s="1452"/>
      <c r="L20" s="5255"/>
      <c r="M20" s="5255"/>
      <c r="N20" s="1459"/>
      <c r="O20" s="5255"/>
      <c r="P20" s="5270"/>
      <c r="Q20" s="1460"/>
      <c r="R20" s="5255"/>
      <c r="S20" s="5255"/>
      <c r="T20" s="1465"/>
      <c r="U20" s="1466"/>
      <c r="V20" s="5309"/>
      <c r="W20" s="5309"/>
      <c r="X20" s="5309"/>
      <c r="Y20" s="5309"/>
      <c r="Z20" s="5309"/>
      <c r="AA20" s="5309"/>
      <c r="AB20" s="5309"/>
      <c r="AC20" s="5309"/>
      <c r="AD20" s="5309"/>
      <c r="AE20" s="5309"/>
      <c r="AF20" s="5309"/>
      <c r="AG20" s="5309"/>
      <c r="AH20" s="5309"/>
      <c r="AI20" s="5310"/>
      <c r="AJ20" s="1443"/>
    </row>
    <row r="21" spans="4:64" ht="11.25" customHeight="1">
      <c r="D21" s="5315"/>
      <c r="E21" s="5311"/>
      <c r="F21" s="5311"/>
      <c r="G21" s="5297"/>
      <c r="H21" s="1470"/>
      <c r="I21" s="5314"/>
      <c r="J21" s="5270"/>
      <c r="K21" s="1452"/>
      <c r="L21" s="5255"/>
      <c r="M21" s="5255"/>
      <c r="N21" s="1464"/>
      <c r="O21" s="1464"/>
      <c r="P21" s="5309"/>
      <c r="Q21" s="5309"/>
      <c r="R21" s="5309"/>
      <c r="S21" s="5309"/>
      <c r="T21" s="5309"/>
      <c r="U21" s="5309"/>
      <c r="V21" s="5309"/>
      <c r="W21" s="5309"/>
      <c r="X21" s="5309"/>
      <c r="Y21" s="5309"/>
      <c r="Z21" s="5309"/>
      <c r="AA21" s="5309"/>
      <c r="AB21" s="5309"/>
      <c r="AC21" s="5309"/>
      <c r="AD21" s="5309"/>
      <c r="AE21" s="5309"/>
      <c r="AF21" s="5309"/>
      <c r="AG21" s="5309"/>
      <c r="AH21" s="5309"/>
      <c r="AI21" s="5310"/>
      <c r="AJ21" s="1443"/>
    </row>
    <row r="22" spans="4:64" s="4828" customFormat="1" ht="11.25" customHeight="1">
      <c r="D22" s="5319"/>
      <c r="E22" s="5320"/>
      <c r="F22" s="5312"/>
      <c r="G22" s="5230"/>
      <c r="H22" s="1467"/>
      <c r="I22" s="1471"/>
      <c r="J22" s="5317"/>
      <c r="K22" s="5317"/>
      <c r="L22" s="5317"/>
      <c r="M22" s="5317"/>
      <c r="N22" s="5317"/>
      <c r="O22" s="5317"/>
      <c r="P22" s="5317"/>
      <c r="Q22" s="5317"/>
      <c r="R22" s="5317"/>
      <c r="S22" s="5317"/>
      <c r="T22" s="5317"/>
      <c r="U22" s="5317"/>
      <c r="V22" s="5317"/>
      <c r="W22" s="5317"/>
      <c r="X22" s="5317"/>
      <c r="Y22" s="5317"/>
      <c r="Z22" s="5317"/>
      <c r="AA22" s="5317"/>
      <c r="AB22" s="5317"/>
      <c r="AC22" s="5317"/>
      <c r="AD22" s="5317"/>
      <c r="AE22" s="5317"/>
      <c r="AF22" s="5317"/>
      <c r="AG22" s="5317"/>
      <c r="AH22" s="5317"/>
      <c r="AI22" s="5318"/>
      <c r="AJ22" s="1443"/>
      <c r="AK22" s="224"/>
      <c r="AL22" s="1443"/>
      <c r="AM22" s="1443"/>
      <c r="AN22" s="1443"/>
      <c r="AO22" s="1443"/>
      <c r="AP22" s="1443"/>
      <c r="AQ22" s="1443"/>
      <c r="AR22" s="1443"/>
      <c r="AS22" s="1443"/>
      <c r="AT22" s="1443"/>
      <c r="AU22" s="1443"/>
      <c r="AV22" s="1443"/>
      <c r="AW22" s="1443"/>
      <c r="AX22" s="1443"/>
      <c r="AY22" s="1443"/>
      <c r="AZ22" s="1443"/>
      <c r="BA22" s="1443"/>
      <c r="BB22" s="1443"/>
      <c r="BC22" s="1443"/>
      <c r="BD22" s="1443"/>
      <c r="BE22" s="1443"/>
      <c r="BF22" s="1443"/>
      <c r="BG22" s="1443"/>
      <c r="BH22" s="1443"/>
      <c r="BI22" s="1443"/>
      <c r="BJ22" s="1443"/>
      <c r="BK22" s="1443"/>
      <c r="BL22" s="1443"/>
    </row>
    <row r="23" spans="4:64" ht="14.25" customHeight="1">
      <c r="D23" s="5315" t="s">
        <v>87</v>
      </c>
      <c r="E23" s="5311" t="s">
        <v>371</v>
      </c>
      <c r="F23" s="5311" t="s">
        <v>374</v>
      </c>
      <c r="G23" s="5296" t="s">
        <v>54</v>
      </c>
      <c r="H23" s="1468"/>
      <c r="I23" s="5313"/>
      <c r="J23" s="5269"/>
      <c r="K23" s="1386"/>
      <c r="L23" s="5254"/>
      <c r="M23" s="5254"/>
      <c r="N23" s="1453"/>
      <c r="O23" s="5254"/>
      <c r="P23" s="5269"/>
      <c r="Q23" s="1454"/>
      <c r="R23" s="5254"/>
      <c r="S23" s="5254"/>
      <c r="T23" s="1455"/>
      <c r="U23" s="5254"/>
      <c r="V23" s="5269"/>
      <c r="W23" s="1456"/>
      <c r="X23" s="5254"/>
      <c r="Y23" s="5254"/>
      <c r="Z23" s="1453"/>
      <c r="AA23" s="5254"/>
      <c r="AB23" s="5269"/>
      <c r="AC23" s="1457"/>
      <c r="AD23" s="5254"/>
      <c r="AE23" s="5254"/>
      <c r="AF23" s="1385"/>
      <c r="AG23" s="1385"/>
      <c r="AH23" s="1458"/>
      <c r="AI23" s="1177"/>
      <c r="AJ23" s="1443"/>
      <c r="AK23" s="224" t="s">
        <v>95</v>
      </c>
    </row>
    <row r="24" spans="4:64" ht="14.25" customHeight="1">
      <c r="D24" s="5315"/>
      <c r="E24" s="5311"/>
      <c r="F24" s="5311"/>
      <c r="G24" s="5297"/>
      <c r="H24" s="1469"/>
      <c r="I24" s="5314"/>
      <c r="J24" s="5270"/>
      <c r="K24" s="1477"/>
      <c r="L24" s="5255"/>
      <c r="M24" s="5255"/>
      <c r="N24" s="1459"/>
      <c r="O24" s="5255"/>
      <c r="P24" s="5270"/>
      <c r="Q24" s="1460"/>
      <c r="R24" s="5255"/>
      <c r="S24" s="5255"/>
      <c r="T24" s="1461"/>
      <c r="U24" s="5255"/>
      <c r="V24" s="5270"/>
      <c r="W24" s="1462"/>
      <c r="X24" s="5255"/>
      <c r="Y24" s="5255"/>
      <c r="Z24" s="1459"/>
      <c r="AA24" s="5255"/>
      <c r="AB24" s="5270"/>
      <c r="AC24" s="1463"/>
      <c r="AD24" s="5255"/>
      <c r="AE24" s="5255"/>
      <c r="AF24" s="1464"/>
      <c r="AG24" s="1464"/>
      <c r="AH24" s="5309"/>
      <c r="AI24" s="5310"/>
      <c r="AJ24" s="1443"/>
    </row>
    <row r="25" spans="4:64" ht="14.25" customHeight="1">
      <c r="D25" s="5315"/>
      <c r="E25" s="5311"/>
      <c r="F25" s="5311"/>
      <c r="G25" s="5297"/>
      <c r="H25" s="1469"/>
      <c r="I25" s="5314"/>
      <c r="J25" s="5270"/>
      <c r="K25" s="1477"/>
      <c r="L25" s="5255"/>
      <c r="M25" s="5255"/>
      <c r="N25" s="1459"/>
      <c r="O25" s="5255"/>
      <c r="P25" s="5270"/>
      <c r="Q25" s="1460"/>
      <c r="R25" s="5255"/>
      <c r="S25" s="5255"/>
      <c r="T25" s="1461"/>
      <c r="U25" s="5255"/>
      <c r="V25" s="5270"/>
      <c r="W25" s="1462"/>
      <c r="X25" s="5255"/>
      <c r="Y25" s="5255"/>
      <c r="Z25" s="1384"/>
      <c r="AA25" s="1464"/>
      <c r="AB25" s="5309"/>
      <c r="AC25" s="5309"/>
      <c r="AD25" s="5309"/>
      <c r="AE25" s="5309"/>
      <c r="AF25" s="5309"/>
      <c r="AG25" s="5309"/>
      <c r="AH25" s="5309"/>
      <c r="AI25" s="5310"/>
      <c r="AJ25" s="1443"/>
    </row>
    <row r="26" spans="4:64" ht="14.25" customHeight="1">
      <c r="D26" s="5315"/>
      <c r="E26" s="5311"/>
      <c r="F26" s="5311"/>
      <c r="G26" s="5297"/>
      <c r="H26" s="1469"/>
      <c r="I26" s="5314"/>
      <c r="J26" s="5270"/>
      <c r="K26" s="1477"/>
      <c r="L26" s="5255"/>
      <c r="M26" s="5255"/>
      <c r="N26" s="1459"/>
      <c r="O26" s="5255"/>
      <c r="P26" s="5270"/>
      <c r="Q26" s="1460"/>
      <c r="R26" s="5255"/>
      <c r="S26" s="5255"/>
      <c r="T26" s="1465"/>
      <c r="U26" s="1466"/>
      <c r="V26" s="5309"/>
      <c r="W26" s="5309"/>
      <c r="X26" s="5309"/>
      <c r="Y26" s="5309"/>
      <c r="Z26" s="5309"/>
      <c r="AA26" s="5309"/>
      <c r="AB26" s="5309"/>
      <c r="AC26" s="5309"/>
      <c r="AD26" s="5309"/>
      <c r="AE26" s="5309"/>
      <c r="AF26" s="5309"/>
      <c r="AG26" s="5309"/>
      <c r="AH26" s="5309"/>
      <c r="AI26" s="5310"/>
      <c r="AJ26" s="1443"/>
    </row>
    <row r="27" spans="4:64" ht="11.25" customHeight="1">
      <c r="D27" s="5315"/>
      <c r="E27" s="5311"/>
      <c r="F27" s="5311"/>
      <c r="G27" s="5297"/>
      <c r="H27" s="1470"/>
      <c r="I27" s="5314"/>
      <c r="J27" s="5270"/>
      <c r="K27" s="1477"/>
      <c r="L27" s="5255"/>
      <c r="M27" s="5255"/>
      <c r="N27" s="1464"/>
      <c r="O27" s="1464"/>
      <c r="P27" s="5309"/>
      <c r="Q27" s="5309"/>
      <c r="R27" s="5309"/>
      <c r="S27" s="5309"/>
      <c r="T27" s="5309"/>
      <c r="U27" s="5309"/>
      <c r="V27" s="5309"/>
      <c r="W27" s="5309"/>
      <c r="X27" s="5309"/>
      <c r="Y27" s="5309"/>
      <c r="Z27" s="5309"/>
      <c r="AA27" s="5309"/>
      <c r="AB27" s="5309"/>
      <c r="AC27" s="5309"/>
      <c r="AD27" s="5309"/>
      <c r="AE27" s="5309"/>
      <c r="AF27" s="5309"/>
      <c r="AG27" s="5309"/>
      <c r="AH27" s="5309"/>
      <c r="AI27" s="5310"/>
      <c r="AJ27" s="1443"/>
    </row>
    <row r="28" spans="4:64" s="4828" customFormat="1" ht="11.25" customHeight="1">
      <c r="D28" s="5319"/>
      <c r="E28" s="5320"/>
      <c r="F28" s="5312"/>
      <c r="G28" s="5230"/>
      <c r="H28" s="1467"/>
      <c r="I28" s="1471"/>
      <c r="J28" s="5317"/>
      <c r="K28" s="5317"/>
      <c r="L28" s="5317"/>
      <c r="M28" s="5317"/>
      <c r="N28" s="5317"/>
      <c r="O28" s="5317"/>
      <c r="P28" s="5317"/>
      <c r="Q28" s="5317"/>
      <c r="R28" s="5317"/>
      <c r="S28" s="5317"/>
      <c r="T28" s="5317"/>
      <c r="U28" s="5317"/>
      <c r="V28" s="5317"/>
      <c r="W28" s="5317"/>
      <c r="X28" s="5317"/>
      <c r="Y28" s="5317"/>
      <c r="Z28" s="5317"/>
      <c r="AA28" s="5317"/>
      <c r="AB28" s="5317"/>
      <c r="AC28" s="5317"/>
      <c r="AD28" s="5317"/>
      <c r="AE28" s="5317"/>
      <c r="AF28" s="5317"/>
      <c r="AG28" s="5317"/>
      <c r="AH28" s="5317"/>
      <c r="AI28" s="5318"/>
      <c r="AJ28" s="1443"/>
      <c r="AK28" s="224"/>
      <c r="AL28" s="1443"/>
      <c r="AM28" s="1443"/>
      <c r="AN28" s="1443"/>
      <c r="AO28" s="1443"/>
      <c r="AP28" s="1443"/>
      <c r="AQ28" s="1443"/>
      <c r="AR28" s="1443"/>
      <c r="AS28" s="1443"/>
      <c r="AT28" s="1443"/>
      <c r="AU28" s="1443"/>
      <c r="AV28" s="1443"/>
      <c r="AW28" s="1443"/>
      <c r="AX28" s="1443"/>
      <c r="AY28" s="1443"/>
      <c r="AZ28" s="1443"/>
      <c r="BA28" s="1443"/>
      <c r="BB28" s="1443"/>
      <c r="BC28" s="1443"/>
      <c r="BD28" s="1443"/>
      <c r="BE28" s="1443"/>
      <c r="BF28" s="1443"/>
      <c r="BG28" s="1443"/>
      <c r="BH28" s="1443"/>
      <c r="BI28" s="1443"/>
      <c r="BJ28" s="1443"/>
      <c r="BK28" s="1443"/>
      <c r="BL28" s="1443"/>
    </row>
    <row r="29" spans="4:64" ht="14.25" customHeight="1">
      <c r="D29" s="5315" t="s">
        <v>88</v>
      </c>
      <c r="E29" s="5311" t="s">
        <v>371</v>
      </c>
      <c r="F29" s="5311" t="s">
        <v>375</v>
      </c>
      <c r="G29" s="5296" t="s">
        <v>54</v>
      </c>
      <c r="H29" s="1468"/>
      <c r="I29" s="5313"/>
      <c r="J29" s="5269"/>
      <c r="K29" s="1386"/>
      <c r="L29" s="5254"/>
      <c r="M29" s="5254"/>
      <c r="N29" s="1453"/>
      <c r="O29" s="5254"/>
      <c r="P29" s="5269"/>
      <c r="Q29" s="1454"/>
      <c r="R29" s="5254"/>
      <c r="S29" s="5254"/>
      <c r="T29" s="1455"/>
      <c r="U29" s="5254"/>
      <c r="V29" s="5269"/>
      <c r="W29" s="1456"/>
      <c r="X29" s="5254"/>
      <c r="Y29" s="5254"/>
      <c r="Z29" s="1453"/>
      <c r="AA29" s="5254"/>
      <c r="AB29" s="5269"/>
      <c r="AC29" s="1457"/>
      <c r="AD29" s="5254"/>
      <c r="AE29" s="5254"/>
      <c r="AF29" s="1385"/>
      <c r="AG29" s="1385"/>
      <c r="AH29" s="1458"/>
      <c r="AI29" s="1177"/>
      <c r="AJ29" s="1443"/>
    </row>
    <row r="30" spans="4:64" ht="14.25" customHeight="1">
      <c r="D30" s="5315"/>
      <c r="E30" s="5311"/>
      <c r="F30" s="5311"/>
      <c r="G30" s="5297"/>
      <c r="H30" s="1469"/>
      <c r="I30" s="5314"/>
      <c r="J30" s="5270"/>
      <c r="K30" s="1452"/>
      <c r="L30" s="5255"/>
      <c r="M30" s="5255"/>
      <c r="N30" s="1459"/>
      <c r="O30" s="5255"/>
      <c r="P30" s="5270"/>
      <c r="Q30" s="1460"/>
      <c r="R30" s="5255"/>
      <c r="S30" s="5255"/>
      <c r="T30" s="1461"/>
      <c r="U30" s="5255"/>
      <c r="V30" s="5270"/>
      <c r="W30" s="1462"/>
      <c r="X30" s="5255"/>
      <c r="Y30" s="5255"/>
      <c r="Z30" s="1459"/>
      <c r="AA30" s="5255"/>
      <c r="AB30" s="5270"/>
      <c r="AC30" s="1463"/>
      <c r="AD30" s="5255"/>
      <c r="AE30" s="5255"/>
      <c r="AF30" s="1464"/>
      <c r="AG30" s="1464"/>
      <c r="AH30" s="5309"/>
      <c r="AI30" s="5310"/>
      <c r="AJ30" s="1443"/>
    </row>
    <row r="31" spans="4:64" ht="14.25" customHeight="1">
      <c r="D31" s="5315"/>
      <c r="E31" s="5311"/>
      <c r="F31" s="5311"/>
      <c r="G31" s="5297"/>
      <c r="H31" s="1469"/>
      <c r="I31" s="5314"/>
      <c r="J31" s="5270"/>
      <c r="K31" s="1452"/>
      <c r="L31" s="5255"/>
      <c r="M31" s="5255"/>
      <c r="N31" s="1459"/>
      <c r="O31" s="5255"/>
      <c r="P31" s="5270"/>
      <c r="Q31" s="1460"/>
      <c r="R31" s="5255"/>
      <c r="S31" s="5255"/>
      <c r="T31" s="1461"/>
      <c r="U31" s="5255"/>
      <c r="V31" s="5270"/>
      <c r="W31" s="1462"/>
      <c r="X31" s="5255"/>
      <c r="Y31" s="5255"/>
      <c r="Z31" s="1384"/>
      <c r="AA31" s="1464"/>
      <c r="AB31" s="5309"/>
      <c r="AC31" s="5309"/>
      <c r="AD31" s="5309"/>
      <c r="AE31" s="5309"/>
      <c r="AF31" s="5309"/>
      <c r="AG31" s="5309"/>
      <c r="AH31" s="5309"/>
      <c r="AI31" s="5310"/>
      <c r="AJ31" s="1443"/>
    </row>
    <row r="32" spans="4:64" ht="14.25" customHeight="1">
      <c r="D32" s="5315"/>
      <c r="E32" s="5311"/>
      <c r="F32" s="5311"/>
      <c r="G32" s="5297"/>
      <c r="H32" s="1469"/>
      <c r="I32" s="5314"/>
      <c r="J32" s="5270"/>
      <c r="K32" s="1452"/>
      <c r="L32" s="5255"/>
      <c r="M32" s="5255"/>
      <c r="N32" s="1459"/>
      <c r="O32" s="5255"/>
      <c r="P32" s="5270"/>
      <c r="Q32" s="1460"/>
      <c r="R32" s="5255"/>
      <c r="S32" s="5255"/>
      <c r="T32" s="1465"/>
      <c r="U32" s="1466"/>
      <c r="V32" s="5309"/>
      <c r="W32" s="5309"/>
      <c r="X32" s="5309"/>
      <c r="Y32" s="5309"/>
      <c r="Z32" s="5309"/>
      <c r="AA32" s="5309"/>
      <c r="AB32" s="5309"/>
      <c r="AC32" s="5309"/>
      <c r="AD32" s="5309"/>
      <c r="AE32" s="5309"/>
      <c r="AF32" s="5309"/>
      <c r="AG32" s="5309"/>
      <c r="AH32" s="5309"/>
      <c r="AI32" s="5310"/>
      <c r="AJ32" s="1443"/>
    </row>
    <row r="33" spans="4:64" ht="11.25" customHeight="1">
      <c r="D33" s="5315"/>
      <c r="E33" s="5311"/>
      <c r="F33" s="5311"/>
      <c r="G33" s="5297"/>
      <c r="H33" s="1470"/>
      <c r="I33" s="5314"/>
      <c r="J33" s="5270"/>
      <c r="K33" s="1452"/>
      <c r="L33" s="5255"/>
      <c r="M33" s="5255"/>
      <c r="N33" s="1464"/>
      <c r="O33" s="1464"/>
      <c r="P33" s="5309"/>
      <c r="Q33" s="5309"/>
      <c r="R33" s="5309"/>
      <c r="S33" s="5309"/>
      <c r="T33" s="5309"/>
      <c r="U33" s="5309"/>
      <c r="V33" s="5309"/>
      <c r="W33" s="5309"/>
      <c r="X33" s="5309"/>
      <c r="Y33" s="5309"/>
      <c r="Z33" s="5309"/>
      <c r="AA33" s="5309"/>
      <c r="AB33" s="5309"/>
      <c r="AC33" s="5309"/>
      <c r="AD33" s="5309"/>
      <c r="AE33" s="5309"/>
      <c r="AF33" s="5309"/>
      <c r="AG33" s="5309"/>
      <c r="AH33" s="5309"/>
      <c r="AI33" s="5310"/>
      <c r="AJ33" s="1443"/>
    </row>
    <row r="34" spans="4:64" s="4828" customFormat="1" ht="11.25" customHeight="1">
      <c r="D34" s="5319"/>
      <c r="E34" s="5320"/>
      <c r="F34" s="5312"/>
      <c r="G34" s="5230"/>
      <c r="H34" s="1467"/>
      <c r="I34" s="1471"/>
      <c r="J34" s="5317"/>
      <c r="K34" s="5317"/>
      <c r="L34" s="5317"/>
      <c r="M34" s="5317"/>
      <c r="N34" s="5317"/>
      <c r="O34" s="5317"/>
      <c r="P34" s="5317"/>
      <c r="Q34" s="5317"/>
      <c r="R34" s="5317"/>
      <c r="S34" s="5317"/>
      <c r="T34" s="5317"/>
      <c r="U34" s="5317"/>
      <c r="V34" s="5317"/>
      <c r="W34" s="5317"/>
      <c r="X34" s="5317"/>
      <c r="Y34" s="5317"/>
      <c r="Z34" s="5317"/>
      <c r="AA34" s="5317"/>
      <c r="AB34" s="5317"/>
      <c r="AC34" s="5317"/>
      <c r="AD34" s="5317"/>
      <c r="AE34" s="5317"/>
      <c r="AF34" s="5317"/>
      <c r="AG34" s="5317"/>
      <c r="AH34" s="5317"/>
      <c r="AI34" s="5318"/>
      <c r="AJ34" s="1443"/>
      <c r="AK34" s="224"/>
      <c r="AL34" s="1443"/>
      <c r="AM34" s="1443"/>
      <c r="AN34" s="1443"/>
      <c r="AO34" s="1443"/>
      <c r="AP34" s="1443"/>
      <c r="AQ34" s="1443"/>
      <c r="AR34" s="1443"/>
      <c r="AS34" s="1443"/>
      <c r="AT34" s="1443"/>
      <c r="AU34" s="1443"/>
      <c r="AV34" s="1443"/>
      <c r="AW34" s="1443"/>
      <c r="AX34" s="1443"/>
      <c r="AY34" s="1443"/>
      <c r="AZ34" s="1443"/>
      <c r="BA34" s="1443"/>
      <c r="BB34" s="1443"/>
      <c r="BC34" s="1443"/>
      <c r="BD34" s="1443"/>
      <c r="BE34" s="1443"/>
      <c r="BF34" s="1443"/>
      <c r="BG34" s="1443"/>
      <c r="BH34" s="1443"/>
      <c r="BI34" s="1443"/>
      <c r="BJ34" s="1443"/>
      <c r="BK34" s="1443"/>
      <c r="BL34" s="1443"/>
    </row>
    <row r="35" spans="4:64" ht="14.25" customHeight="1">
      <c r="D35" s="5315" t="s">
        <v>114</v>
      </c>
      <c r="E35" s="5311" t="s">
        <v>371</v>
      </c>
      <c r="F35" s="5311" t="s">
        <v>376</v>
      </c>
      <c r="G35" s="5296" t="s">
        <v>54</v>
      </c>
      <c r="H35" s="1468"/>
      <c r="I35" s="5313"/>
      <c r="J35" s="5269"/>
      <c r="K35" s="1386"/>
      <c r="L35" s="5254"/>
      <c r="M35" s="5254"/>
      <c r="N35" s="1453"/>
      <c r="O35" s="5254"/>
      <c r="P35" s="5269"/>
      <c r="Q35" s="1454"/>
      <c r="R35" s="5254"/>
      <c r="S35" s="5254"/>
      <c r="T35" s="1455"/>
      <c r="U35" s="5254"/>
      <c r="V35" s="5269"/>
      <c r="W35" s="1456"/>
      <c r="X35" s="5254"/>
      <c r="Y35" s="5254"/>
      <c r="Z35" s="1453"/>
      <c r="AA35" s="5254"/>
      <c r="AB35" s="5269"/>
      <c r="AC35" s="1457"/>
      <c r="AD35" s="5254"/>
      <c r="AE35" s="5254"/>
      <c r="AF35" s="1385"/>
      <c r="AG35" s="1385"/>
      <c r="AH35" s="1458"/>
      <c r="AI35" s="1177"/>
      <c r="AJ35" s="1443"/>
    </row>
    <row r="36" spans="4:64" ht="14.25" customHeight="1">
      <c r="D36" s="5315"/>
      <c r="E36" s="5311"/>
      <c r="F36" s="5311"/>
      <c r="G36" s="5297"/>
      <c r="H36" s="1469"/>
      <c r="I36" s="5314"/>
      <c r="J36" s="5270"/>
      <c r="K36" s="1452"/>
      <c r="L36" s="5255"/>
      <c r="M36" s="5255"/>
      <c r="N36" s="1459"/>
      <c r="O36" s="5255"/>
      <c r="P36" s="5270"/>
      <c r="Q36" s="1460"/>
      <c r="R36" s="5255"/>
      <c r="S36" s="5255"/>
      <c r="T36" s="1461"/>
      <c r="U36" s="5255"/>
      <c r="V36" s="5270"/>
      <c r="W36" s="1462"/>
      <c r="X36" s="5255"/>
      <c r="Y36" s="5255"/>
      <c r="Z36" s="1459"/>
      <c r="AA36" s="5255"/>
      <c r="AB36" s="5270"/>
      <c r="AC36" s="1463"/>
      <c r="AD36" s="5255"/>
      <c r="AE36" s="5255"/>
      <c r="AF36" s="1464"/>
      <c r="AG36" s="1464"/>
      <c r="AH36" s="5309"/>
      <c r="AI36" s="5310"/>
      <c r="AJ36" s="1443"/>
    </row>
    <row r="37" spans="4:64" ht="14.25" customHeight="1">
      <c r="D37" s="5315"/>
      <c r="E37" s="5311"/>
      <c r="F37" s="5311"/>
      <c r="G37" s="5297"/>
      <c r="H37" s="1469"/>
      <c r="I37" s="5314"/>
      <c r="J37" s="5270"/>
      <c r="K37" s="1452"/>
      <c r="L37" s="5255"/>
      <c r="M37" s="5255"/>
      <c r="N37" s="1459"/>
      <c r="O37" s="5255"/>
      <c r="P37" s="5270"/>
      <c r="Q37" s="1460"/>
      <c r="R37" s="5255"/>
      <c r="S37" s="5255"/>
      <c r="T37" s="1461"/>
      <c r="U37" s="5255"/>
      <c r="V37" s="5270"/>
      <c r="W37" s="1462"/>
      <c r="X37" s="5255"/>
      <c r="Y37" s="5255"/>
      <c r="Z37" s="1384"/>
      <c r="AA37" s="1464"/>
      <c r="AB37" s="5309"/>
      <c r="AC37" s="5309"/>
      <c r="AD37" s="5309"/>
      <c r="AE37" s="5309"/>
      <c r="AF37" s="5309"/>
      <c r="AG37" s="5309"/>
      <c r="AH37" s="5309"/>
      <c r="AI37" s="5310"/>
      <c r="AJ37" s="1443"/>
    </row>
    <row r="38" spans="4:64" ht="14.25" customHeight="1">
      <c r="D38" s="5315"/>
      <c r="E38" s="5311"/>
      <c r="F38" s="5311"/>
      <c r="G38" s="5297"/>
      <c r="H38" s="1469"/>
      <c r="I38" s="5314"/>
      <c r="J38" s="5270"/>
      <c r="K38" s="1452"/>
      <c r="L38" s="5255"/>
      <c r="M38" s="5255"/>
      <c r="N38" s="1459"/>
      <c r="O38" s="5255"/>
      <c r="P38" s="5270"/>
      <c r="Q38" s="1460"/>
      <c r="R38" s="5255"/>
      <c r="S38" s="5255"/>
      <c r="T38" s="1465"/>
      <c r="U38" s="1466"/>
      <c r="V38" s="5309"/>
      <c r="W38" s="5309"/>
      <c r="X38" s="5309"/>
      <c r="Y38" s="5309"/>
      <c r="Z38" s="5309"/>
      <c r="AA38" s="5309"/>
      <c r="AB38" s="5309"/>
      <c r="AC38" s="5309"/>
      <c r="AD38" s="5309"/>
      <c r="AE38" s="5309"/>
      <c r="AF38" s="5309"/>
      <c r="AG38" s="5309"/>
      <c r="AH38" s="5309"/>
      <c r="AI38" s="5310"/>
      <c r="AJ38" s="1443"/>
    </row>
    <row r="39" spans="4:64" ht="11.25" customHeight="1">
      <c r="D39" s="5315"/>
      <c r="E39" s="5311"/>
      <c r="F39" s="5311"/>
      <c r="G39" s="5297"/>
      <c r="H39" s="1470"/>
      <c r="I39" s="5314"/>
      <c r="J39" s="5270"/>
      <c r="K39" s="1452"/>
      <c r="L39" s="5255"/>
      <c r="M39" s="5255"/>
      <c r="N39" s="1464"/>
      <c r="O39" s="1464"/>
      <c r="P39" s="5309"/>
      <c r="Q39" s="5309"/>
      <c r="R39" s="5309"/>
      <c r="S39" s="5309"/>
      <c r="T39" s="5309"/>
      <c r="U39" s="5309"/>
      <c r="V39" s="5309"/>
      <c r="W39" s="5309"/>
      <c r="X39" s="5309"/>
      <c r="Y39" s="5309"/>
      <c r="Z39" s="5309"/>
      <c r="AA39" s="5309"/>
      <c r="AB39" s="5309"/>
      <c r="AC39" s="5309"/>
      <c r="AD39" s="5309"/>
      <c r="AE39" s="5309"/>
      <c r="AF39" s="5309"/>
      <c r="AG39" s="5309"/>
      <c r="AH39" s="5309"/>
      <c r="AI39" s="5310"/>
      <c r="AJ39" s="1443"/>
    </row>
    <row r="40" spans="4:64" s="4828" customFormat="1" ht="11.25" customHeight="1">
      <c r="D40" s="5315"/>
      <c r="E40" s="5311"/>
      <c r="F40" s="5316"/>
      <c r="G40" s="5230"/>
      <c r="H40" s="1467"/>
      <c r="I40" s="1471"/>
      <c r="J40" s="5317"/>
      <c r="K40" s="5317"/>
      <c r="L40" s="5317"/>
      <c r="M40" s="5317"/>
      <c r="N40" s="5317"/>
      <c r="O40" s="5317"/>
      <c r="P40" s="5317"/>
      <c r="Q40" s="5317"/>
      <c r="R40" s="5317"/>
      <c r="S40" s="5317"/>
      <c r="T40" s="5317"/>
      <c r="U40" s="5317"/>
      <c r="V40" s="5317"/>
      <c r="W40" s="5317"/>
      <c r="X40" s="5317"/>
      <c r="Y40" s="5317"/>
      <c r="Z40" s="5317"/>
      <c r="AA40" s="5317"/>
      <c r="AB40" s="5317"/>
      <c r="AC40" s="5317"/>
      <c r="AD40" s="5317"/>
      <c r="AE40" s="5317"/>
      <c r="AF40" s="5317"/>
      <c r="AG40" s="5317"/>
      <c r="AH40" s="5317"/>
      <c r="AI40" s="5318"/>
      <c r="AJ40" s="1443"/>
      <c r="AK40" s="224"/>
      <c r="AL40" s="1443"/>
      <c r="AM40" s="1443"/>
      <c r="AN40" s="1443"/>
      <c r="AO40" s="1443"/>
      <c r="AP40" s="1443"/>
      <c r="AQ40" s="1443"/>
      <c r="AR40" s="1443"/>
      <c r="AS40" s="1443"/>
      <c r="AT40" s="1443"/>
      <c r="AU40" s="1443"/>
      <c r="AV40" s="1443"/>
      <c r="AW40" s="1443"/>
      <c r="AX40" s="1443"/>
      <c r="AY40" s="1443"/>
      <c r="AZ40" s="1443"/>
      <c r="BA40" s="1443"/>
      <c r="BB40" s="1443"/>
      <c r="BC40" s="1443"/>
      <c r="BD40" s="1443"/>
      <c r="BE40" s="1443"/>
      <c r="BF40" s="1443"/>
      <c r="BG40" s="1443"/>
      <c r="BH40" s="1443"/>
      <c r="BI40" s="1443"/>
      <c r="BJ40" s="1443"/>
      <c r="BK40" s="1443"/>
      <c r="BL40" s="1443"/>
    </row>
    <row r="41" spans="4:64" ht="11.25" customHeight="1">
      <c r="AK41" s="338"/>
    </row>
    <row r="42" spans="4:64" ht="11.25" customHeight="1">
      <c r="AK42" s="338"/>
    </row>
    <row r="43" spans="4:64" ht="11.25" customHeight="1">
      <c r="AK43" s="338"/>
    </row>
    <row r="44" spans="4:64" ht="11.25" customHeight="1">
      <c r="AK44" s="338"/>
    </row>
    <row r="45" spans="4:64" ht="11.25" customHeight="1">
      <c r="AK45" s="338"/>
    </row>
    <row r="46" spans="4:64" ht="11.25" customHeight="1">
      <c r="AK46" s="338"/>
    </row>
    <row r="47" spans="4:64" ht="11.25" customHeight="1">
      <c r="AK47" s="338"/>
    </row>
    <row r="48" spans="4:64" ht="11.25" customHeight="1">
      <c r="AK48" s="338"/>
    </row>
    <row r="49" spans="37:37" ht="11.25" customHeight="1">
      <c r="AK49" s="338"/>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5180"/>
    <col min="2" max="2" width="43.140625" style="5180" hidden="1"/>
    <col min="3" max="3" width="43.140625" style="5180"/>
    <col min="4" max="5" width="36.42578125" style="5180" customWidth="1"/>
    <col min="6" max="8" width="36.42578125" style="5181" customWidth="1"/>
  </cols>
  <sheetData>
    <row r="1" spans="1:8" ht="9" customHeight="1">
      <c r="A1" s="742" t="s">
        <v>1946</v>
      </c>
      <c r="B1" s="742"/>
      <c r="C1" s="872" t="s">
        <v>1947</v>
      </c>
      <c r="D1" s="871" t="s">
        <v>811</v>
      </c>
      <c r="E1" s="871" t="s">
        <v>857</v>
      </c>
      <c r="F1" s="871" t="s">
        <v>912</v>
      </c>
      <c r="G1" s="871" t="s">
        <v>898</v>
      </c>
      <c r="H1" s="871" t="s">
        <v>1621</v>
      </c>
    </row>
    <row r="2" spans="1:8" ht="9" customHeight="1">
      <c r="A2" s="873" t="s">
        <v>1948</v>
      </c>
      <c r="B2" s="873"/>
      <c r="C2" s="874" t="str">
        <f>INDEX(TEMPLATE_NUMBER_FORM_LIST,MATCH(TEMPLATE_SPHERE,TEMPLATE_SPHERE_LIST,0))</f>
        <v>10</v>
      </c>
      <c r="D2" s="873" t="s">
        <v>1473</v>
      </c>
      <c r="E2" s="873" t="s">
        <v>167</v>
      </c>
      <c r="F2" s="875" t="s">
        <v>167</v>
      </c>
      <c r="G2" s="873" t="s">
        <v>167</v>
      </c>
      <c r="H2" s="876"/>
    </row>
    <row r="3" spans="1:8" ht="63" customHeight="1">
      <c r="A3" s="742"/>
      <c r="B3" s="742" t="s">
        <v>129</v>
      </c>
      <c r="C3" s="87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874" t="s">
        <v>1949</v>
      </c>
      <c r="E3" s="87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875"/>
      <c r="G3" s="876"/>
      <c r="H3" s="742"/>
    </row>
    <row r="4" spans="1:8" ht="243" customHeight="1">
      <c r="A4" s="742" t="s">
        <v>1950</v>
      </c>
      <c r="B4" s="742" t="s">
        <v>100</v>
      </c>
      <c r="C4" s="874" t="str">
        <f>IF(TEMPLATE_SPHERE="HEAT",D4,IF(TEMPLATE_SPHERE="TKO",H4,E4))</f>
        <v>Форма 1. Информация об организации, осуществляющей горячее водоснабжение (общая информация)</v>
      </c>
      <c r="D4" s="873" t="s">
        <v>1951</v>
      </c>
      <c r="E4" s="87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873"/>
      <c r="G4" s="873"/>
      <c r="H4" s="742" t="s">
        <v>1952</v>
      </c>
    </row>
    <row r="5" spans="1:8" ht="117" customHeight="1">
      <c r="A5" s="742" t="s">
        <v>1953</v>
      </c>
      <c r="B5" s="742" t="s">
        <v>87</v>
      </c>
      <c r="C5" s="87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42" t="s">
        <v>1954</v>
      </c>
      <c r="E5" s="74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876"/>
      <c r="G5" s="876"/>
      <c r="H5" s="742" t="s">
        <v>1955</v>
      </c>
    </row>
    <row r="6" spans="1:8" ht="45" customHeight="1">
      <c r="A6" s="742" t="s">
        <v>1956</v>
      </c>
      <c r="B6" s="742" t="s">
        <v>88</v>
      </c>
      <c r="C6" s="87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42" t="s">
        <v>1957</v>
      </c>
      <c r="E6" s="74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42"/>
      <c r="G6" s="742"/>
      <c r="H6" s="876"/>
    </row>
    <row r="7" spans="1:8" ht="45" customHeight="1">
      <c r="A7" s="742" t="s">
        <v>1958</v>
      </c>
      <c r="B7" s="742" t="s">
        <v>114</v>
      </c>
      <c r="C7" s="87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42" t="s">
        <v>1959</v>
      </c>
      <c r="E7" s="742" t="s">
        <v>1960</v>
      </c>
      <c r="F7" s="876"/>
      <c r="G7" s="876"/>
      <c r="H7" s="876"/>
    </row>
    <row r="8" spans="1:8" ht="108" customHeight="1">
      <c r="A8" s="742" t="s">
        <v>1961</v>
      </c>
      <c r="B8" s="742" t="s">
        <v>89</v>
      </c>
      <c r="C8" s="87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42" t="s">
        <v>1161</v>
      </c>
      <c r="E8" s="742" t="s">
        <v>1962</v>
      </c>
      <c r="F8" s="876"/>
      <c r="G8" s="876"/>
      <c r="H8" s="876"/>
    </row>
    <row r="9" spans="1:8" ht="99" customHeight="1">
      <c r="A9" s="742" t="s">
        <v>1963</v>
      </c>
      <c r="B9" s="742"/>
      <c r="C9" s="742" t="s">
        <v>1964</v>
      </c>
      <c r="D9" s="742"/>
      <c r="E9" s="742"/>
      <c r="F9" s="876"/>
      <c r="G9" s="876"/>
      <c r="H9" s="876"/>
    </row>
    <row r="10" spans="1:8" ht="126" customHeight="1">
      <c r="A10" s="742" t="s">
        <v>1965</v>
      </c>
      <c r="B10" s="742"/>
      <c r="C10" s="742" t="s">
        <v>1966</v>
      </c>
      <c r="D10" s="742"/>
      <c r="E10" s="742"/>
      <c r="F10" s="876"/>
      <c r="G10" s="876"/>
      <c r="H10" s="876"/>
    </row>
    <row r="11" spans="1:8" ht="108" customHeight="1">
      <c r="A11" s="742" t="s">
        <v>1967</v>
      </c>
      <c r="B11" s="742"/>
      <c r="C11" s="742" t="s">
        <v>1968</v>
      </c>
      <c r="D11" s="742"/>
      <c r="E11" s="742"/>
      <c r="F11" s="876"/>
      <c r="G11" s="876"/>
      <c r="H11" s="876"/>
    </row>
    <row r="12" spans="1:8" ht="54" customHeight="1">
      <c r="A12" s="742" t="s">
        <v>1969</v>
      </c>
      <c r="B12" s="742"/>
      <c r="C12" s="742" t="s">
        <v>1970</v>
      </c>
      <c r="D12" s="742"/>
      <c r="E12" s="742"/>
      <c r="F12" s="876"/>
      <c r="G12" s="876"/>
      <c r="H12" s="876"/>
    </row>
    <row r="13" spans="1:8" ht="45" customHeight="1">
      <c r="A13" s="742" t="s">
        <v>1971</v>
      </c>
      <c r="B13" s="742"/>
      <c r="C13" s="742" t="s">
        <v>1972</v>
      </c>
      <c r="D13" s="742"/>
      <c r="E13" s="742"/>
      <c r="F13" s="876"/>
      <c r="G13" s="876"/>
      <c r="H13" s="876"/>
    </row>
    <row r="14" spans="1:8" ht="117" customHeight="1">
      <c r="A14" s="742" t="s">
        <v>1973</v>
      </c>
      <c r="B14" s="742"/>
      <c r="C14" s="742" t="s">
        <v>1974</v>
      </c>
      <c r="D14" s="742"/>
      <c r="E14" s="742"/>
      <c r="F14" s="876"/>
      <c r="G14" s="876"/>
      <c r="H14" s="876"/>
    </row>
    <row r="15" spans="1:8" ht="117" customHeight="1">
      <c r="A15" s="742" t="s">
        <v>1975</v>
      </c>
      <c r="B15" s="742"/>
      <c r="C15" s="742" t="s">
        <v>1976</v>
      </c>
      <c r="D15" s="742"/>
      <c r="E15" s="742"/>
      <c r="F15" s="876"/>
      <c r="G15" s="876"/>
      <c r="H15" s="876"/>
    </row>
    <row r="16" spans="1:8" ht="63" customHeight="1">
      <c r="A16" s="742" t="s">
        <v>1977</v>
      </c>
      <c r="B16" s="742"/>
      <c r="C16" s="742" t="s">
        <v>1978</v>
      </c>
      <c r="D16" s="742"/>
      <c r="E16" s="742"/>
      <c r="F16" s="876"/>
      <c r="G16" s="876"/>
      <c r="H16" s="876"/>
    </row>
    <row r="17" spans="1:8" ht="54" customHeight="1">
      <c r="A17" s="742" t="s">
        <v>1979</v>
      </c>
      <c r="B17" s="742"/>
      <c r="C17" s="874" t="s">
        <v>1980</v>
      </c>
      <c r="D17" s="742"/>
      <c r="E17" s="742"/>
      <c r="F17" s="876"/>
      <c r="G17" s="876"/>
      <c r="H17" s="876"/>
    </row>
    <row r="18" spans="1:8" ht="27" customHeight="1">
      <c r="A18" s="742" t="s">
        <v>1981</v>
      </c>
      <c r="B18" s="742"/>
      <c r="C18" s="874" t="s">
        <v>1982</v>
      </c>
      <c r="D18" s="742"/>
      <c r="E18" s="742"/>
      <c r="F18" s="876"/>
      <c r="G18" s="876"/>
      <c r="H18" s="876"/>
    </row>
    <row r="19" spans="1:8" ht="54" customHeight="1">
      <c r="A19" s="742" t="s">
        <v>1983</v>
      </c>
      <c r="B19" s="742"/>
      <c r="C19" s="874" t="s">
        <v>1984</v>
      </c>
      <c r="D19" s="742"/>
      <c r="E19" s="742"/>
      <c r="F19" s="876"/>
      <c r="G19" s="876"/>
      <c r="H19" s="876"/>
    </row>
    <row r="20" spans="1:8" ht="36" customHeight="1">
      <c r="A20" s="742" t="s">
        <v>1985</v>
      </c>
      <c r="B20" s="742"/>
      <c r="C20" s="874" t="s">
        <v>1986</v>
      </c>
      <c r="D20" s="742"/>
      <c r="E20" s="742"/>
      <c r="F20" s="876"/>
      <c r="G20" s="876"/>
      <c r="H20" s="876"/>
    </row>
    <row r="21" spans="1:8" ht="36" customHeight="1">
      <c r="A21" s="742" t="s">
        <v>1987</v>
      </c>
      <c r="B21" s="742"/>
      <c r="C21" s="874" t="s">
        <v>1988</v>
      </c>
      <c r="D21" s="742"/>
      <c r="E21" s="742"/>
      <c r="F21" s="876"/>
      <c r="G21" s="876"/>
      <c r="H21" s="876"/>
    </row>
    <row r="22" spans="1:8" ht="27" customHeight="1">
      <c r="A22" s="742" t="s">
        <v>1989</v>
      </c>
      <c r="B22" s="742"/>
      <c r="C22" s="874" t="s">
        <v>1990</v>
      </c>
      <c r="D22" s="742"/>
      <c r="E22" s="742"/>
      <c r="F22" s="876"/>
      <c r="G22" s="876"/>
      <c r="H22" s="876"/>
    </row>
    <row r="23" spans="1:8" ht="36" customHeight="1">
      <c r="A23" s="742" t="s">
        <v>1991</v>
      </c>
      <c r="B23" s="742"/>
      <c r="C23" s="874" t="s">
        <v>1992</v>
      </c>
      <c r="D23" s="742"/>
      <c r="E23" s="742"/>
      <c r="F23" s="876"/>
      <c r="G23" s="876"/>
      <c r="H23" s="876"/>
    </row>
    <row r="24" spans="1:8" ht="28.5" customHeight="1">
      <c r="A24" s="742" t="s">
        <v>1993</v>
      </c>
      <c r="B24" s="742"/>
      <c r="C24" s="874" t="s">
        <v>1994</v>
      </c>
      <c r="D24" s="742"/>
      <c r="E24" s="742"/>
      <c r="F24" s="876"/>
      <c r="G24" s="876"/>
      <c r="H24" s="876"/>
    </row>
    <row r="25" spans="1:8" ht="36" customHeight="1">
      <c r="A25" s="742" t="s">
        <v>1995</v>
      </c>
      <c r="B25" s="742"/>
      <c r="C25" s="874" t="s">
        <v>1996</v>
      </c>
      <c r="D25" s="742"/>
      <c r="E25" s="742"/>
      <c r="F25" s="876"/>
      <c r="G25" s="876"/>
      <c r="H25" s="876"/>
    </row>
    <row r="26" spans="1:8" ht="27" customHeight="1">
      <c r="A26" s="742" t="s">
        <v>1997</v>
      </c>
      <c r="B26" s="742"/>
      <c r="C26" s="874" t="s">
        <v>1998</v>
      </c>
      <c r="D26" s="742"/>
      <c r="E26" s="742"/>
      <c r="F26" s="876"/>
      <c r="G26" s="876"/>
      <c r="H26" s="876"/>
    </row>
    <row r="27" spans="1:8" ht="36" customHeight="1">
      <c r="A27" s="742" t="s">
        <v>1999</v>
      </c>
      <c r="B27" s="742"/>
      <c r="C27" s="874" t="s">
        <v>2000</v>
      </c>
      <c r="D27" s="742"/>
      <c r="E27" s="742"/>
      <c r="F27" s="876"/>
      <c r="G27" s="876"/>
      <c r="H27" s="876"/>
    </row>
    <row r="28" spans="1:8" ht="28.5" customHeight="1">
      <c r="A28" s="742" t="s">
        <v>2001</v>
      </c>
      <c r="B28" s="742"/>
      <c r="C28" s="874" t="s">
        <v>2002</v>
      </c>
      <c r="D28" s="742"/>
      <c r="E28" s="742"/>
      <c r="F28" s="876"/>
      <c r="G28" s="876"/>
      <c r="H28" s="876"/>
    </row>
    <row r="29" spans="1:8" ht="126" customHeight="1">
      <c r="A29" s="742" t="s">
        <v>2003</v>
      </c>
      <c r="B29" s="742" t="s">
        <v>1574</v>
      </c>
      <c r="C29" s="87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42" t="s">
        <v>2004</v>
      </c>
      <c r="E29" s="74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876"/>
      <c r="G29" s="876"/>
      <c r="H29" s="742" t="s">
        <v>2005</v>
      </c>
    </row>
    <row r="30" spans="1:8" ht="36" customHeight="1">
      <c r="A30" s="742" t="s">
        <v>2006</v>
      </c>
      <c r="B30" s="742"/>
      <c r="C30" s="87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42" t="s">
        <v>2007</v>
      </c>
      <c r="E30" s="74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876"/>
      <c r="G30" s="876"/>
      <c r="H30" s="876"/>
    </row>
    <row r="31" spans="1:8" ht="54" customHeight="1">
      <c r="A31" s="742" t="s">
        <v>2008</v>
      </c>
      <c r="B31" s="742"/>
      <c r="C31" s="874" t="str">
        <f>IF(TEMPLATE_SPHERE="HEAT",D31,IF(TEMPLATE_SPHERE="TKO",H31,E31))</f>
        <v>Форма 1. Информация об организации, осуществляющей горячее водоснабжение (общая информация)</v>
      </c>
      <c r="D31" s="742" t="s">
        <v>2009</v>
      </c>
      <c r="E31" s="74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876"/>
      <c r="G31" s="876"/>
      <c r="H31" s="876"/>
    </row>
    <row r="32" spans="1:8" ht="198" customHeight="1">
      <c r="A32" s="742" t="s">
        <v>2010</v>
      </c>
      <c r="B32" s="742"/>
      <c r="C32" s="874" t="str">
        <f>IF(TEMPLATE_SPHERE="HEAT",D32,IF(TEMPLATE_SPHERE="TKO",H32,E32))</f>
        <v>Форма 7. Информация об инвестиционных программах организации горячего водоснабжения и отчетах об их исполнении</v>
      </c>
      <c r="D32" s="742" t="s">
        <v>2011</v>
      </c>
      <c r="E32" s="74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876"/>
      <c r="G32" s="876"/>
      <c r="H32" s="742" t="s">
        <v>2012</v>
      </c>
    </row>
    <row r="33" spans="1:8" ht="9" customHeight="1">
      <c r="A33" s="742"/>
      <c r="B33" s="742"/>
      <c r="C33" s="874"/>
      <c r="D33" s="742"/>
      <c r="E33" s="742"/>
      <c r="F33" s="876"/>
      <c r="G33" s="876"/>
      <c r="H33" s="876"/>
    </row>
    <row r="34" spans="1:8" ht="9" customHeight="1">
      <c r="A34" s="742"/>
      <c r="B34" s="742" t="s">
        <v>1510</v>
      </c>
      <c r="C34" s="874">
        <f>INDEX(TEMPLATE_NAME_FORM_LIST,B34,MATCH(TEMPLATE_SPHERE,TEMPLATE_SPHERE_LIST,0))</f>
        <v>0</v>
      </c>
      <c r="D34" s="742"/>
      <c r="E34" s="742"/>
      <c r="F34" s="876"/>
      <c r="G34" s="876"/>
      <c r="H34" s="87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5180"/>
    <col min="3" max="7" width="8" style="5183" customWidth="1"/>
    <col min="8" max="12" width="8.5703125" style="5183" customWidth="1"/>
    <col min="13" max="14" width="27.7109375" style="5183" customWidth="1"/>
    <col min="15" max="19" width="5.140625" style="5183" customWidth="1"/>
    <col min="20" max="24" width="27.7109375" style="5183" customWidth="1"/>
    <col min="25" max="25" width="1.85546875" style="5184" customWidth="1"/>
    <col min="26" max="26" width="27.7109375" style="5180" customWidth="1"/>
    <col min="27" max="27" width="27.7109375" style="5185" customWidth="1"/>
    <col min="28" max="29" width="27.7109375" style="5180" customWidth="1"/>
    <col min="30" max="30" width="3.85546875" style="5180" customWidth="1"/>
    <col min="31" max="34" width="9.140625" style="5180"/>
  </cols>
  <sheetData>
    <row r="1" spans="1:34" s="5182" customFormat="1" ht="18" customHeight="1">
      <c r="A1" s="793"/>
      <c r="B1" s="793"/>
      <c r="C1" s="793" t="s">
        <v>2013</v>
      </c>
      <c r="D1" s="793"/>
      <c r="E1" s="793"/>
      <c r="F1" s="793"/>
      <c r="G1" s="793"/>
      <c r="H1" s="793" t="s">
        <v>2014</v>
      </c>
      <c r="I1" s="793"/>
      <c r="J1" s="793"/>
      <c r="K1" s="793"/>
      <c r="L1" s="793"/>
      <c r="M1" s="793" t="s">
        <v>2015</v>
      </c>
      <c r="N1" s="793" t="s">
        <v>2016</v>
      </c>
      <c r="O1" s="5620" t="s">
        <v>2017</v>
      </c>
      <c r="P1" s="5620"/>
      <c r="Q1" s="5620"/>
      <c r="R1" s="5620"/>
      <c r="S1" s="5620"/>
      <c r="T1" s="5620" t="s">
        <v>2015</v>
      </c>
      <c r="U1" s="5620"/>
      <c r="V1" s="5620"/>
      <c r="W1" s="5620"/>
      <c r="X1" s="5620"/>
      <c r="Y1" s="889"/>
      <c r="Z1" s="5620" t="s">
        <v>2018</v>
      </c>
      <c r="AA1" s="5620"/>
      <c r="AB1" s="5620"/>
      <c r="AC1" s="5620"/>
      <c r="AD1" s="5620"/>
    </row>
    <row r="2" spans="1:34" ht="18" customHeight="1">
      <c r="A2" s="742"/>
      <c r="B2" s="742"/>
      <c r="C2" s="738" t="s">
        <v>811</v>
      </c>
      <c r="D2" s="738" t="s">
        <v>857</v>
      </c>
      <c r="E2" s="738" t="s">
        <v>912</v>
      </c>
      <c r="F2" s="738" t="s">
        <v>898</v>
      </c>
      <c r="G2" s="738" t="s">
        <v>1621</v>
      </c>
      <c r="H2" s="739"/>
      <c r="I2" s="739"/>
      <c r="J2" s="739"/>
      <c r="K2" s="739"/>
      <c r="L2" s="739"/>
      <c r="M2" s="739"/>
      <c r="N2" s="739"/>
      <c r="O2" s="738" t="s">
        <v>811</v>
      </c>
      <c r="P2" s="738" t="s">
        <v>857</v>
      </c>
      <c r="Q2" s="738" t="s">
        <v>898</v>
      </c>
      <c r="R2" s="738" t="s">
        <v>912</v>
      </c>
      <c r="S2" s="738" t="s">
        <v>1621</v>
      </c>
      <c r="T2" s="738" t="s">
        <v>811</v>
      </c>
      <c r="U2" s="738" t="s">
        <v>857</v>
      </c>
      <c r="V2" s="738" t="s">
        <v>898</v>
      </c>
      <c r="W2" s="738" t="s">
        <v>912</v>
      </c>
      <c r="X2" s="738" t="s">
        <v>1621</v>
      </c>
      <c r="Y2" s="738"/>
      <c r="Z2" s="738" t="s">
        <v>811</v>
      </c>
      <c r="AA2" s="746" t="s">
        <v>857</v>
      </c>
      <c r="AB2" s="738" t="s">
        <v>898</v>
      </c>
      <c r="AC2" s="738" t="s">
        <v>912</v>
      </c>
      <c r="AD2" s="738" t="s">
        <v>1621</v>
      </c>
    </row>
    <row r="3" spans="1:34" ht="162" customHeight="1">
      <c r="A3" s="741" t="s">
        <v>22</v>
      </c>
      <c r="B3" s="741"/>
      <c r="C3" s="5624" t="s">
        <v>2019</v>
      </c>
      <c r="D3" s="5625"/>
      <c r="E3" s="5625"/>
      <c r="F3" s="5626"/>
      <c r="G3" s="739"/>
      <c r="H3" s="739"/>
      <c r="I3" s="739"/>
      <c r="J3" s="739"/>
      <c r="K3" s="739"/>
      <c r="L3" s="739"/>
      <c r="M3" s="739"/>
      <c r="N3" s="740"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39"/>
      <c r="P3" s="739"/>
      <c r="Q3" s="739"/>
      <c r="R3" s="739"/>
      <c r="S3" s="739"/>
      <c r="T3" s="739"/>
      <c r="U3" s="739"/>
      <c r="V3" s="739"/>
      <c r="W3" s="739"/>
      <c r="X3" s="739"/>
      <c r="Y3" s="890"/>
      <c r="Z3" s="742" t="s">
        <v>2020</v>
      </c>
      <c r="AA3" s="739" t="s">
        <v>2021</v>
      </c>
      <c r="AB3" s="742" t="s">
        <v>2022</v>
      </c>
      <c r="AC3" s="742" t="s">
        <v>2023</v>
      </c>
      <c r="AD3" s="742"/>
      <c r="AG3" s="742"/>
      <c r="AH3" s="742"/>
    </row>
    <row r="4" spans="1:34" ht="9" customHeight="1">
      <c r="A4" s="741"/>
      <c r="B4" s="741"/>
      <c r="C4" s="739"/>
      <c r="D4" s="739"/>
      <c r="E4" s="739"/>
      <c r="F4" s="739"/>
      <c r="G4" s="739"/>
      <c r="H4" s="739"/>
      <c r="I4" s="739"/>
      <c r="J4" s="739"/>
      <c r="K4" s="739"/>
      <c r="L4" s="739"/>
      <c r="M4" s="739"/>
      <c r="N4" s="739"/>
      <c r="O4" s="739"/>
      <c r="P4" s="739"/>
      <c r="Q4" s="739"/>
      <c r="R4" s="739"/>
      <c r="S4" s="739"/>
      <c r="T4" s="739"/>
      <c r="U4" s="739"/>
      <c r="V4" s="739"/>
      <c r="W4" s="739"/>
      <c r="X4" s="739"/>
      <c r="Y4" s="890"/>
      <c r="Z4" s="742"/>
      <c r="AA4" s="745"/>
      <c r="AB4" s="742"/>
      <c r="AC4" s="742"/>
      <c r="AD4" s="742"/>
    </row>
    <row r="5" spans="1:34" ht="9" customHeight="1">
      <c r="A5" s="741"/>
      <c r="B5" s="741"/>
      <c r="C5" s="739"/>
      <c r="D5" s="739"/>
      <c r="E5" s="739"/>
      <c r="F5" s="739"/>
      <c r="G5" s="739"/>
      <c r="H5" s="739"/>
      <c r="I5" s="739"/>
      <c r="J5" s="739"/>
      <c r="K5" s="739"/>
      <c r="L5" s="739"/>
      <c r="M5" s="739"/>
      <c r="N5" s="739"/>
      <c r="O5" s="739"/>
      <c r="P5" s="739"/>
      <c r="Q5" s="739"/>
      <c r="R5" s="739"/>
      <c r="S5" s="739"/>
      <c r="T5" s="739"/>
      <c r="U5" s="739"/>
      <c r="V5" s="739"/>
      <c r="W5" s="739"/>
      <c r="X5" s="739"/>
      <c r="Y5" s="890"/>
      <c r="Z5" s="742"/>
      <c r="AA5" s="745"/>
      <c r="AB5" s="742"/>
      <c r="AC5" s="742"/>
      <c r="AD5" s="742"/>
    </row>
    <row r="6" spans="1:34" ht="9" customHeight="1">
      <c r="A6" s="741"/>
      <c r="B6" s="741"/>
      <c r="C6" s="739"/>
      <c r="D6" s="739"/>
      <c r="E6" s="739"/>
      <c r="F6" s="739"/>
      <c r="G6" s="739"/>
      <c r="H6" s="739"/>
      <c r="I6" s="739"/>
      <c r="J6" s="739"/>
      <c r="K6" s="739"/>
      <c r="L6" s="739"/>
      <c r="M6" s="739"/>
      <c r="N6" s="739"/>
      <c r="O6" s="739"/>
      <c r="P6" s="739"/>
      <c r="Q6" s="739"/>
      <c r="R6" s="739"/>
      <c r="S6" s="739"/>
      <c r="T6" s="739"/>
      <c r="U6" s="739"/>
      <c r="V6" s="739"/>
      <c r="W6" s="739"/>
      <c r="X6" s="739"/>
      <c r="Y6" s="890"/>
      <c r="Z6" s="742"/>
      <c r="AA6" s="745"/>
      <c r="AB6" s="742"/>
      <c r="AC6" s="742"/>
      <c r="AD6" s="742"/>
    </row>
    <row r="7" spans="1:34" ht="9" customHeight="1">
      <c r="A7" s="741"/>
      <c r="B7" s="741"/>
      <c r="C7" s="739"/>
      <c r="D7" s="739"/>
      <c r="E7" s="739"/>
      <c r="F7" s="739"/>
      <c r="G7" s="739"/>
      <c r="H7" s="739"/>
      <c r="I7" s="739"/>
      <c r="J7" s="739"/>
      <c r="K7" s="739"/>
      <c r="L7" s="739"/>
      <c r="M7" s="739"/>
      <c r="N7" s="739"/>
      <c r="O7" s="739"/>
      <c r="P7" s="739"/>
      <c r="Q7" s="739"/>
      <c r="R7" s="739"/>
      <c r="S7" s="739"/>
      <c r="T7" s="739"/>
      <c r="U7" s="739"/>
      <c r="V7" s="739"/>
      <c r="W7" s="739"/>
      <c r="X7" s="739"/>
      <c r="Y7" s="890"/>
      <c r="Z7" s="742"/>
      <c r="AA7" s="745"/>
      <c r="AB7" s="742"/>
      <c r="AC7" s="742"/>
      <c r="AD7" s="742"/>
    </row>
    <row r="8" spans="1:34" ht="9" customHeight="1">
      <c r="A8" s="741"/>
      <c r="B8" s="741"/>
      <c r="C8" s="739"/>
      <c r="D8" s="739"/>
      <c r="E8" s="739"/>
      <c r="F8" s="739"/>
      <c r="G8" s="739"/>
      <c r="H8" s="739"/>
      <c r="I8" s="739"/>
      <c r="J8" s="739"/>
      <c r="K8" s="739"/>
      <c r="L8" s="739"/>
      <c r="M8" s="739"/>
      <c r="N8" s="739"/>
      <c r="O8" s="739"/>
      <c r="P8" s="739"/>
      <c r="Q8" s="739"/>
      <c r="R8" s="739"/>
      <c r="S8" s="739"/>
      <c r="T8" s="739"/>
      <c r="U8" s="739"/>
      <c r="V8" s="739"/>
      <c r="W8" s="739"/>
      <c r="X8" s="739"/>
      <c r="Y8" s="890"/>
      <c r="Z8" s="742"/>
      <c r="AA8" s="745"/>
      <c r="AB8" s="742"/>
      <c r="AC8" s="742"/>
      <c r="AD8" s="742"/>
    </row>
    <row r="9" spans="1:34" ht="9" customHeight="1">
      <c r="A9" s="741"/>
      <c r="B9" s="741"/>
      <c r="C9" s="739"/>
      <c r="D9" s="739"/>
      <c r="E9" s="739"/>
      <c r="F9" s="739"/>
      <c r="G9" s="739"/>
      <c r="H9" s="739"/>
      <c r="I9" s="739"/>
      <c r="J9" s="739"/>
      <c r="K9" s="739"/>
      <c r="L9" s="739"/>
      <c r="M9" s="739"/>
      <c r="N9" s="739"/>
      <c r="O9" s="739"/>
      <c r="P9" s="739"/>
      <c r="Q9" s="739"/>
      <c r="R9" s="739"/>
      <c r="S9" s="739"/>
      <c r="T9" s="739"/>
      <c r="U9" s="739"/>
      <c r="V9" s="739"/>
      <c r="W9" s="739"/>
      <c r="X9" s="739"/>
      <c r="Y9" s="890"/>
      <c r="Z9" s="742"/>
      <c r="AA9" s="745"/>
      <c r="AB9" s="742"/>
      <c r="AC9" s="742"/>
      <c r="AD9" s="742"/>
    </row>
    <row r="10" spans="1:34" ht="9" customHeight="1">
      <c r="A10" s="794"/>
      <c r="B10" s="794"/>
      <c r="C10" s="794"/>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row>
    <row r="11" spans="1:34" ht="45" customHeight="1">
      <c r="A11" s="5621" t="s">
        <v>29</v>
      </c>
      <c r="B11" s="794">
        <v>1</v>
      </c>
      <c r="C11" s="5627" t="s">
        <v>1561</v>
      </c>
      <c r="D11" s="5627" t="s">
        <v>1557</v>
      </c>
      <c r="E11" s="5627" t="s">
        <v>1654</v>
      </c>
      <c r="F11" s="5627" t="s">
        <v>2024</v>
      </c>
      <c r="G11" s="5627"/>
      <c r="H11" s="793" t="s">
        <v>2025</v>
      </c>
      <c r="I11" s="793"/>
      <c r="J11" s="793"/>
      <c r="K11" s="793"/>
      <c r="L11" s="793"/>
      <c r="M11" s="740" t="str">
        <f>IF(TEMPLATE_SPHERE="HEAT",T11,U11)</f>
        <v xml:space="preserve">Количество поданных заявлений </v>
      </c>
      <c r="N11" s="74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39"/>
      <c r="P11" s="739"/>
      <c r="Q11" s="739"/>
      <c r="R11" s="739"/>
      <c r="S11" s="739"/>
      <c r="T11" s="739" t="s">
        <v>2026</v>
      </c>
      <c r="U11" s="739" t="s">
        <v>2027</v>
      </c>
      <c r="V11" s="739"/>
      <c r="W11" s="739"/>
      <c r="X11" s="739"/>
      <c r="Y11" s="890"/>
      <c r="Z11" s="742" t="s">
        <v>2028</v>
      </c>
      <c r="AA11" s="74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42"/>
      <c r="AC11" s="742"/>
      <c r="AD11" s="742"/>
    </row>
    <row r="12" spans="1:34" ht="45" customHeight="1">
      <c r="A12" s="5621"/>
      <c r="B12" s="794">
        <v>2</v>
      </c>
      <c r="C12" s="5628"/>
      <c r="D12" s="5628"/>
      <c r="E12" s="5628"/>
      <c r="F12" s="5628"/>
      <c r="G12" s="5628"/>
      <c r="H12" s="793" t="s">
        <v>2029</v>
      </c>
      <c r="I12" s="793"/>
      <c r="J12" s="793"/>
      <c r="K12" s="793"/>
      <c r="L12" s="793"/>
      <c r="M12" s="740" t="str">
        <f>IF(TEMPLATE_SPHERE="HEAT",T12,U12)</f>
        <v xml:space="preserve">Количество исполненных заявлений </v>
      </c>
      <c r="N12" s="74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39"/>
      <c r="P12" s="739"/>
      <c r="Q12" s="739"/>
      <c r="R12" s="739"/>
      <c r="S12" s="739"/>
      <c r="T12" s="739" t="s">
        <v>2030</v>
      </c>
      <c r="U12" s="739" t="s">
        <v>2031</v>
      </c>
      <c r="V12" s="739"/>
      <c r="W12" s="739"/>
      <c r="X12" s="739"/>
      <c r="Y12" s="890"/>
      <c r="Z12" s="742" t="s">
        <v>2032</v>
      </c>
      <c r="AA12" s="74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42"/>
      <c r="AC12" s="742"/>
      <c r="AD12" s="742"/>
    </row>
    <row r="13" spans="1:34" ht="72" customHeight="1">
      <c r="A13" s="5621"/>
      <c r="B13" s="794">
        <v>3</v>
      </c>
      <c r="C13" s="5628"/>
      <c r="D13" s="5628"/>
      <c r="E13" s="5628"/>
      <c r="F13" s="5628"/>
      <c r="G13" s="5628"/>
      <c r="H13" s="5620" t="s">
        <v>2033</v>
      </c>
      <c r="I13" s="793"/>
      <c r="J13" s="793"/>
      <c r="K13" s="793"/>
      <c r="L13" s="793"/>
      <c r="M13" s="74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40"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39"/>
      <c r="P13" s="740"/>
      <c r="Q13" s="740"/>
      <c r="R13" s="740"/>
      <c r="S13" s="739"/>
      <c r="T13" s="739" t="s">
        <v>2034</v>
      </c>
      <c r="U13" s="740" t="s">
        <v>2035</v>
      </c>
      <c r="V13" s="740"/>
      <c r="W13" s="740"/>
      <c r="X13" s="739"/>
      <c r="Y13" s="890"/>
      <c r="Z13" s="742" t="s">
        <v>2036</v>
      </c>
      <c r="AA13" s="74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42"/>
      <c r="AC13" s="742"/>
      <c r="AD13" s="742"/>
    </row>
    <row r="14" spans="1:34" ht="45" customHeight="1">
      <c r="A14" s="5621"/>
      <c r="B14" s="794">
        <v>4</v>
      </c>
      <c r="C14" s="5628"/>
      <c r="D14" s="5628"/>
      <c r="E14" s="5628"/>
      <c r="F14" s="5628"/>
      <c r="G14" s="5628"/>
      <c r="H14" s="5620"/>
      <c r="I14" s="796"/>
      <c r="J14" s="796"/>
      <c r="K14" s="796"/>
      <c r="L14" s="796"/>
      <c r="M14" s="743"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4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39"/>
      <c r="P14" s="740"/>
      <c r="Q14" s="740"/>
      <c r="R14" s="740"/>
      <c r="S14" s="739"/>
      <c r="T14" s="739" t="s">
        <v>2037</v>
      </c>
      <c r="U14" s="74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40"/>
      <c r="W14" s="740"/>
      <c r="X14" s="739"/>
      <c r="Y14" s="890"/>
      <c r="Z14" s="742" t="s">
        <v>2038</v>
      </c>
      <c r="AA14" s="745" t="s">
        <v>2038</v>
      </c>
      <c r="AB14" s="742"/>
      <c r="AC14" s="742"/>
      <c r="AD14" s="742"/>
    </row>
    <row r="15" spans="1:34" ht="108" customHeight="1">
      <c r="A15" s="5621"/>
      <c r="B15" s="794">
        <v>5</v>
      </c>
      <c r="C15" s="5628"/>
      <c r="D15" s="5628"/>
      <c r="E15" s="5628"/>
      <c r="F15" s="5628"/>
      <c r="G15" s="5628"/>
      <c r="H15" s="5622" t="s">
        <v>2039</v>
      </c>
      <c r="I15" s="795"/>
      <c r="J15" s="795"/>
      <c r="K15" s="795"/>
      <c r="L15" s="795"/>
      <c r="M15" s="745"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44"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39"/>
      <c r="P15" s="740"/>
      <c r="Q15" s="740"/>
      <c r="R15" s="740"/>
      <c r="S15" s="739"/>
      <c r="T15" s="739" t="s">
        <v>2040</v>
      </c>
      <c r="U15" s="74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40"/>
      <c r="W15" s="740"/>
      <c r="X15" s="739"/>
      <c r="Y15" s="890"/>
      <c r="Z15" s="742" t="s">
        <v>2041</v>
      </c>
      <c r="AA15" s="74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42"/>
      <c r="AC15" s="742"/>
      <c r="AD15" s="742"/>
    </row>
    <row r="16" spans="1:34" ht="108" customHeight="1">
      <c r="A16" s="794"/>
      <c r="B16" s="794">
        <v>6</v>
      </c>
      <c r="C16" s="5629"/>
      <c r="D16" s="5629"/>
      <c r="E16" s="5629"/>
      <c r="F16" s="5629"/>
      <c r="G16" s="5629"/>
      <c r="H16" s="5623"/>
      <c r="I16" s="853"/>
      <c r="J16" s="853"/>
      <c r="K16" s="853"/>
      <c r="L16" s="853"/>
      <c r="M16" s="787"/>
      <c r="N16" s="744"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39"/>
      <c r="P16" s="740"/>
      <c r="Q16" s="740"/>
      <c r="R16" s="740"/>
      <c r="S16" s="739"/>
      <c r="T16" s="739"/>
      <c r="U16" s="740"/>
      <c r="V16" s="740"/>
      <c r="W16" s="740"/>
      <c r="X16" s="739"/>
      <c r="Y16" s="890"/>
      <c r="Z16" s="742" t="s">
        <v>2041</v>
      </c>
      <c r="AA16" s="74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42"/>
      <c r="AC16" s="742"/>
      <c r="AD16" s="742"/>
    </row>
    <row r="17" spans="1:30" ht="9" customHeight="1">
      <c r="A17" s="794"/>
      <c r="B17" s="794"/>
      <c r="C17" s="794">
        <v>22</v>
      </c>
      <c r="D17" s="794">
        <v>21</v>
      </c>
      <c r="E17" s="794">
        <v>42</v>
      </c>
      <c r="F17" s="794">
        <v>63</v>
      </c>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row>
    <row r="18" spans="1:30" ht="27" customHeight="1">
      <c r="A18" s="741" t="s">
        <v>1657</v>
      </c>
      <c r="B18" s="794">
        <v>1</v>
      </c>
      <c r="C18" s="739" t="s">
        <v>2025</v>
      </c>
      <c r="D18" s="858" t="s">
        <v>2025</v>
      </c>
      <c r="E18" s="739" t="s">
        <v>2025</v>
      </c>
      <c r="F18" s="739" t="s">
        <v>2025</v>
      </c>
      <c r="G18" s="739"/>
      <c r="H18" s="891"/>
      <c r="I18" s="894">
        <f t="shared" ref="I18:I49" si="1">INDEX(TEMPLATE_NUMBER_POINT_FHD,B18,MATCH(TEMPLATE_SPHERE,TEMPLATE_SPHERE_LIST_FOR_NOTE,0))</f>
        <v>1</v>
      </c>
      <c r="J18" s="894" t="str">
        <f t="shared" ref="J18:J49" si="2">INDEX(TEMPLATE_DATA_POINT_FHD,B18,MATCH(TEMPLATE_SPHERE,TEMPLATE_SPHERE_LIST_FOR_NOTE,0))</f>
        <v>Выручка от регулируемых видов деятельности в сфере горячего водоснабжения</v>
      </c>
      <c r="K18" s="894" t="str">
        <f t="shared" ref="K18:K49" si="3">INDEX(TEMPLATE_NOTE_POINT_FHD,B18,MATCH(TEMPLATE_SPHERE,TEMPLATE_SPHERE_LIST_FOR_NOTE,0))</f>
        <v>Указывается выручка с распределением по видам деятельности.</v>
      </c>
      <c r="L18" s="740">
        <f t="shared" ref="L18:L49" si="4">IF(I18=0,"",I18)</f>
        <v>1</v>
      </c>
      <c r="M18" s="740" t="str">
        <f t="shared" ref="M18:M49" si="5">IF(J18=0,"",J18)</f>
        <v>Выручка от регулируемых видов деятельности в сфере горячего водоснабжения</v>
      </c>
      <c r="N18" s="740" t="str">
        <f t="shared" ref="N18:N49" si="6">IF(K18=0,"",K18)</f>
        <v>Указывается выручка с распределением по видам деятельности.</v>
      </c>
      <c r="O18" s="848">
        <v>1</v>
      </c>
      <c r="P18" s="848">
        <v>1</v>
      </c>
      <c r="Q18" s="848">
        <v>1</v>
      </c>
      <c r="R18" s="848">
        <v>1</v>
      </c>
      <c r="S18" s="848"/>
      <c r="T18" s="855" t="s">
        <v>2042</v>
      </c>
      <c r="U18" s="742" t="s">
        <v>2043</v>
      </c>
      <c r="V18" s="742" t="s">
        <v>2044</v>
      </c>
      <c r="W18" s="742" t="s">
        <v>2045</v>
      </c>
      <c r="X18" s="739"/>
      <c r="Y18" s="890"/>
      <c r="Z18" s="742" t="s">
        <v>2046</v>
      </c>
      <c r="AA18" s="745" t="s">
        <v>2047</v>
      </c>
      <c r="AB18" s="745" t="s">
        <v>2047</v>
      </c>
      <c r="AC18" s="745" t="s">
        <v>2047</v>
      </c>
      <c r="AD18" s="742"/>
    </row>
    <row r="19" spans="1:30" ht="36" customHeight="1">
      <c r="A19" s="741"/>
      <c r="B19" s="794">
        <v>2</v>
      </c>
      <c r="C19" s="739" t="s">
        <v>2029</v>
      </c>
      <c r="D19" s="858" t="s">
        <v>2029</v>
      </c>
      <c r="E19" s="739" t="s">
        <v>2029</v>
      </c>
      <c r="F19" s="739" t="s">
        <v>2029</v>
      </c>
      <c r="G19" s="739"/>
      <c r="H19" s="891"/>
      <c r="I19" s="894">
        <f t="shared" si="1"/>
        <v>2</v>
      </c>
      <c r="J19" s="894" t="str">
        <f t="shared" si="2"/>
        <v>Себестоимость производимых товаров (оказываемых услуг) по регулируемым видам деятельности в сфере горячего водоснабжения, включая:</v>
      </c>
      <c r="K19" s="894" t="str">
        <f t="shared" si="3"/>
        <v>Указывается суммарная себестоимость производимых товаров.</v>
      </c>
      <c r="L19" s="740">
        <f t="shared" si="4"/>
        <v>2</v>
      </c>
      <c r="M19" s="740" t="str">
        <f t="shared" si="5"/>
        <v>Себестоимость производимых товаров (оказываемых услуг) по регулируемым видам деятельности в сфере горячего водоснабжения, включая:</v>
      </c>
      <c r="N19" s="740" t="str">
        <f t="shared" si="6"/>
        <v>Указывается суммарная себестоимость производимых товаров.</v>
      </c>
      <c r="O19" s="848">
        <v>2</v>
      </c>
      <c r="P19" s="848">
        <v>2</v>
      </c>
      <c r="Q19" s="848">
        <v>2</v>
      </c>
      <c r="R19" s="848">
        <v>2</v>
      </c>
      <c r="S19" s="848"/>
      <c r="T19" s="855" t="s">
        <v>2048</v>
      </c>
      <c r="U19" s="742" t="s">
        <v>2049</v>
      </c>
      <c r="V19" s="742" t="s">
        <v>2050</v>
      </c>
      <c r="W19" s="742" t="s">
        <v>2051</v>
      </c>
      <c r="X19" s="739"/>
      <c r="Y19" s="890"/>
      <c r="Z19" s="742" t="s">
        <v>2052</v>
      </c>
      <c r="AA19" s="745" t="s">
        <v>2052</v>
      </c>
      <c r="AB19" s="745" t="s">
        <v>2052</v>
      </c>
      <c r="AC19" s="745" t="s">
        <v>2052</v>
      </c>
      <c r="AD19" s="742"/>
    </row>
    <row r="20" spans="1:30" ht="27" customHeight="1">
      <c r="A20" s="741"/>
      <c r="B20" s="794">
        <v>3</v>
      </c>
      <c r="C20" s="739">
        <v>1</v>
      </c>
      <c r="D20" s="858"/>
      <c r="E20" s="739"/>
      <c r="F20" s="739"/>
      <c r="G20" s="739"/>
      <c r="H20" s="891"/>
      <c r="I20" s="894" t="str">
        <f t="shared" si="1"/>
        <v>2.1</v>
      </c>
      <c r="J20" s="894" t="str">
        <f t="shared" si="2"/>
        <v>Расходы на приобретаемую тепловую энергию (мощность), используемую для горячего водоснабжения</v>
      </c>
      <c r="K20" s="894">
        <f t="shared" si="3"/>
        <v>0</v>
      </c>
      <c r="L20" s="740" t="str">
        <f t="shared" si="4"/>
        <v>2.1</v>
      </c>
      <c r="M20" s="740" t="str">
        <f t="shared" si="5"/>
        <v>Расходы на приобретаемую тепловую энергию (мощность), используемую для горячего водоснабжения</v>
      </c>
      <c r="N20" s="740" t="str">
        <f t="shared" si="6"/>
        <v/>
      </c>
      <c r="O20" s="848" t="s">
        <v>711</v>
      </c>
      <c r="P20" s="848" t="s">
        <v>711</v>
      </c>
      <c r="Q20" s="848" t="s">
        <v>711</v>
      </c>
      <c r="R20" s="848" t="s">
        <v>711</v>
      </c>
      <c r="S20" s="848"/>
      <c r="T20" s="855" t="s">
        <v>2053</v>
      </c>
      <c r="U20" s="742" t="s">
        <v>2054</v>
      </c>
      <c r="V20" s="742" t="s">
        <v>2055</v>
      </c>
      <c r="W20" s="742" t="s">
        <v>2056</v>
      </c>
      <c r="X20" s="739"/>
      <c r="Y20" s="890"/>
      <c r="Z20" s="742"/>
      <c r="AA20" s="745"/>
      <c r="AB20" s="742"/>
      <c r="AC20" s="742"/>
      <c r="AD20" s="742"/>
    </row>
    <row r="21" spans="1:30" ht="36" customHeight="1">
      <c r="A21" s="741"/>
      <c r="B21" s="794">
        <v>4</v>
      </c>
      <c r="C21" s="739">
        <v>2</v>
      </c>
      <c r="D21" s="858"/>
      <c r="E21" s="739"/>
      <c r="F21" s="739"/>
      <c r="G21" s="739"/>
      <c r="H21" s="891"/>
      <c r="I21" s="894">
        <f t="shared" si="1"/>
        <v>0</v>
      </c>
      <c r="J21" s="894">
        <f t="shared" si="2"/>
        <v>0</v>
      </c>
      <c r="K21" s="894">
        <f t="shared" si="3"/>
        <v>0</v>
      </c>
      <c r="L21" s="740" t="str">
        <f t="shared" si="4"/>
        <v/>
      </c>
      <c r="M21" s="740" t="str">
        <f t="shared" si="5"/>
        <v/>
      </c>
      <c r="N21" s="740" t="str">
        <f t="shared" si="6"/>
        <v/>
      </c>
      <c r="O21" s="848" t="s">
        <v>385</v>
      </c>
      <c r="P21" s="848"/>
      <c r="Q21" s="848"/>
      <c r="R21" s="848"/>
      <c r="S21" s="848"/>
      <c r="T21" s="855" t="s">
        <v>2057</v>
      </c>
      <c r="U21" s="742"/>
      <c r="V21" s="742"/>
      <c r="W21" s="742"/>
      <c r="X21" s="739"/>
      <c r="Y21" s="890"/>
      <c r="Z21" s="742" t="s">
        <v>2058</v>
      </c>
      <c r="AA21" s="745"/>
      <c r="AB21" s="742"/>
      <c r="AC21" s="742"/>
      <c r="AD21" s="742"/>
    </row>
    <row r="22" spans="1:30" ht="36" customHeight="1">
      <c r="A22" s="741"/>
      <c r="B22" s="794">
        <v>5</v>
      </c>
      <c r="C22" s="739">
        <v>3</v>
      </c>
      <c r="D22" s="858"/>
      <c r="E22" s="739"/>
      <c r="F22" s="739"/>
      <c r="G22" s="786"/>
      <c r="H22" s="849"/>
      <c r="I22" s="894" t="str">
        <f t="shared" si="1"/>
        <v>2.2</v>
      </c>
      <c r="J22" s="894" t="str">
        <f t="shared" si="2"/>
        <v>Расходы на тепловую энергию, производимую с применением собственных источников и используемую для горячего водоснабжения</v>
      </c>
      <c r="K22" s="894">
        <f t="shared" si="3"/>
        <v>0</v>
      </c>
      <c r="L22" s="740" t="str">
        <f t="shared" si="4"/>
        <v>2.2</v>
      </c>
      <c r="M22" s="740" t="str">
        <f t="shared" si="5"/>
        <v>Расходы на тепловую энергию, производимую с применением собственных источников и используемую для горячего водоснабжения</v>
      </c>
      <c r="N22" s="740" t="str">
        <f t="shared" si="6"/>
        <v/>
      </c>
      <c r="O22" s="848"/>
      <c r="P22" s="848"/>
      <c r="Q22" s="848" t="s">
        <v>385</v>
      </c>
      <c r="R22" s="848"/>
      <c r="S22" s="848"/>
      <c r="T22" s="855"/>
      <c r="U22" s="742"/>
      <c r="V22" s="742" t="s">
        <v>2059</v>
      </c>
      <c r="W22" s="742"/>
      <c r="X22" s="739"/>
      <c r="Y22" s="890"/>
      <c r="Z22" s="742"/>
      <c r="AA22" s="745"/>
      <c r="AB22" s="742"/>
      <c r="AC22" s="742"/>
      <c r="AD22" s="742"/>
    </row>
    <row r="23" spans="1:30" ht="27" customHeight="1">
      <c r="A23" s="741"/>
      <c r="B23" s="794">
        <v>6</v>
      </c>
      <c r="C23" s="739">
        <v>4</v>
      </c>
      <c r="D23" s="858"/>
      <c r="E23" s="739"/>
      <c r="F23" s="739"/>
      <c r="G23" s="786"/>
      <c r="H23" s="849"/>
      <c r="I23" s="894" t="str">
        <f t="shared" si="1"/>
        <v>2.3</v>
      </c>
      <c r="J23" s="894" t="str">
        <f t="shared" si="2"/>
        <v>Расходы на приобретаемую холодную воду, используемую для горячего водоснабжения</v>
      </c>
      <c r="K23" s="894">
        <f t="shared" si="3"/>
        <v>0</v>
      </c>
      <c r="L23" s="740" t="str">
        <f t="shared" si="4"/>
        <v>2.3</v>
      </c>
      <c r="M23" s="740" t="str">
        <f t="shared" si="5"/>
        <v>Расходы на приобретаемую холодную воду, используемую для горячего водоснабжения</v>
      </c>
      <c r="N23" s="740" t="str">
        <f t="shared" si="6"/>
        <v/>
      </c>
      <c r="O23" s="848"/>
      <c r="P23" s="848"/>
      <c r="Q23" s="848" t="s">
        <v>388</v>
      </c>
      <c r="R23" s="848"/>
      <c r="S23" s="848"/>
      <c r="T23" s="855"/>
      <c r="U23" s="742"/>
      <c r="V23" s="742" t="s">
        <v>2060</v>
      </c>
      <c r="W23" s="742"/>
      <c r="X23" s="739"/>
      <c r="Y23" s="890"/>
      <c r="Z23" s="742"/>
      <c r="AA23" s="745"/>
      <c r="AB23" s="742"/>
      <c r="AC23" s="742"/>
      <c r="AD23" s="742"/>
    </row>
    <row r="24" spans="1:30" ht="36" customHeight="1">
      <c r="A24" s="741"/>
      <c r="B24" s="794">
        <v>7</v>
      </c>
      <c r="C24" s="739">
        <v>5</v>
      </c>
      <c r="D24" s="858"/>
      <c r="E24" s="739"/>
      <c r="F24" s="739"/>
      <c r="G24" s="786"/>
      <c r="H24" s="849"/>
      <c r="I24" s="894" t="str">
        <f t="shared" si="1"/>
        <v>2.4</v>
      </c>
      <c r="J24" s="894"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894">
        <f t="shared" si="3"/>
        <v>0</v>
      </c>
      <c r="L24" s="740" t="str">
        <f t="shared" si="4"/>
        <v>2.4</v>
      </c>
      <c r="M24" s="740"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40" t="str">
        <f t="shared" si="6"/>
        <v/>
      </c>
      <c r="O24" s="848"/>
      <c r="P24" s="848"/>
      <c r="Q24" s="848" t="s">
        <v>731</v>
      </c>
      <c r="R24" s="848"/>
      <c r="S24" s="848"/>
      <c r="T24" s="855"/>
      <c r="U24" s="742"/>
      <c r="V24" s="742" t="s">
        <v>2061</v>
      </c>
      <c r="W24" s="742"/>
      <c r="X24" s="739"/>
      <c r="Y24" s="890"/>
      <c r="Z24" s="742"/>
      <c r="AA24" s="745"/>
      <c r="AB24" s="742"/>
      <c r="AC24" s="742"/>
      <c r="AD24" s="742"/>
    </row>
    <row r="25" spans="1:30" ht="36" customHeight="1">
      <c r="A25" s="741"/>
      <c r="B25" s="794">
        <v>8</v>
      </c>
      <c r="C25" s="739">
        <v>6</v>
      </c>
      <c r="D25" s="858"/>
      <c r="E25" s="739"/>
      <c r="F25" s="739"/>
      <c r="G25" s="786"/>
      <c r="H25" s="849"/>
      <c r="I25" s="894" t="str">
        <f t="shared" si="1"/>
        <v>2.5</v>
      </c>
      <c r="J25" s="894" t="str">
        <f t="shared" si="2"/>
        <v>Расходы на приобретаемую электрическую энергию (мощность), используемую в технологическом процессе</v>
      </c>
      <c r="K25" s="894">
        <f t="shared" si="3"/>
        <v>0</v>
      </c>
      <c r="L25" s="740" t="str">
        <f t="shared" si="4"/>
        <v>2.5</v>
      </c>
      <c r="M25" s="740" t="str">
        <f t="shared" si="5"/>
        <v>Расходы на приобретаемую электрическую энергию (мощность), используемую в технологическом процессе</v>
      </c>
      <c r="N25" s="740" t="str">
        <f t="shared" si="6"/>
        <v/>
      </c>
      <c r="O25" s="848" t="s">
        <v>388</v>
      </c>
      <c r="P25" s="848" t="s">
        <v>385</v>
      </c>
      <c r="Q25" s="848" t="s">
        <v>738</v>
      </c>
      <c r="R25" s="848" t="s">
        <v>385</v>
      </c>
      <c r="S25" s="848"/>
      <c r="T25" s="855" t="s">
        <v>2062</v>
      </c>
      <c r="U25" s="742" t="s">
        <v>2062</v>
      </c>
      <c r="V25" s="742" t="s">
        <v>2062</v>
      </c>
      <c r="W25" s="742" t="s">
        <v>2062</v>
      </c>
      <c r="X25" s="739"/>
      <c r="Y25" s="890"/>
      <c r="Z25" s="742"/>
      <c r="AA25" s="745"/>
      <c r="AB25" s="742"/>
      <c r="AC25" s="742"/>
      <c r="AD25" s="742"/>
    </row>
    <row r="26" spans="1:30" ht="18" customHeight="1">
      <c r="A26" s="741"/>
      <c r="B26" s="794">
        <v>9</v>
      </c>
      <c r="C26" s="739" t="s">
        <v>910</v>
      </c>
      <c r="D26" s="858"/>
      <c r="E26" s="739"/>
      <c r="F26" s="739"/>
      <c r="G26" s="786"/>
      <c r="H26" s="849"/>
      <c r="I26" s="894" t="str">
        <f t="shared" si="1"/>
        <v>2.5.1</v>
      </c>
      <c r="J26" s="894" t="str">
        <f t="shared" si="2"/>
        <v>Средневзвешенная стоимость 1 кВт.ч (с учетом мощности)</v>
      </c>
      <c r="K26" s="894">
        <f t="shared" si="3"/>
        <v>0</v>
      </c>
      <c r="L26" s="740" t="str">
        <f t="shared" si="4"/>
        <v>2.5.1</v>
      </c>
      <c r="M26" s="740" t="str">
        <f t="shared" si="5"/>
        <v>Средневзвешенная стоимость 1 кВт.ч (с учетом мощности)</v>
      </c>
      <c r="N26" s="740" t="str">
        <f t="shared" si="6"/>
        <v/>
      </c>
      <c r="O26" s="848" t="s">
        <v>727</v>
      </c>
      <c r="P26" s="848" t="s">
        <v>721</v>
      </c>
      <c r="Q26" s="848" t="s">
        <v>2063</v>
      </c>
      <c r="R26" s="848" t="s">
        <v>721</v>
      </c>
      <c r="S26" s="848"/>
      <c r="T26" s="855" t="s">
        <v>2064</v>
      </c>
      <c r="U26" s="855" t="s">
        <v>2064</v>
      </c>
      <c r="V26" s="855" t="s">
        <v>2064</v>
      </c>
      <c r="W26" s="855" t="s">
        <v>2064</v>
      </c>
      <c r="X26" s="739"/>
      <c r="Y26" s="890"/>
      <c r="Z26" s="742"/>
      <c r="AA26" s="745"/>
      <c r="AB26" s="742"/>
      <c r="AC26" s="742"/>
      <c r="AD26" s="742"/>
    </row>
    <row r="27" spans="1:30" ht="18" customHeight="1">
      <c r="A27" s="741"/>
      <c r="B27" s="794">
        <v>10</v>
      </c>
      <c r="C27" s="739" t="s">
        <v>2065</v>
      </c>
      <c r="D27" s="858"/>
      <c r="E27" s="739"/>
      <c r="F27" s="739"/>
      <c r="G27" s="786"/>
      <c r="H27" s="849"/>
      <c r="I27" s="894" t="str">
        <f t="shared" si="1"/>
        <v>2.5.2</v>
      </c>
      <c r="J27" s="894" t="str">
        <f t="shared" si="2"/>
        <v>Объём приобретения электрической энергии</v>
      </c>
      <c r="K27" s="894">
        <f t="shared" si="3"/>
        <v>0</v>
      </c>
      <c r="L27" s="740" t="str">
        <f t="shared" si="4"/>
        <v>2.5.2</v>
      </c>
      <c r="M27" s="740" t="str">
        <f t="shared" si="5"/>
        <v>Объём приобретения электрической энергии</v>
      </c>
      <c r="N27" s="740" t="str">
        <f t="shared" si="6"/>
        <v/>
      </c>
      <c r="O27" s="848" t="s">
        <v>729</v>
      </c>
      <c r="P27" s="848" t="s">
        <v>723</v>
      </c>
      <c r="Q27" s="848" t="s">
        <v>2066</v>
      </c>
      <c r="R27" s="848" t="s">
        <v>723</v>
      </c>
      <c r="S27" s="848"/>
      <c r="T27" s="855" t="s">
        <v>2067</v>
      </c>
      <c r="U27" s="855" t="s">
        <v>2067</v>
      </c>
      <c r="V27" s="855" t="s">
        <v>2067</v>
      </c>
      <c r="W27" s="855" t="s">
        <v>2067</v>
      </c>
      <c r="X27" s="739"/>
      <c r="Y27" s="890"/>
      <c r="Z27" s="742"/>
      <c r="AA27" s="745"/>
      <c r="AB27" s="742"/>
      <c r="AC27" s="742"/>
      <c r="AD27" s="742"/>
    </row>
    <row r="28" spans="1:30" ht="27" customHeight="1">
      <c r="A28" s="741"/>
      <c r="B28" s="794">
        <v>11</v>
      </c>
      <c r="C28" s="739">
        <v>7</v>
      </c>
      <c r="D28" s="858"/>
      <c r="E28" s="739"/>
      <c r="F28" s="739"/>
      <c r="G28" s="786"/>
      <c r="H28" s="849"/>
      <c r="I28" s="894">
        <f t="shared" si="1"/>
        <v>0</v>
      </c>
      <c r="J28" s="894">
        <f t="shared" si="2"/>
        <v>0</v>
      </c>
      <c r="K28" s="894">
        <f t="shared" si="3"/>
        <v>0</v>
      </c>
      <c r="L28" s="740" t="str">
        <f t="shared" si="4"/>
        <v/>
      </c>
      <c r="M28" s="740" t="str">
        <f t="shared" si="5"/>
        <v/>
      </c>
      <c r="N28" s="740" t="str">
        <f t="shared" si="6"/>
        <v/>
      </c>
      <c r="O28" s="848" t="s">
        <v>731</v>
      </c>
      <c r="P28" s="848"/>
      <c r="Q28" s="848"/>
      <c r="R28" s="848"/>
      <c r="S28" s="848"/>
      <c r="T28" s="855" t="s">
        <v>2068</v>
      </c>
      <c r="U28" s="742"/>
      <c r="V28" s="742"/>
      <c r="W28" s="742"/>
      <c r="X28" s="739"/>
      <c r="Y28" s="890"/>
      <c r="Z28" s="742"/>
      <c r="AA28" s="745"/>
      <c r="AB28" s="742"/>
      <c r="AC28" s="742"/>
      <c r="AD28" s="742"/>
    </row>
    <row r="29" spans="1:30" ht="27" customHeight="1">
      <c r="A29" s="741"/>
      <c r="B29" s="794">
        <v>12</v>
      </c>
      <c r="C29" s="739">
        <v>8</v>
      </c>
      <c r="D29" s="858"/>
      <c r="E29" s="739"/>
      <c r="F29" s="739"/>
      <c r="G29" s="786"/>
      <c r="H29" s="849"/>
      <c r="I29" s="894">
        <f t="shared" si="1"/>
        <v>0</v>
      </c>
      <c r="J29" s="894">
        <f t="shared" si="2"/>
        <v>0</v>
      </c>
      <c r="K29" s="894">
        <f t="shared" si="3"/>
        <v>0</v>
      </c>
      <c r="L29" s="740" t="str">
        <f t="shared" si="4"/>
        <v/>
      </c>
      <c r="M29" s="740" t="str">
        <f t="shared" si="5"/>
        <v/>
      </c>
      <c r="N29" s="740" t="str">
        <f t="shared" si="6"/>
        <v/>
      </c>
      <c r="O29" s="848" t="s">
        <v>738</v>
      </c>
      <c r="P29" s="848" t="s">
        <v>388</v>
      </c>
      <c r="Q29" s="848"/>
      <c r="R29" s="848" t="s">
        <v>388</v>
      </c>
      <c r="S29" s="848"/>
      <c r="T29" s="855" t="s">
        <v>2069</v>
      </c>
      <c r="U29" s="742" t="s">
        <v>2069</v>
      </c>
      <c r="V29" s="742"/>
      <c r="W29" s="742" t="s">
        <v>2069</v>
      </c>
      <c r="X29" s="739"/>
      <c r="Y29" s="890"/>
      <c r="Z29" s="742"/>
      <c r="AA29" s="745"/>
      <c r="AB29" s="742"/>
      <c r="AC29" s="742"/>
      <c r="AD29" s="742"/>
    </row>
    <row r="30" spans="1:30" ht="54" customHeight="1">
      <c r="A30" s="741"/>
      <c r="B30" s="794">
        <v>13</v>
      </c>
      <c r="C30" s="739">
        <v>9</v>
      </c>
      <c r="D30" s="858"/>
      <c r="E30" s="739"/>
      <c r="F30" s="739"/>
      <c r="G30" s="786"/>
      <c r="H30" s="849"/>
      <c r="I30" s="894" t="str">
        <f t="shared" si="1"/>
        <v>2.6</v>
      </c>
      <c r="J30" s="89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94" t="str">
        <f t="shared" si="3"/>
        <v>Указывается общая сумма расходов на оплату труда и отчислений на социальные нужды основного производственного персонала.</v>
      </c>
      <c r="L30" s="740" t="str">
        <f t="shared" si="4"/>
        <v>2.6</v>
      </c>
      <c r="M30" s="74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40" t="str">
        <f t="shared" si="6"/>
        <v>Указывается общая сумма расходов на оплату труда и отчислений на социальные нужды основного производственного персонала.</v>
      </c>
      <c r="O30" s="848" t="s">
        <v>740</v>
      </c>
      <c r="P30" s="848" t="s">
        <v>731</v>
      </c>
      <c r="Q30" s="848" t="s">
        <v>740</v>
      </c>
      <c r="R30" s="848" t="s">
        <v>731</v>
      </c>
      <c r="S30" s="848"/>
      <c r="T30" s="855" t="s">
        <v>2070</v>
      </c>
      <c r="U30" s="742" t="s">
        <v>2070</v>
      </c>
      <c r="V30" s="742" t="s">
        <v>2070</v>
      </c>
      <c r="W30" s="742" t="s">
        <v>2070</v>
      </c>
      <c r="X30" s="739"/>
      <c r="Y30" s="890"/>
      <c r="Z30" s="742"/>
      <c r="AA30" s="745" t="s">
        <v>2071</v>
      </c>
      <c r="AB30" s="745" t="s">
        <v>2071</v>
      </c>
      <c r="AC30" s="745" t="s">
        <v>2071</v>
      </c>
      <c r="AD30" s="742"/>
    </row>
    <row r="31" spans="1:30" ht="18" customHeight="1">
      <c r="A31" s="741"/>
      <c r="B31" s="794">
        <v>14</v>
      </c>
      <c r="C31" s="739" t="s">
        <v>2072</v>
      </c>
      <c r="D31" s="858"/>
      <c r="E31" s="739"/>
      <c r="F31" s="739"/>
      <c r="G31" s="786"/>
      <c r="H31" s="849"/>
      <c r="I31" s="894" t="str">
        <f t="shared" si="1"/>
        <v>2.6.1</v>
      </c>
      <c r="J31" s="894" t="str">
        <f t="shared" si="2"/>
        <v>Расходы на оплату труда основного производственного персонала</v>
      </c>
      <c r="K31" s="894">
        <f t="shared" si="3"/>
        <v>0</v>
      </c>
      <c r="L31" s="740" t="str">
        <f t="shared" si="4"/>
        <v>2.6.1</v>
      </c>
      <c r="M31" s="740" t="str">
        <f t="shared" si="5"/>
        <v>Расходы на оплату труда основного производственного персонала</v>
      </c>
      <c r="N31" s="740" t="str">
        <f t="shared" si="6"/>
        <v/>
      </c>
      <c r="O31" s="848" t="s">
        <v>2073</v>
      </c>
      <c r="P31" s="848" t="s">
        <v>734</v>
      </c>
      <c r="Q31" s="848" t="s">
        <v>2073</v>
      </c>
      <c r="R31" s="848" t="s">
        <v>734</v>
      </c>
      <c r="S31" s="848"/>
      <c r="T31" s="856" t="s">
        <v>2074</v>
      </c>
      <c r="U31" s="742" t="s">
        <v>2074</v>
      </c>
      <c r="V31" s="742" t="s">
        <v>2074</v>
      </c>
      <c r="W31" s="742" t="s">
        <v>2074</v>
      </c>
      <c r="X31" s="739"/>
      <c r="Y31" s="890"/>
      <c r="Z31" s="742"/>
      <c r="AA31" s="745"/>
      <c r="AB31" s="745"/>
      <c r="AC31" s="745"/>
      <c r="AD31" s="742"/>
    </row>
    <row r="32" spans="1:30" ht="36" customHeight="1">
      <c r="A32" s="741"/>
      <c r="B32" s="794">
        <v>15</v>
      </c>
      <c r="C32" s="739" t="s">
        <v>2075</v>
      </c>
      <c r="D32" s="858"/>
      <c r="E32" s="739"/>
      <c r="F32" s="739"/>
      <c r="G32" s="786"/>
      <c r="H32" s="849"/>
      <c r="I32" s="894" t="str">
        <f t="shared" si="1"/>
        <v>2.6.2</v>
      </c>
      <c r="J32" s="894" t="str">
        <f t="shared" si="2"/>
        <v>Страховые взносы на обязательное социальное страхование, выплачиваемые из фонда оплаты труда основного производственного персонала</v>
      </c>
      <c r="K32" s="894">
        <f t="shared" si="3"/>
        <v>0</v>
      </c>
      <c r="L32" s="740" t="str">
        <f t="shared" si="4"/>
        <v>2.6.2</v>
      </c>
      <c r="M32" s="74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40" t="str">
        <f t="shared" si="6"/>
        <v/>
      </c>
      <c r="O32" s="848" t="s">
        <v>2076</v>
      </c>
      <c r="P32" s="848" t="s">
        <v>736</v>
      </c>
      <c r="Q32" s="848" t="s">
        <v>2076</v>
      </c>
      <c r="R32" s="848" t="s">
        <v>736</v>
      </c>
      <c r="S32" s="848"/>
      <c r="T32" s="857" t="s">
        <v>2077</v>
      </c>
      <c r="U32" s="742" t="s">
        <v>2077</v>
      </c>
      <c r="V32" s="742" t="s">
        <v>2077</v>
      </c>
      <c r="W32" s="742" t="s">
        <v>2077</v>
      </c>
      <c r="X32" s="739"/>
      <c r="Y32" s="890"/>
      <c r="Z32" s="742"/>
      <c r="AA32" s="745"/>
      <c r="AB32" s="745"/>
      <c r="AC32" s="745"/>
      <c r="AD32" s="742"/>
    </row>
    <row r="33" spans="1:30" ht="45" customHeight="1">
      <c r="A33" s="741"/>
      <c r="B33" s="794">
        <v>16</v>
      </c>
      <c r="C33" s="739">
        <v>10</v>
      </c>
      <c r="D33" s="858"/>
      <c r="E33" s="739"/>
      <c r="F33" s="739"/>
      <c r="G33" s="786"/>
      <c r="H33" s="849"/>
      <c r="I33" s="894" t="str">
        <f t="shared" si="1"/>
        <v>2.7</v>
      </c>
      <c r="J33" s="89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94" t="str">
        <f t="shared" si="3"/>
        <v>Указывается общая сумма расходов на оплату труда и отчислений на социальные нужды административно-управленческого персонала.</v>
      </c>
      <c r="L33" s="740" t="str">
        <f t="shared" si="4"/>
        <v>2.7</v>
      </c>
      <c r="M33" s="74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40" t="str">
        <f t="shared" si="6"/>
        <v>Указывается общая сумма расходов на оплату труда и отчислений на социальные нужды административно-управленческого персонала.</v>
      </c>
      <c r="O33" s="848" t="s">
        <v>742</v>
      </c>
      <c r="P33" s="848" t="s">
        <v>738</v>
      </c>
      <c r="Q33" s="848" t="s">
        <v>742</v>
      </c>
      <c r="R33" s="848" t="s">
        <v>738</v>
      </c>
      <c r="S33" s="848"/>
      <c r="T33" s="856" t="s">
        <v>2078</v>
      </c>
      <c r="U33" s="742" t="s">
        <v>2078</v>
      </c>
      <c r="V33" s="742" t="s">
        <v>2078</v>
      </c>
      <c r="W33" s="742" t="s">
        <v>2079</v>
      </c>
      <c r="X33" s="739"/>
      <c r="Y33" s="890"/>
      <c r="Z33" s="742"/>
      <c r="AA33" s="745" t="s">
        <v>2080</v>
      </c>
      <c r="AB33" s="745" t="s">
        <v>2080</v>
      </c>
      <c r="AC33" s="745" t="s">
        <v>2080</v>
      </c>
      <c r="AD33" s="742"/>
    </row>
    <row r="34" spans="1:30" ht="27" customHeight="1">
      <c r="A34" s="741"/>
      <c r="B34" s="794">
        <v>17</v>
      </c>
      <c r="C34" s="739" t="s">
        <v>2081</v>
      </c>
      <c r="D34" s="858"/>
      <c r="E34" s="739"/>
      <c r="F34" s="739"/>
      <c r="G34" s="786"/>
      <c r="H34" s="849"/>
      <c r="I34" s="894" t="str">
        <f t="shared" si="1"/>
        <v>2.7.1</v>
      </c>
      <c r="J34" s="894" t="str">
        <f t="shared" si="2"/>
        <v>Расходы на оплату труда административно-управленческого персонала</v>
      </c>
      <c r="K34" s="894">
        <f t="shared" si="3"/>
        <v>0</v>
      </c>
      <c r="L34" s="740" t="str">
        <f t="shared" si="4"/>
        <v>2.7.1</v>
      </c>
      <c r="M34" s="740" t="str">
        <f t="shared" si="5"/>
        <v>Расходы на оплату труда административно-управленческого персонала</v>
      </c>
      <c r="N34" s="740" t="str">
        <f t="shared" si="6"/>
        <v/>
      </c>
      <c r="O34" s="848" t="s">
        <v>2082</v>
      </c>
      <c r="P34" s="848" t="s">
        <v>2063</v>
      </c>
      <c r="Q34" s="848" t="s">
        <v>2082</v>
      </c>
      <c r="R34" s="848" t="s">
        <v>2063</v>
      </c>
      <c r="S34" s="848"/>
      <c r="T34" s="857" t="s">
        <v>2083</v>
      </c>
      <c r="U34" s="742" t="s">
        <v>2083</v>
      </c>
      <c r="V34" s="742" t="s">
        <v>2083</v>
      </c>
      <c r="W34" s="742" t="s">
        <v>2084</v>
      </c>
      <c r="X34" s="739"/>
      <c r="Y34" s="890"/>
      <c r="Z34" s="742"/>
      <c r="AA34" s="745"/>
      <c r="AB34" s="742"/>
      <c r="AC34" s="742"/>
      <c r="AD34" s="742"/>
    </row>
    <row r="35" spans="1:30" ht="45" customHeight="1">
      <c r="A35" s="741"/>
      <c r="B35" s="794">
        <v>18</v>
      </c>
      <c r="C35" s="739" t="s">
        <v>2085</v>
      </c>
      <c r="D35" s="858"/>
      <c r="E35" s="739"/>
      <c r="F35" s="739"/>
      <c r="G35" s="786"/>
      <c r="H35" s="849"/>
      <c r="I35" s="894" t="str">
        <f t="shared" si="1"/>
        <v>2.7.2</v>
      </c>
      <c r="J35" s="89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94">
        <f t="shared" si="3"/>
        <v>0</v>
      </c>
      <c r="L35" s="740" t="str">
        <f t="shared" si="4"/>
        <v>2.7.2</v>
      </c>
      <c r="M35" s="74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40" t="str">
        <f t="shared" si="6"/>
        <v/>
      </c>
      <c r="O35" s="848" t="s">
        <v>2086</v>
      </c>
      <c r="P35" s="848" t="s">
        <v>2066</v>
      </c>
      <c r="Q35" s="848" t="s">
        <v>2086</v>
      </c>
      <c r="R35" s="848" t="s">
        <v>2066</v>
      </c>
      <c r="S35" s="848"/>
      <c r="T35" s="855" t="s">
        <v>2087</v>
      </c>
      <c r="U35" s="742" t="s">
        <v>2087</v>
      </c>
      <c r="V35" s="742" t="s">
        <v>2087</v>
      </c>
      <c r="W35" s="742" t="s">
        <v>2087</v>
      </c>
      <c r="X35" s="739"/>
      <c r="Y35" s="890"/>
      <c r="Z35" s="742"/>
      <c r="AA35" s="745"/>
      <c r="AB35" s="742"/>
      <c r="AC35" s="742"/>
      <c r="AD35" s="742"/>
    </row>
    <row r="36" spans="1:30" ht="18" customHeight="1">
      <c r="A36" s="741"/>
      <c r="B36" s="794">
        <v>19</v>
      </c>
      <c r="C36" s="739">
        <v>11</v>
      </c>
      <c r="D36" s="858"/>
      <c r="E36" s="739"/>
      <c r="F36" s="739"/>
      <c r="G36" s="786"/>
      <c r="H36" s="849"/>
      <c r="I36" s="894" t="str">
        <f t="shared" si="1"/>
        <v>2.8</v>
      </c>
      <c r="J36" s="894" t="str">
        <f t="shared" si="2"/>
        <v>Расходы на амортизацию основных средств и нематериальных активов</v>
      </c>
      <c r="K36" s="894">
        <f t="shared" si="3"/>
        <v>0</v>
      </c>
      <c r="L36" s="740" t="str">
        <f t="shared" si="4"/>
        <v>2.8</v>
      </c>
      <c r="M36" s="740" t="str">
        <f t="shared" si="5"/>
        <v>Расходы на амортизацию основных средств и нематериальных активов</v>
      </c>
      <c r="N36" s="740" t="str">
        <f t="shared" si="6"/>
        <v/>
      </c>
      <c r="O36" s="848" t="s">
        <v>744</v>
      </c>
      <c r="P36" s="848" t="s">
        <v>740</v>
      </c>
      <c r="Q36" s="848" t="s">
        <v>744</v>
      </c>
      <c r="R36" s="848" t="s">
        <v>740</v>
      </c>
      <c r="S36" s="848"/>
      <c r="T36" s="855" t="s">
        <v>2088</v>
      </c>
      <c r="U36" s="742" t="s">
        <v>2088</v>
      </c>
      <c r="V36" s="742" t="s">
        <v>2088</v>
      </c>
      <c r="W36" s="742" t="s">
        <v>2088</v>
      </c>
      <c r="X36" s="739"/>
      <c r="Y36" s="890"/>
      <c r="Z36" s="742"/>
      <c r="AA36" s="745"/>
      <c r="AB36" s="742"/>
      <c r="AC36" s="742"/>
      <c r="AD36" s="742"/>
    </row>
    <row r="37" spans="1:30" ht="18" customHeight="1">
      <c r="A37" s="741"/>
      <c r="B37" s="794">
        <v>20</v>
      </c>
      <c r="C37" s="739" t="s">
        <v>2089</v>
      </c>
      <c r="D37" s="858"/>
      <c r="E37" s="739"/>
      <c r="F37" s="739"/>
      <c r="G37" s="786"/>
      <c r="H37" s="849"/>
      <c r="I37" s="894" t="str">
        <f t="shared" si="1"/>
        <v>2.8.1</v>
      </c>
      <c r="J37" s="894" t="str">
        <f t="shared" si="2"/>
        <v>Расходы на амортизацию основных средств</v>
      </c>
      <c r="K37" s="894">
        <f t="shared" si="3"/>
        <v>0</v>
      </c>
      <c r="L37" s="740" t="str">
        <f t="shared" si="4"/>
        <v>2.8.1</v>
      </c>
      <c r="M37" s="740" t="str">
        <f t="shared" si="5"/>
        <v>Расходы на амортизацию основных средств</v>
      </c>
      <c r="N37" s="740" t="str">
        <f t="shared" si="6"/>
        <v/>
      </c>
      <c r="O37" s="848" t="s">
        <v>2090</v>
      </c>
      <c r="P37" s="848" t="s">
        <v>2073</v>
      </c>
      <c r="Q37" s="848" t="s">
        <v>2090</v>
      </c>
      <c r="R37" s="848" t="s">
        <v>2073</v>
      </c>
      <c r="S37" s="848"/>
      <c r="T37" s="855" t="s">
        <v>2091</v>
      </c>
      <c r="U37" s="742" t="s">
        <v>2091</v>
      </c>
      <c r="V37" s="742" t="s">
        <v>2091</v>
      </c>
      <c r="W37" s="742" t="s">
        <v>2091</v>
      </c>
      <c r="X37" s="739"/>
      <c r="Y37" s="890"/>
      <c r="Z37" s="742"/>
      <c r="AA37" s="745"/>
      <c r="AB37" s="742"/>
      <c r="AC37" s="742"/>
      <c r="AD37" s="742"/>
    </row>
    <row r="38" spans="1:30" ht="18" customHeight="1">
      <c r="A38" s="741"/>
      <c r="B38" s="794">
        <v>21</v>
      </c>
      <c r="C38" s="739" t="s">
        <v>2092</v>
      </c>
      <c r="D38" s="858"/>
      <c r="E38" s="739"/>
      <c r="F38" s="739"/>
      <c r="G38" s="786"/>
      <c r="H38" s="849"/>
      <c r="I38" s="894" t="str">
        <f t="shared" si="1"/>
        <v>2.8.2</v>
      </c>
      <c r="J38" s="894" t="str">
        <f t="shared" si="2"/>
        <v>Расходы на амортизацию нематериальных активов</v>
      </c>
      <c r="K38" s="894">
        <f t="shared" si="3"/>
        <v>0</v>
      </c>
      <c r="L38" s="740" t="str">
        <f t="shared" si="4"/>
        <v>2.8.2</v>
      </c>
      <c r="M38" s="740" t="str">
        <f t="shared" si="5"/>
        <v>Расходы на амортизацию нематериальных активов</v>
      </c>
      <c r="N38" s="740" t="str">
        <f t="shared" si="6"/>
        <v/>
      </c>
      <c r="O38" s="848" t="s">
        <v>2093</v>
      </c>
      <c r="P38" s="848" t="s">
        <v>2076</v>
      </c>
      <c r="Q38" s="848" t="s">
        <v>2093</v>
      </c>
      <c r="R38" s="848" t="s">
        <v>2076</v>
      </c>
      <c r="S38" s="848"/>
      <c r="T38" s="855" t="s">
        <v>2094</v>
      </c>
      <c r="U38" s="742" t="s">
        <v>2094</v>
      </c>
      <c r="V38" s="742" t="s">
        <v>2094</v>
      </c>
      <c r="W38" s="742" t="s">
        <v>2094</v>
      </c>
      <c r="X38" s="739"/>
      <c r="Y38" s="890"/>
      <c r="Z38" s="742"/>
      <c r="AA38" s="745"/>
      <c r="AB38" s="742"/>
      <c r="AC38" s="742"/>
      <c r="AD38" s="742"/>
    </row>
    <row r="39" spans="1:30" ht="36" customHeight="1">
      <c r="A39" s="741"/>
      <c r="B39" s="794">
        <v>22</v>
      </c>
      <c r="C39" s="739">
        <v>12</v>
      </c>
      <c r="D39" s="858"/>
      <c r="E39" s="739"/>
      <c r="F39" s="739"/>
      <c r="G39" s="786"/>
      <c r="H39" s="849"/>
      <c r="I39" s="894" t="str">
        <f t="shared" si="1"/>
        <v>2.9</v>
      </c>
      <c r="J39" s="894" t="str">
        <f t="shared" si="2"/>
        <v>Расходы на аренду имущества, используемого для осуществления регулируемых видов деятельности в сфере горячего водоснабжения</v>
      </c>
      <c r="K39" s="894">
        <f t="shared" si="3"/>
        <v>0</v>
      </c>
      <c r="L39" s="740" t="str">
        <f t="shared" si="4"/>
        <v>2.9</v>
      </c>
      <c r="M39" s="740" t="str">
        <f t="shared" si="5"/>
        <v>Расходы на аренду имущества, используемого для осуществления регулируемых видов деятельности в сфере горячего водоснабжения</v>
      </c>
      <c r="N39" s="740" t="str">
        <f t="shared" si="6"/>
        <v/>
      </c>
      <c r="O39" s="848" t="s">
        <v>748</v>
      </c>
      <c r="P39" s="848" t="s">
        <v>742</v>
      </c>
      <c r="Q39" s="848" t="s">
        <v>748</v>
      </c>
      <c r="R39" s="848" t="s">
        <v>742</v>
      </c>
      <c r="S39" s="848"/>
      <c r="T39" s="855" t="s">
        <v>2095</v>
      </c>
      <c r="U39" s="742" t="s">
        <v>2096</v>
      </c>
      <c r="V39" s="742" t="s">
        <v>2097</v>
      </c>
      <c r="W39" s="742" t="s">
        <v>2098</v>
      </c>
      <c r="X39" s="739"/>
      <c r="Y39" s="890"/>
      <c r="Z39" s="742"/>
      <c r="AA39" s="745"/>
      <c r="AB39" s="742"/>
      <c r="AC39" s="742"/>
      <c r="AD39" s="742"/>
    </row>
    <row r="40" spans="1:30" ht="18" customHeight="1">
      <c r="A40" s="741"/>
      <c r="B40" s="794">
        <v>23</v>
      </c>
      <c r="C40" s="739">
        <v>13</v>
      </c>
      <c r="D40" s="858"/>
      <c r="E40" s="739"/>
      <c r="F40" s="739"/>
      <c r="G40" s="739"/>
      <c r="H40" s="789"/>
      <c r="I40" s="894" t="str">
        <f t="shared" si="1"/>
        <v>2.10</v>
      </c>
      <c r="J40" s="894" t="str">
        <f t="shared" si="2"/>
        <v>Общепроизводственные расходы, в том числе:</v>
      </c>
      <c r="K40" s="894" t="str">
        <f t="shared" si="3"/>
        <v>Указывается общая сумма общепроизводственных расходов.</v>
      </c>
      <c r="L40" s="740" t="str">
        <f t="shared" si="4"/>
        <v>2.10</v>
      </c>
      <c r="M40" s="740" t="str">
        <f t="shared" si="5"/>
        <v>Общепроизводственные расходы, в том числе:</v>
      </c>
      <c r="N40" s="740" t="str">
        <f t="shared" si="6"/>
        <v>Указывается общая сумма общепроизводственных расходов.</v>
      </c>
      <c r="O40" s="848" t="s">
        <v>2099</v>
      </c>
      <c r="P40" s="848" t="s">
        <v>744</v>
      </c>
      <c r="Q40" s="848" t="s">
        <v>2099</v>
      </c>
      <c r="R40" s="848" t="s">
        <v>744</v>
      </c>
      <c r="S40" s="848"/>
      <c r="T40" s="739" t="s">
        <v>2100</v>
      </c>
      <c r="U40" s="739" t="s">
        <v>2100</v>
      </c>
      <c r="V40" s="739" t="s">
        <v>2100</v>
      </c>
      <c r="W40" s="739" t="s">
        <v>2100</v>
      </c>
      <c r="X40" s="739"/>
      <c r="Y40" s="890"/>
      <c r="Z40" s="742" t="s">
        <v>2101</v>
      </c>
      <c r="AA40" s="745" t="s">
        <v>2101</v>
      </c>
      <c r="AB40" s="745" t="s">
        <v>2101</v>
      </c>
      <c r="AC40" s="745" t="s">
        <v>2101</v>
      </c>
      <c r="AD40" s="742"/>
    </row>
    <row r="41" spans="1:30" ht="27" customHeight="1">
      <c r="A41" s="741"/>
      <c r="B41" s="794">
        <v>24</v>
      </c>
      <c r="C41" s="739" t="s">
        <v>2102</v>
      </c>
      <c r="D41" s="858"/>
      <c r="E41" s="739"/>
      <c r="F41" s="739"/>
      <c r="G41" s="739"/>
      <c r="H41" s="786"/>
      <c r="I41" s="894" t="str">
        <f t="shared" si="1"/>
        <v>2.10.1</v>
      </c>
      <c r="J41" s="894" t="str">
        <f t="shared" si="2"/>
        <v>Расходы на текущий ремонт</v>
      </c>
      <c r="K41" s="894" t="str">
        <f t="shared" si="3"/>
        <v>Указываются расходы на текущий ремонт, отнесенные к общепроизводственным расходам.</v>
      </c>
      <c r="L41" s="740" t="str">
        <f t="shared" si="4"/>
        <v>2.10.1</v>
      </c>
      <c r="M41" s="740" t="str">
        <f t="shared" si="5"/>
        <v>Расходы на текущий ремонт</v>
      </c>
      <c r="N41" s="740" t="str">
        <f t="shared" si="6"/>
        <v>Указываются расходы на текущий ремонт, отнесенные к общепроизводственным расходам.</v>
      </c>
      <c r="O41" s="848" t="s">
        <v>2103</v>
      </c>
      <c r="P41" s="848" t="s">
        <v>2090</v>
      </c>
      <c r="Q41" s="848" t="s">
        <v>2103</v>
      </c>
      <c r="R41" s="848" t="s">
        <v>2090</v>
      </c>
      <c r="S41" s="848"/>
      <c r="T41" s="739" t="s">
        <v>2104</v>
      </c>
      <c r="U41" s="739" t="s">
        <v>2104</v>
      </c>
      <c r="V41" s="739" t="s">
        <v>2104</v>
      </c>
      <c r="W41" s="739" t="s">
        <v>2104</v>
      </c>
      <c r="X41" s="739"/>
      <c r="Y41" s="890"/>
      <c r="Z41" s="742" t="s">
        <v>2105</v>
      </c>
      <c r="AA41" s="742" t="s">
        <v>2105</v>
      </c>
      <c r="AB41" s="742" t="s">
        <v>2105</v>
      </c>
      <c r="AC41" s="742" t="s">
        <v>2105</v>
      </c>
      <c r="AD41" s="742"/>
    </row>
    <row r="42" spans="1:30" ht="27" customHeight="1">
      <c r="A42" s="741"/>
      <c r="B42" s="794">
        <v>25</v>
      </c>
      <c r="C42" s="739" t="s">
        <v>2106</v>
      </c>
      <c r="D42" s="858"/>
      <c r="E42" s="739"/>
      <c r="F42" s="739"/>
      <c r="G42" s="739"/>
      <c r="H42" s="786"/>
      <c r="I42" s="894" t="str">
        <f t="shared" si="1"/>
        <v>2.10.2</v>
      </c>
      <c r="J42" s="894" t="str">
        <f t="shared" si="2"/>
        <v>Расходы на капитальный ремонт</v>
      </c>
      <c r="K42" s="894" t="str">
        <f t="shared" si="3"/>
        <v>Указываются расходы на капитальный ремонт, отнесенные к общепроизводственным расходам.</v>
      </c>
      <c r="L42" s="740" t="str">
        <f t="shared" si="4"/>
        <v>2.10.2</v>
      </c>
      <c r="M42" s="740" t="str">
        <f t="shared" si="5"/>
        <v>Расходы на капитальный ремонт</v>
      </c>
      <c r="N42" s="740" t="str">
        <f t="shared" si="6"/>
        <v>Указываются расходы на капитальный ремонт, отнесенные к общепроизводственным расходам.</v>
      </c>
      <c r="O42" s="848" t="s">
        <v>2107</v>
      </c>
      <c r="P42" s="848" t="s">
        <v>2093</v>
      </c>
      <c r="Q42" s="848" t="s">
        <v>2107</v>
      </c>
      <c r="R42" s="848" t="s">
        <v>2093</v>
      </c>
      <c r="S42" s="848"/>
      <c r="T42" s="739" t="s">
        <v>2108</v>
      </c>
      <c r="U42" s="739" t="s">
        <v>2108</v>
      </c>
      <c r="V42" s="739" t="s">
        <v>2108</v>
      </c>
      <c r="W42" s="739" t="s">
        <v>2108</v>
      </c>
      <c r="X42" s="739"/>
      <c r="Y42" s="890"/>
      <c r="Z42" s="742" t="s">
        <v>2109</v>
      </c>
      <c r="AA42" s="742" t="s">
        <v>2109</v>
      </c>
      <c r="AB42" s="742" t="s">
        <v>2109</v>
      </c>
      <c r="AC42" s="742" t="s">
        <v>2109</v>
      </c>
      <c r="AD42" s="742"/>
    </row>
    <row r="43" spans="1:30" ht="18" customHeight="1">
      <c r="A43" s="741"/>
      <c r="B43" s="794">
        <v>26</v>
      </c>
      <c r="C43" s="739">
        <v>14</v>
      </c>
      <c r="D43" s="858"/>
      <c r="E43" s="739"/>
      <c r="F43" s="739"/>
      <c r="G43" s="739"/>
      <c r="H43" s="786"/>
      <c r="I43" s="894" t="str">
        <f t="shared" si="1"/>
        <v>2.11</v>
      </c>
      <c r="J43" s="894" t="str">
        <f t="shared" si="2"/>
        <v>Общехозяйственные расходы, в том числе:</v>
      </c>
      <c r="K43" s="894" t="str">
        <f t="shared" si="3"/>
        <v>Указывается общая сумма общехозяйственных расходов.</v>
      </c>
      <c r="L43" s="740" t="str">
        <f t="shared" si="4"/>
        <v>2.11</v>
      </c>
      <c r="M43" s="740" t="str">
        <f t="shared" si="5"/>
        <v>Общехозяйственные расходы, в том числе:</v>
      </c>
      <c r="N43" s="740" t="str">
        <f t="shared" si="6"/>
        <v>Указывается общая сумма общехозяйственных расходов.</v>
      </c>
      <c r="O43" s="848" t="s">
        <v>2110</v>
      </c>
      <c r="P43" s="848" t="s">
        <v>748</v>
      </c>
      <c r="Q43" s="848" t="s">
        <v>2110</v>
      </c>
      <c r="R43" s="848" t="s">
        <v>748</v>
      </c>
      <c r="S43" s="848"/>
      <c r="T43" s="739" t="s">
        <v>2111</v>
      </c>
      <c r="U43" s="739" t="s">
        <v>2111</v>
      </c>
      <c r="V43" s="739" t="s">
        <v>2111</v>
      </c>
      <c r="W43" s="739" t="s">
        <v>2111</v>
      </c>
      <c r="X43" s="739"/>
      <c r="Y43" s="890"/>
      <c r="Z43" s="742" t="s">
        <v>2112</v>
      </c>
      <c r="AA43" s="742" t="s">
        <v>2112</v>
      </c>
      <c r="AB43" s="742" t="s">
        <v>2112</v>
      </c>
      <c r="AC43" s="742" t="s">
        <v>2112</v>
      </c>
      <c r="AD43" s="742"/>
    </row>
    <row r="44" spans="1:30" ht="27" customHeight="1">
      <c r="A44" s="741"/>
      <c r="B44" s="794">
        <v>27</v>
      </c>
      <c r="C44" s="739" t="s">
        <v>2113</v>
      </c>
      <c r="D44" s="858"/>
      <c r="E44" s="739"/>
      <c r="F44" s="739"/>
      <c r="G44" s="739"/>
      <c r="H44" s="786"/>
      <c r="I44" s="894" t="str">
        <f t="shared" si="1"/>
        <v>2.11.1</v>
      </c>
      <c r="J44" s="894" t="str">
        <f t="shared" si="2"/>
        <v>Расходы на текущий ремонт</v>
      </c>
      <c r="K44" s="894" t="str">
        <f t="shared" si="3"/>
        <v>Указываются расходы на текущий ремонт, отнесенные к общехозяйственным расходам.</v>
      </c>
      <c r="L44" s="740" t="str">
        <f t="shared" si="4"/>
        <v>2.11.1</v>
      </c>
      <c r="M44" s="740" t="str">
        <f t="shared" si="5"/>
        <v>Расходы на текущий ремонт</v>
      </c>
      <c r="N44" s="740" t="str">
        <f t="shared" si="6"/>
        <v>Указываются расходы на текущий ремонт, отнесенные к общехозяйственным расходам.</v>
      </c>
      <c r="O44" s="848" t="s">
        <v>2114</v>
      </c>
      <c r="P44" s="848" t="s">
        <v>2115</v>
      </c>
      <c r="Q44" s="848" t="s">
        <v>2114</v>
      </c>
      <c r="R44" s="848" t="s">
        <v>2115</v>
      </c>
      <c r="S44" s="848"/>
      <c r="T44" s="739" t="s">
        <v>2104</v>
      </c>
      <c r="U44" s="739" t="s">
        <v>2104</v>
      </c>
      <c r="V44" s="739" t="s">
        <v>2104</v>
      </c>
      <c r="W44" s="739" t="s">
        <v>2104</v>
      </c>
      <c r="X44" s="739"/>
      <c r="Y44" s="890"/>
      <c r="Z44" s="742" t="s">
        <v>2116</v>
      </c>
      <c r="AA44" s="742" t="s">
        <v>2116</v>
      </c>
      <c r="AB44" s="742" t="s">
        <v>2116</v>
      </c>
      <c r="AC44" s="742" t="s">
        <v>2116</v>
      </c>
      <c r="AD44" s="742"/>
    </row>
    <row r="45" spans="1:30" ht="27" customHeight="1">
      <c r="A45" s="741"/>
      <c r="B45" s="794">
        <v>28</v>
      </c>
      <c r="C45" s="739" t="s">
        <v>2117</v>
      </c>
      <c r="D45" s="858"/>
      <c r="E45" s="739"/>
      <c r="F45" s="739"/>
      <c r="G45" s="739"/>
      <c r="H45" s="786"/>
      <c r="I45" s="894" t="str">
        <f t="shared" si="1"/>
        <v>2.11.2</v>
      </c>
      <c r="J45" s="894" t="str">
        <f t="shared" si="2"/>
        <v>Расходы на капитальный ремонт</v>
      </c>
      <c r="K45" s="894" t="str">
        <f t="shared" si="3"/>
        <v>Указываются расходы на капитальный ремонт, отнесенные к общехозяйственным расходам.</v>
      </c>
      <c r="L45" s="740" t="str">
        <f t="shared" si="4"/>
        <v>2.11.2</v>
      </c>
      <c r="M45" s="740" t="str">
        <f t="shared" si="5"/>
        <v>Расходы на капитальный ремонт</v>
      </c>
      <c r="N45" s="740" t="str">
        <f t="shared" si="6"/>
        <v>Указываются расходы на капитальный ремонт, отнесенные к общехозяйственным расходам.</v>
      </c>
      <c r="O45" s="848" t="s">
        <v>2118</v>
      </c>
      <c r="P45" s="848" t="s">
        <v>2119</v>
      </c>
      <c r="Q45" s="848" t="s">
        <v>2118</v>
      </c>
      <c r="R45" s="848" t="s">
        <v>2119</v>
      </c>
      <c r="S45" s="848"/>
      <c r="T45" s="739" t="s">
        <v>2108</v>
      </c>
      <c r="U45" s="739" t="s">
        <v>2108</v>
      </c>
      <c r="V45" s="739" t="s">
        <v>2108</v>
      </c>
      <c r="W45" s="739" t="s">
        <v>2108</v>
      </c>
      <c r="X45" s="739"/>
      <c r="Y45" s="890"/>
      <c r="Z45" s="742" t="s">
        <v>2120</v>
      </c>
      <c r="AA45" s="742" t="s">
        <v>2120</v>
      </c>
      <c r="AB45" s="742" t="s">
        <v>2120</v>
      </c>
      <c r="AC45" s="742" t="s">
        <v>2120</v>
      </c>
      <c r="AD45" s="742"/>
    </row>
    <row r="46" spans="1:30" ht="54" customHeight="1">
      <c r="A46" s="741"/>
      <c r="B46" s="794">
        <v>29</v>
      </c>
      <c r="C46" s="739">
        <v>15</v>
      </c>
      <c r="D46" s="858"/>
      <c r="E46" s="739"/>
      <c r="F46" s="739"/>
      <c r="G46" s="739"/>
      <c r="H46" s="786"/>
      <c r="I46" s="894" t="str">
        <f t="shared" si="1"/>
        <v>2.12</v>
      </c>
      <c r="J46" s="894" t="str">
        <f t="shared" si="2"/>
        <v>Расходы на капитальный и текущий ремонт основных средств</v>
      </c>
      <c r="K46" s="8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40" t="str">
        <f t="shared" si="4"/>
        <v>2.12</v>
      </c>
      <c r="M46" s="740" t="str">
        <f t="shared" si="5"/>
        <v>Расходы на капитальный и текущий ремонт основных средств</v>
      </c>
      <c r="N46" s="74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48" t="s">
        <v>2121</v>
      </c>
      <c r="P46" s="848" t="s">
        <v>2099</v>
      </c>
      <c r="Q46" s="848" t="s">
        <v>2121</v>
      </c>
      <c r="R46" s="848" t="s">
        <v>2099</v>
      </c>
      <c r="S46" s="848"/>
      <c r="T46" s="739" t="s">
        <v>2122</v>
      </c>
      <c r="U46" s="739" t="s">
        <v>2122</v>
      </c>
      <c r="V46" s="739" t="s">
        <v>2122</v>
      </c>
      <c r="W46" s="739" t="s">
        <v>2122</v>
      </c>
      <c r="X46" s="739"/>
      <c r="Y46" s="890"/>
      <c r="Z46" s="742" t="s">
        <v>2123</v>
      </c>
      <c r="AA46" s="742" t="s">
        <v>2124</v>
      </c>
      <c r="AB46" s="742" t="s">
        <v>2124</v>
      </c>
      <c r="AC46" s="742" t="s">
        <v>2124</v>
      </c>
      <c r="AD46" s="742"/>
    </row>
    <row r="47" spans="1:30" ht="54" customHeight="1">
      <c r="A47" s="741"/>
      <c r="B47" s="794">
        <v>30</v>
      </c>
      <c r="C47" s="739" t="s">
        <v>2125</v>
      </c>
      <c r="D47" s="858"/>
      <c r="E47" s="739"/>
      <c r="F47" s="739"/>
      <c r="G47" s="739"/>
      <c r="H47" s="786"/>
      <c r="I47" s="894" t="str">
        <f t="shared" si="1"/>
        <v>2.12.1</v>
      </c>
      <c r="J47" s="8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94">
        <f t="shared" si="3"/>
        <v>0</v>
      </c>
      <c r="L47" s="740" t="str">
        <f t="shared" si="4"/>
        <v>2.12.1</v>
      </c>
      <c r="M47" s="74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40" t="str">
        <f t="shared" si="6"/>
        <v/>
      </c>
      <c r="O47" s="848" t="s">
        <v>2126</v>
      </c>
      <c r="P47" s="848" t="s">
        <v>2103</v>
      </c>
      <c r="Q47" s="848" t="s">
        <v>2126</v>
      </c>
      <c r="R47" s="848" t="s">
        <v>2103</v>
      </c>
      <c r="S47" s="848"/>
      <c r="T47" s="739" t="s">
        <v>2127</v>
      </c>
      <c r="U47" s="739" t="s">
        <v>2127</v>
      </c>
      <c r="V47" s="739" t="s">
        <v>2127</v>
      </c>
      <c r="W47" s="739" t="s">
        <v>2127</v>
      </c>
      <c r="X47" s="739"/>
      <c r="Y47" s="890"/>
      <c r="Z47" s="742"/>
      <c r="AA47" s="745"/>
      <c r="AB47" s="745"/>
      <c r="AC47" s="745"/>
      <c r="AD47" s="742"/>
    </row>
    <row r="48" spans="1:30" ht="54" customHeight="1">
      <c r="A48" s="741"/>
      <c r="B48" s="794">
        <v>31</v>
      </c>
      <c r="C48" s="739">
        <v>16</v>
      </c>
      <c r="D48" s="858"/>
      <c r="E48" s="739"/>
      <c r="F48" s="739"/>
      <c r="G48" s="739"/>
      <c r="H48" s="786"/>
      <c r="I48" s="894" t="str">
        <f t="shared" si="1"/>
        <v>2.13</v>
      </c>
      <c r="J48" s="89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89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40" t="str">
        <f t="shared" si="4"/>
        <v>2.13</v>
      </c>
      <c r="M48" s="74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4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48"/>
      <c r="P48" s="848" t="s">
        <v>2110</v>
      </c>
      <c r="Q48" s="848" t="s">
        <v>2128</v>
      </c>
      <c r="R48" s="848" t="s">
        <v>2110</v>
      </c>
      <c r="S48" s="848"/>
      <c r="T48" s="739"/>
      <c r="U48" s="739" t="s">
        <v>2129</v>
      </c>
      <c r="V48" s="739" t="s">
        <v>2130</v>
      </c>
      <c r="W48" s="739" t="s">
        <v>2130</v>
      </c>
      <c r="X48" s="739"/>
      <c r="Y48" s="890"/>
      <c r="Z48" s="742"/>
      <c r="AA48" s="745" t="s">
        <v>2124</v>
      </c>
      <c r="AB48" s="745" t="s">
        <v>2124</v>
      </c>
      <c r="AC48" s="745" t="s">
        <v>2124</v>
      </c>
      <c r="AD48" s="742"/>
    </row>
    <row r="49" spans="1:30" ht="54" customHeight="1">
      <c r="A49" s="741"/>
      <c r="B49" s="794">
        <v>32</v>
      </c>
      <c r="C49" s="739" t="s">
        <v>2131</v>
      </c>
      <c r="D49" s="858"/>
      <c r="E49" s="739"/>
      <c r="F49" s="739"/>
      <c r="G49" s="739"/>
      <c r="H49" s="786"/>
      <c r="I49" s="894" t="str">
        <f t="shared" si="1"/>
        <v>2.13.1</v>
      </c>
      <c r="J49" s="89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94">
        <f t="shared" si="3"/>
        <v>0</v>
      </c>
      <c r="L49" s="740" t="str">
        <f t="shared" si="4"/>
        <v>2.13.1</v>
      </c>
      <c r="M49" s="74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40" t="str">
        <f t="shared" si="6"/>
        <v/>
      </c>
      <c r="O49" s="848"/>
      <c r="P49" s="848" t="s">
        <v>2114</v>
      </c>
      <c r="Q49" s="848" t="s">
        <v>2132</v>
      </c>
      <c r="R49" s="848" t="s">
        <v>2114</v>
      </c>
      <c r="S49" s="848"/>
      <c r="T49" s="739"/>
      <c r="U49" s="739" t="s">
        <v>2127</v>
      </c>
      <c r="V49" s="739" t="s">
        <v>2127</v>
      </c>
      <c r="W49" s="739" t="s">
        <v>2127</v>
      </c>
      <c r="X49" s="739"/>
      <c r="Y49" s="890"/>
      <c r="Z49" s="742"/>
      <c r="AA49" s="745"/>
      <c r="AB49" s="745"/>
      <c r="AC49" s="745"/>
      <c r="AD49" s="742"/>
    </row>
    <row r="50" spans="1:30" ht="126" customHeight="1">
      <c r="A50" s="741"/>
      <c r="B50" s="794">
        <v>33</v>
      </c>
      <c r="C50" s="739">
        <v>17</v>
      </c>
      <c r="D50" s="858"/>
      <c r="E50" s="739"/>
      <c r="F50" s="739"/>
      <c r="G50" s="739"/>
      <c r="H50" s="786"/>
      <c r="I50" s="894" t="str">
        <f t="shared" ref="I50:I81" si="7">INDEX(TEMPLATE_NUMBER_POINT_FHD,B50,MATCH(TEMPLATE_SPHERE,TEMPLATE_SPHERE_LIST_FOR_NOTE,0))</f>
        <v>2.14</v>
      </c>
      <c r="J50" s="894"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89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40" t="str">
        <f t="shared" ref="L50:L81" si="10">IF(I50=0,"",I50)</f>
        <v>2.14</v>
      </c>
      <c r="M50" s="740"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4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48" t="s">
        <v>2128</v>
      </c>
      <c r="P50" s="848" t="s">
        <v>2121</v>
      </c>
      <c r="Q50" s="848" t="s">
        <v>2133</v>
      </c>
      <c r="R50" s="848" t="s">
        <v>2121</v>
      </c>
      <c r="S50" s="848"/>
      <c r="T50" s="739" t="s">
        <v>2134</v>
      </c>
      <c r="U50" s="739" t="s">
        <v>2135</v>
      </c>
      <c r="V50" s="739" t="s">
        <v>2136</v>
      </c>
      <c r="W50" s="739" t="s">
        <v>2137</v>
      </c>
      <c r="X50" s="739"/>
      <c r="Y50" s="890"/>
      <c r="Z50" s="742" t="s">
        <v>2138</v>
      </c>
      <c r="AA50" s="745" t="s">
        <v>2139</v>
      </c>
      <c r="AB50" s="745" t="s">
        <v>2139</v>
      </c>
      <c r="AC50" s="745" t="s">
        <v>2139</v>
      </c>
      <c r="AD50" s="742"/>
    </row>
    <row r="51" spans="1:30" ht="27" customHeight="1">
      <c r="A51" s="741"/>
      <c r="B51" s="794">
        <v>34</v>
      </c>
      <c r="C51" s="739" t="s">
        <v>2140</v>
      </c>
      <c r="D51" s="858"/>
      <c r="E51" s="739"/>
      <c r="F51" s="739"/>
      <c r="G51" s="739"/>
      <c r="H51" s="786"/>
      <c r="I51" s="894">
        <f t="shared" si="7"/>
        <v>0</v>
      </c>
      <c r="J51" s="894">
        <f t="shared" si="8"/>
        <v>0</v>
      </c>
      <c r="K51" s="894">
        <f t="shared" si="9"/>
        <v>0</v>
      </c>
      <c r="L51" s="740" t="str">
        <f t="shared" si="10"/>
        <v/>
      </c>
      <c r="M51" s="740" t="str">
        <f t="shared" si="11"/>
        <v/>
      </c>
      <c r="N51" s="740" t="str">
        <f t="shared" si="12"/>
        <v/>
      </c>
      <c r="O51" s="848" t="s">
        <v>87</v>
      </c>
      <c r="P51" s="848"/>
      <c r="Q51" s="848"/>
      <c r="R51" s="848"/>
      <c r="S51" s="848"/>
      <c r="T51" s="739" t="s">
        <v>2141</v>
      </c>
      <c r="U51" s="739"/>
      <c r="V51" s="739"/>
      <c r="W51" s="739"/>
      <c r="X51" s="739"/>
      <c r="Y51" s="890"/>
      <c r="Z51" s="742"/>
      <c r="AA51" s="745"/>
      <c r="AB51" s="745"/>
      <c r="AC51" s="745"/>
      <c r="AD51" s="742"/>
    </row>
    <row r="52" spans="1:30" ht="36" customHeight="1">
      <c r="A52" s="741"/>
      <c r="B52" s="794">
        <v>35</v>
      </c>
      <c r="C52" s="739" t="s">
        <v>2033</v>
      </c>
      <c r="D52" s="858" t="s">
        <v>2033</v>
      </c>
      <c r="E52" s="739" t="s">
        <v>2033</v>
      </c>
      <c r="F52" s="739" t="s">
        <v>2033</v>
      </c>
      <c r="G52" s="739"/>
      <c r="H52" s="786"/>
      <c r="I52" s="894" t="str">
        <f t="shared" si="7"/>
        <v>3</v>
      </c>
      <c r="J52" s="894" t="str">
        <f t="shared" si="8"/>
        <v>Чистая прибыль, полученная от регулируемого вида деятельности в сфере горячего водоснабжения, в том числе:</v>
      </c>
      <c r="K52" s="894" t="str">
        <f t="shared" si="9"/>
        <v>Указывается общая сумма чистой прибыли, полученной от регулируемого вида деятельности.</v>
      </c>
      <c r="L52" s="740" t="str">
        <f t="shared" si="10"/>
        <v>3</v>
      </c>
      <c r="M52" s="740" t="str">
        <f t="shared" si="11"/>
        <v>Чистая прибыль, полученная от регулируемого вида деятельности в сфере горячего водоснабжения, в том числе:</v>
      </c>
      <c r="N52" s="740" t="str">
        <f t="shared" si="12"/>
        <v>Указывается общая сумма чистой прибыли, полученной от регулируемого вида деятельности.</v>
      </c>
      <c r="O52" s="848" t="s">
        <v>88</v>
      </c>
      <c r="P52" s="848" t="s">
        <v>87</v>
      </c>
      <c r="Q52" s="848" t="s">
        <v>87</v>
      </c>
      <c r="R52" s="848" t="s">
        <v>87</v>
      </c>
      <c r="S52" s="848"/>
      <c r="T52" s="739" t="s">
        <v>2142</v>
      </c>
      <c r="U52" s="739" t="s">
        <v>2143</v>
      </c>
      <c r="V52" s="739" t="s">
        <v>2144</v>
      </c>
      <c r="W52" s="739" t="s">
        <v>2145</v>
      </c>
      <c r="X52" s="739"/>
      <c r="Y52" s="890"/>
      <c r="Z52" s="742" t="s">
        <v>752</v>
      </c>
      <c r="AA52" s="745" t="s">
        <v>752</v>
      </c>
      <c r="AB52" s="745" t="s">
        <v>752</v>
      </c>
      <c r="AC52" s="745" t="s">
        <v>752</v>
      </c>
      <c r="AD52" s="742"/>
    </row>
    <row r="53" spans="1:30" ht="36" customHeight="1">
      <c r="A53" s="741"/>
      <c r="B53" s="794">
        <v>36</v>
      </c>
      <c r="C53" s="739">
        <v>1</v>
      </c>
      <c r="D53" s="858"/>
      <c r="E53" s="739"/>
      <c r="F53" s="739"/>
      <c r="G53" s="739"/>
      <c r="H53" s="786"/>
      <c r="I53" s="894" t="str">
        <f t="shared" si="7"/>
        <v>3.1</v>
      </c>
      <c r="J53" s="89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94">
        <f t="shared" si="9"/>
        <v>0</v>
      </c>
      <c r="L53" s="740" t="str">
        <f t="shared" si="10"/>
        <v>3.1</v>
      </c>
      <c r="M53" s="74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40" t="str">
        <f t="shared" si="12"/>
        <v/>
      </c>
      <c r="O53" s="848" t="s">
        <v>756</v>
      </c>
      <c r="P53" s="848" t="s">
        <v>402</v>
      </c>
      <c r="Q53" s="848" t="s">
        <v>402</v>
      </c>
      <c r="R53" s="848" t="s">
        <v>402</v>
      </c>
      <c r="S53" s="848"/>
      <c r="T53" s="739" t="s">
        <v>2146</v>
      </c>
      <c r="U53" s="739" t="s">
        <v>2146</v>
      </c>
      <c r="V53" s="739" t="s">
        <v>2146</v>
      </c>
      <c r="W53" s="739" t="s">
        <v>2146</v>
      </c>
      <c r="X53" s="739"/>
      <c r="Y53" s="890"/>
      <c r="Z53" s="742"/>
      <c r="AA53" s="745"/>
      <c r="AB53" s="742"/>
      <c r="AC53" s="742"/>
      <c r="AD53" s="742"/>
    </row>
    <row r="54" spans="1:30" ht="18" customHeight="1">
      <c r="A54" s="741"/>
      <c r="B54" s="794">
        <v>37</v>
      </c>
      <c r="C54" s="739" t="s">
        <v>2039</v>
      </c>
      <c r="D54" s="858" t="s">
        <v>2039</v>
      </c>
      <c r="E54" s="739" t="s">
        <v>2039</v>
      </c>
      <c r="F54" s="739" t="s">
        <v>2039</v>
      </c>
      <c r="G54" s="739"/>
      <c r="H54" s="786"/>
      <c r="I54" s="894" t="str">
        <f t="shared" si="7"/>
        <v>4</v>
      </c>
      <c r="J54" s="894" t="str">
        <f t="shared" si="8"/>
        <v>Изменение стоимости основных фондов, в том числе:</v>
      </c>
      <c r="K54" s="894" t="str">
        <f t="shared" si="9"/>
        <v>Указывается общее изменение стоимости основных фондов.</v>
      </c>
      <c r="L54" s="740" t="str">
        <f t="shared" si="10"/>
        <v>4</v>
      </c>
      <c r="M54" s="740" t="str">
        <f t="shared" si="11"/>
        <v>Изменение стоимости основных фондов, в том числе:</v>
      </c>
      <c r="N54" s="740" t="str">
        <f t="shared" si="12"/>
        <v>Указывается общее изменение стоимости основных фондов.</v>
      </c>
      <c r="O54" s="848" t="s">
        <v>114</v>
      </c>
      <c r="P54" s="848" t="s">
        <v>88</v>
      </c>
      <c r="Q54" s="848" t="s">
        <v>88</v>
      </c>
      <c r="R54" s="848" t="s">
        <v>88</v>
      </c>
      <c r="S54" s="848"/>
      <c r="T54" s="739" t="s">
        <v>754</v>
      </c>
      <c r="U54" s="739" t="s">
        <v>754</v>
      </c>
      <c r="V54" s="739" t="s">
        <v>754</v>
      </c>
      <c r="W54" s="739" t="s">
        <v>754</v>
      </c>
      <c r="X54" s="739"/>
      <c r="Y54" s="890"/>
      <c r="Z54" s="742" t="s">
        <v>755</v>
      </c>
      <c r="AA54" s="742" t="s">
        <v>755</v>
      </c>
      <c r="AB54" s="742" t="s">
        <v>755</v>
      </c>
      <c r="AC54" s="742" t="s">
        <v>755</v>
      </c>
      <c r="AD54" s="742"/>
    </row>
    <row r="55" spans="1:30" ht="36" customHeight="1">
      <c r="A55" s="741"/>
      <c r="B55" s="794">
        <v>38</v>
      </c>
      <c r="C55" s="739">
        <v>1</v>
      </c>
      <c r="D55" s="858"/>
      <c r="E55" s="739"/>
      <c r="F55" s="739"/>
      <c r="G55" s="739"/>
      <c r="H55" s="786"/>
      <c r="I55" s="894" t="str">
        <f t="shared" si="7"/>
        <v>4.1</v>
      </c>
      <c r="J55" s="894" t="str">
        <f t="shared" si="8"/>
        <v>Изменение стоимости основных фондов за счет их ввода в эксплуатацию (вывода из эксплуатации)</v>
      </c>
      <c r="K55" s="894" t="str">
        <f t="shared" si="9"/>
        <v>Указываются общее изменение стоимости основных фондов за счет их ввода в эксплуатацию и вывода из эксплуатации.</v>
      </c>
      <c r="L55" s="740" t="str">
        <f t="shared" si="10"/>
        <v>4.1</v>
      </c>
      <c r="M55" s="740" t="str">
        <f t="shared" si="11"/>
        <v>Изменение стоимости основных фондов за счет их ввода в эксплуатацию (вывода из эксплуатации)</v>
      </c>
      <c r="N55" s="740" t="str">
        <f t="shared" si="12"/>
        <v>Указываются общее изменение стоимости основных фондов за счет их ввода в эксплуатацию и вывода из эксплуатации.</v>
      </c>
      <c r="O55" s="848" t="s">
        <v>391</v>
      </c>
      <c r="P55" s="848" t="s">
        <v>756</v>
      </c>
      <c r="Q55" s="848" t="s">
        <v>756</v>
      </c>
      <c r="R55" s="848" t="s">
        <v>756</v>
      </c>
      <c r="S55" s="848"/>
      <c r="T55" s="739" t="s">
        <v>2147</v>
      </c>
      <c r="U55" s="739" t="s">
        <v>2148</v>
      </c>
      <c r="V55" s="739" t="s">
        <v>2148</v>
      </c>
      <c r="W55" s="739" t="s">
        <v>2148</v>
      </c>
      <c r="X55" s="739"/>
      <c r="Y55" s="890"/>
      <c r="Z55" s="742" t="s">
        <v>2149</v>
      </c>
      <c r="AA55" s="742" t="s">
        <v>2149</v>
      </c>
      <c r="AB55" s="742" t="s">
        <v>2149</v>
      </c>
      <c r="AC55" s="742" t="s">
        <v>2149</v>
      </c>
      <c r="AD55" s="742"/>
    </row>
    <row r="56" spans="1:30" ht="27" customHeight="1">
      <c r="A56" s="741"/>
      <c r="B56" s="794">
        <v>39</v>
      </c>
      <c r="C56" s="739" t="s">
        <v>1028</v>
      </c>
      <c r="D56" s="858"/>
      <c r="E56" s="739"/>
      <c r="F56" s="739"/>
      <c r="G56" s="739"/>
      <c r="H56" s="786"/>
      <c r="I56" s="894" t="str">
        <f t="shared" si="7"/>
        <v>4.1.1</v>
      </c>
      <c r="J56" s="894" t="str">
        <f t="shared" si="8"/>
        <v>Изменение стоимости основных фондов за счет их ввода в эксплуатацию</v>
      </c>
      <c r="K56" s="894" t="str">
        <f t="shared" si="9"/>
        <v>Указываются изменение стоимости основных фондов за счет их ввода в эксплуатацию.</v>
      </c>
      <c r="L56" s="740" t="str">
        <f t="shared" si="10"/>
        <v>4.1.1</v>
      </c>
      <c r="M56" s="740" t="str">
        <f t="shared" si="11"/>
        <v>Изменение стоимости основных фондов за счет их ввода в эксплуатацию</v>
      </c>
      <c r="N56" s="740" t="str">
        <f t="shared" si="12"/>
        <v>Указываются изменение стоимости основных фондов за счет их ввода в эксплуатацию.</v>
      </c>
      <c r="O56" s="848" t="s">
        <v>1145</v>
      </c>
      <c r="P56" s="848" t="s">
        <v>759</v>
      </c>
      <c r="Q56" s="848" t="s">
        <v>759</v>
      </c>
      <c r="R56" s="848" t="s">
        <v>759</v>
      </c>
      <c r="S56" s="848"/>
      <c r="T56" s="739" t="s">
        <v>2150</v>
      </c>
      <c r="U56" s="739" t="s">
        <v>2151</v>
      </c>
      <c r="V56" s="739" t="s">
        <v>2151</v>
      </c>
      <c r="W56" s="739" t="s">
        <v>2151</v>
      </c>
      <c r="X56" s="739"/>
      <c r="Y56" s="890"/>
      <c r="Z56" s="742" t="s">
        <v>761</v>
      </c>
      <c r="AA56" s="742" t="s">
        <v>761</v>
      </c>
      <c r="AB56" s="742" t="s">
        <v>761</v>
      </c>
      <c r="AC56" s="742" t="s">
        <v>761</v>
      </c>
      <c r="AD56" s="742"/>
    </row>
    <row r="57" spans="1:30" ht="27" customHeight="1">
      <c r="A57" s="741"/>
      <c r="B57" s="794">
        <v>40</v>
      </c>
      <c r="C57" s="739" t="s">
        <v>1030</v>
      </c>
      <c r="D57" s="858"/>
      <c r="E57" s="739"/>
      <c r="F57" s="739"/>
      <c r="G57" s="739"/>
      <c r="H57" s="786"/>
      <c r="I57" s="894" t="str">
        <f t="shared" si="7"/>
        <v>4.1.2</v>
      </c>
      <c r="J57" s="894" t="str">
        <f t="shared" si="8"/>
        <v>Изменение стоимости основных фондов за счет их вывода в эксплуатацию</v>
      </c>
      <c r="K57" s="894" t="str">
        <f t="shared" si="9"/>
        <v>Указываются изменение стоимости основных фондов за счет их вывода из эксплуатации.</v>
      </c>
      <c r="L57" s="740" t="str">
        <f t="shared" si="10"/>
        <v>4.1.2</v>
      </c>
      <c r="M57" s="740" t="str">
        <f t="shared" si="11"/>
        <v>Изменение стоимости основных фондов за счет их вывода в эксплуатацию</v>
      </c>
      <c r="N57" s="740" t="str">
        <f t="shared" si="12"/>
        <v>Указываются изменение стоимости основных фондов за счет их вывода из эксплуатации.</v>
      </c>
      <c r="O57" s="848" t="s">
        <v>2152</v>
      </c>
      <c r="P57" s="848" t="s">
        <v>762</v>
      </c>
      <c r="Q57" s="848" t="s">
        <v>762</v>
      </c>
      <c r="R57" s="848" t="s">
        <v>762</v>
      </c>
      <c r="S57" s="848"/>
      <c r="T57" s="739" t="s">
        <v>2153</v>
      </c>
      <c r="U57" s="739" t="s">
        <v>2154</v>
      </c>
      <c r="V57" s="739" t="s">
        <v>2154</v>
      </c>
      <c r="W57" s="739" t="s">
        <v>2154</v>
      </c>
      <c r="X57" s="739"/>
      <c r="Y57" s="890"/>
      <c r="Z57" s="742" t="s">
        <v>764</v>
      </c>
      <c r="AA57" s="742" t="s">
        <v>764</v>
      </c>
      <c r="AB57" s="742" t="s">
        <v>764</v>
      </c>
      <c r="AC57" s="742" t="s">
        <v>764</v>
      </c>
      <c r="AD57" s="742"/>
    </row>
    <row r="58" spans="1:30" ht="18" customHeight="1">
      <c r="A58" s="741"/>
      <c r="B58" s="794">
        <v>41</v>
      </c>
      <c r="C58" s="739">
        <v>2</v>
      </c>
      <c r="D58" s="858"/>
      <c r="E58" s="739"/>
      <c r="F58" s="739"/>
      <c r="G58" s="739"/>
      <c r="H58" s="786"/>
      <c r="I58" s="894" t="str">
        <f t="shared" si="7"/>
        <v>4.2</v>
      </c>
      <c r="J58" s="894" t="str">
        <f t="shared" si="8"/>
        <v>Изменение стоимости основных фондов за счет их переоценки</v>
      </c>
      <c r="K58" s="894">
        <f t="shared" si="9"/>
        <v>0</v>
      </c>
      <c r="L58" s="740" t="str">
        <f t="shared" si="10"/>
        <v>4.2</v>
      </c>
      <c r="M58" s="740" t="str">
        <f t="shared" si="11"/>
        <v>Изменение стоимости основных фондов за счет их переоценки</v>
      </c>
      <c r="N58" s="740" t="str">
        <f t="shared" si="12"/>
        <v/>
      </c>
      <c r="O58" s="848" t="s">
        <v>885</v>
      </c>
      <c r="P58" s="848" t="s">
        <v>799</v>
      </c>
      <c r="Q58" s="848" t="s">
        <v>799</v>
      </c>
      <c r="R58" s="848" t="s">
        <v>799</v>
      </c>
      <c r="S58" s="848"/>
      <c r="T58" s="739" t="s">
        <v>2155</v>
      </c>
      <c r="U58" s="739" t="s">
        <v>2155</v>
      </c>
      <c r="V58" s="739" t="s">
        <v>2155</v>
      </c>
      <c r="W58" s="739" t="s">
        <v>2155</v>
      </c>
      <c r="X58" s="739"/>
      <c r="Y58" s="890"/>
      <c r="Z58" s="742"/>
      <c r="AA58" s="745"/>
      <c r="AB58" s="742"/>
      <c r="AC58" s="742"/>
      <c r="AD58" s="742"/>
    </row>
    <row r="59" spans="1:30" ht="36" customHeight="1">
      <c r="A59" s="741"/>
      <c r="B59" s="794">
        <v>42</v>
      </c>
      <c r="C59" s="739">
        <v>3</v>
      </c>
      <c r="D59" s="858" t="s">
        <v>2140</v>
      </c>
      <c r="E59" s="739" t="s">
        <v>2140</v>
      </c>
      <c r="F59" s="739" t="s">
        <v>2140</v>
      </c>
      <c r="G59" s="739"/>
      <c r="H59" s="786"/>
      <c r="I59" s="894" t="str">
        <f t="shared" si="7"/>
        <v>5</v>
      </c>
      <c r="J59" s="894" t="str">
        <f t="shared" si="8"/>
        <v>Валовая прибыль (убытки) от продажи товаров и услуг по регулируемым видам деятельности в сфере горячего водоснабжения</v>
      </c>
      <c r="K59" s="894">
        <f t="shared" si="9"/>
        <v>0</v>
      </c>
      <c r="L59" s="740" t="str">
        <f t="shared" si="10"/>
        <v>5</v>
      </c>
      <c r="M59" s="740" t="str">
        <f t="shared" si="11"/>
        <v>Валовая прибыль (убытки) от продажи товаров и услуг по регулируемым видам деятельности в сфере горячего водоснабжения</v>
      </c>
      <c r="N59" s="740" t="str">
        <f t="shared" si="12"/>
        <v/>
      </c>
      <c r="O59" s="848"/>
      <c r="P59" s="848" t="s">
        <v>114</v>
      </c>
      <c r="Q59" s="848" t="s">
        <v>114</v>
      </c>
      <c r="R59" s="848" t="s">
        <v>114</v>
      </c>
      <c r="S59" s="848"/>
      <c r="T59" s="739"/>
      <c r="U59" s="739" t="s">
        <v>2156</v>
      </c>
      <c r="V59" s="739" t="s">
        <v>2157</v>
      </c>
      <c r="W59" s="739" t="s">
        <v>2158</v>
      </c>
      <c r="X59" s="739"/>
      <c r="Y59" s="890"/>
      <c r="Z59" s="742"/>
      <c r="AA59" s="745"/>
      <c r="AB59" s="742"/>
      <c r="AC59" s="742"/>
      <c r="AD59" s="742"/>
    </row>
    <row r="60" spans="1:30" ht="81" customHeight="1">
      <c r="A60" s="741"/>
      <c r="B60" s="794">
        <v>43</v>
      </c>
      <c r="C60" s="739" t="s">
        <v>2159</v>
      </c>
      <c r="D60" s="858" t="s">
        <v>2159</v>
      </c>
      <c r="E60" s="739" t="s">
        <v>2159</v>
      </c>
      <c r="F60" s="739" t="s">
        <v>2159</v>
      </c>
      <c r="G60" s="739"/>
      <c r="H60" s="786"/>
      <c r="I60" s="894" t="str">
        <f t="shared" si="7"/>
        <v>6</v>
      </c>
      <c r="J60" s="894" t="str">
        <f t="shared" si="8"/>
        <v>Годовая бухгалтерская (финансовая) отчетность, включая бухгалтерский баланс и приложения к нему</v>
      </c>
      <c r="K60" s="89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40" t="str">
        <f t="shared" si="10"/>
        <v>6</v>
      </c>
      <c r="M60" s="740" t="str">
        <f t="shared" si="11"/>
        <v>Годовая бухгалтерская (финансовая) отчетность, включая бухгалтерский баланс и приложения к нему</v>
      </c>
      <c r="N60" s="74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48" t="s">
        <v>89</v>
      </c>
      <c r="P60" s="848" t="s">
        <v>89</v>
      </c>
      <c r="Q60" s="848" t="s">
        <v>89</v>
      </c>
      <c r="R60" s="848" t="s">
        <v>89</v>
      </c>
      <c r="S60" s="848"/>
      <c r="T60" s="739" t="s">
        <v>768</v>
      </c>
      <c r="U60" s="739" t="s">
        <v>768</v>
      </c>
      <c r="V60" s="739" t="s">
        <v>768</v>
      </c>
      <c r="W60" s="739" t="s">
        <v>768</v>
      </c>
      <c r="X60" s="739"/>
      <c r="Y60" s="890"/>
      <c r="Z60" s="742" t="s">
        <v>2160</v>
      </c>
      <c r="AA60" s="745" t="s">
        <v>2161</v>
      </c>
      <c r="AB60" s="742" t="s">
        <v>2162</v>
      </c>
      <c r="AC60" s="742" t="s">
        <v>2161</v>
      </c>
      <c r="AD60" s="742"/>
    </row>
    <row r="61" spans="1:30" ht="9" customHeight="1">
      <c r="A61" s="741"/>
      <c r="B61" s="794">
        <v>44</v>
      </c>
      <c r="C61" s="739"/>
      <c r="D61" s="858" t="s">
        <v>2163</v>
      </c>
      <c r="E61" s="739"/>
      <c r="F61" s="739"/>
      <c r="G61" s="739"/>
      <c r="H61" s="786"/>
      <c r="I61" s="894">
        <f t="shared" si="7"/>
        <v>0</v>
      </c>
      <c r="J61" s="894">
        <f t="shared" si="8"/>
        <v>0</v>
      </c>
      <c r="K61" s="894">
        <f t="shared" si="9"/>
        <v>0</v>
      </c>
      <c r="L61" s="740" t="str">
        <f t="shared" si="10"/>
        <v/>
      </c>
      <c r="M61" s="740" t="str">
        <f t="shared" si="11"/>
        <v/>
      </c>
      <c r="N61" s="740" t="str">
        <f t="shared" si="12"/>
        <v/>
      </c>
      <c r="O61" s="848"/>
      <c r="P61" s="848" t="s">
        <v>90</v>
      </c>
      <c r="Q61" s="848"/>
      <c r="R61" s="848"/>
      <c r="S61" s="848"/>
      <c r="T61" s="739"/>
      <c r="U61" s="739" t="s">
        <v>2164</v>
      </c>
      <c r="V61" s="739"/>
      <c r="W61" s="739"/>
      <c r="X61" s="739"/>
      <c r="Y61" s="890"/>
      <c r="Z61" s="742"/>
      <c r="AA61" s="745"/>
      <c r="AB61" s="742"/>
      <c r="AC61" s="742"/>
      <c r="AD61" s="742"/>
    </row>
    <row r="62" spans="1:30" ht="9" customHeight="1">
      <c r="A62" s="741"/>
      <c r="B62" s="794">
        <v>45</v>
      </c>
      <c r="C62" s="739"/>
      <c r="D62" s="858" t="s">
        <v>2165</v>
      </c>
      <c r="E62" s="739"/>
      <c r="F62" s="739"/>
      <c r="G62" s="739"/>
      <c r="H62" s="786"/>
      <c r="I62" s="894">
        <f t="shared" si="7"/>
        <v>0</v>
      </c>
      <c r="J62" s="894">
        <f t="shared" si="8"/>
        <v>0</v>
      </c>
      <c r="K62" s="894">
        <f t="shared" si="9"/>
        <v>0</v>
      </c>
      <c r="L62" s="740" t="str">
        <f t="shared" si="10"/>
        <v/>
      </c>
      <c r="M62" s="740" t="str">
        <f t="shared" si="11"/>
        <v/>
      </c>
      <c r="N62" s="740" t="str">
        <f t="shared" si="12"/>
        <v/>
      </c>
      <c r="O62" s="848"/>
      <c r="P62" s="848" t="s">
        <v>130</v>
      </c>
      <c r="Q62" s="848"/>
      <c r="R62" s="848"/>
      <c r="S62" s="848"/>
      <c r="T62" s="739"/>
      <c r="U62" s="739" t="s">
        <v>2166</v>
      </c>
      <c r="V62" s="739"/>
      <c r="W62" s="739"/>
      <c r="X62" s="739"/>
      <c r="Y62" s="890"/>
      <c r="Z62" s="742"/>
      <c r="AA62" s="745"/>
      <c r="AB62" s="742"/>
      <c r="AC62" s="742"/>
      <c r="AD62" s="742"/>
    </row>
    <row r="63" spans="1:30" ht="18" customHeight="1">
      <c r="A63" s="741"/>
      <c r="B63" s="794">
        <v>46</v>
      </c>
      <c r="C63" s="739"/>
      <c r="D63" s="858" t="s">
        <v>2167</v>
      </c>
      <c r="E63" s="739"/>
      <c r="F63" s="739"/>
      <c r="G63" s="739"/>
      <c r="H63" s="786"/>
      <c r="I63" s="894">
        <f t="shared" si="7"/>
        <v>0</v>
      </c>
      <c r="J63" s="894">
        <f t="shared" si="8"/>
        <v>0</v>
      </c>
      <c r="K63" s="894">
        <f t="shared" si="9"/>
        <v>0</v>
      </c>
      <c r="L63" s="740" t="str">
        <f t="shared" si="10"/>
        <v/>
      </c>
      <c r="M63" s="740" t="str">
        <f t="shared" si="11"/>
        <v/>
      </c>
      <c r="N63" s="740" t="str">
        <f t="shared" si="12"/>
        <v/>
      </c>
      <c r="O63" s="848"/>
      <c r="P63" s="848" t="s">
        <v>166</v>
      </c>
      <c r="Q63" s="848"/>
      <c r="R63" s="848"/>
      <c r="S63" s="848"/>
      <c r="T63" s="739"/>
      <c r="U63" s="739" t="s">
        <v>2168</v>
      </c>
      <c r="V63" s="739"/>
      <c r="W63" s="739"/>
      <c r="X63" s="739"/>
      <c r="Y63" s="890"/>
      <c r="Z63" s="742"/>
      <c r="AA63" s="745"/>
      <c r="AB63" s="742"/>
      <c r="AC63" s="742"/>
      <c r="AD63" s="742"/>
    </row>
    <row r="64" spans="1:30" ht="18" customHeight="1">
      <c r="A64" s="741"/>
      <c r="B64" s="794">
        <v>47</v>
      </c>
      <c r="C64" s="739"/>
      <c r="D64" s="858" t="s">
        <v>2169</v>
      </c>
      <c r="E64" s="739"/>
      <c r="F64" s="739"/>
      <c r="G64" s="739"/>
      <c r="H64" s="786"/>
      <c r="I64" s="894">
        <f t="shared" si="7"/>
        <v>0</v>
      </c>
      <c r="J64" s="894">
        <f t="shared" si="8"/>
        <v>0</v>
      </c>
      <c r="K64" s="894">
        <f t="shared" si="9"/>
        <v>0</v>
      </c>
      <c r="L64" s="740" t="str">
        <f t="shared" si="10"/>
        <v/>
      </c>
      <c r="M64" s="740" t="str">
        <f t="shared" si="11"/>
        <v/>
      </c>
      <c r="N64" s="740" t="str">
        <f t="shared" si="12"/>
        <v/>
      </c>
      <c r="O64" s="848"/>
      <c r="P64" s="848" t="s">
        <v>167</v>
      </c>
      <c r="Q64" s="848"/>
      <c r="R64" s="848"/>
      <c r="S64" s="848"/>
      <c r="T64" s="739"/>
      <c r="U64" s="739" t="s">
        <v>2170</v>
      </c>
      <c r="V64" s="739"/>
      <c r="W64" s="739"/>
      <c r="X64" s="739"/>
      <c r="Y64" s="890"/>
      <c r="Z64" s="742"/>
      <c r="AA64" s="745" t="s">
        <v>2171</v>
      </c>
      <c r="AB64" s="742"/>
      <c r="AC64" s="742"/>
      <c r="AD64" s="742"/>
    </row>
    <row r="65" spans="1:30" ht="18" customHeight="1">
      <c r="A65" s="741"/>
      <c r="B65" s="794">
        <v>48</v>
      </c>
      <c r="C65" s="739"/>
      <c r="D65" s="858"/>
      <c r="E65" s="739"/>
      <c r="F65" s="739"/>
      <c r="G65" s="739"/>
      <c r="H65" s="786"/>
      <c r="I65" s="894">
        <f t="shared" si="7"/>
        <v>0</v>
      </c>
      <c r="J65" s="894">
        <f t="shared" si="8"/>
        <v>0</v>
      </c>
      <c r="K65" s="894">
        <f t="shared" si="9"/>
        <v>0</v>
      </c>
      <c r="L65" s="740" t="str">
        <f t="shared" si="10"/>
        <v/>
      </c>
      <c r="M65" s="740" t="str">
        <f t="shared" si="11"/>
        <v/>
      </c>
      <c r="N65" s="740" t="str">
        <f t="shared" si="12"/>
        <v/>
      </c>
      <c r="O65" s="848"/>
      <c r="P65" s="848" t="s">
        <v>2081</v>
      </c>
      <c r="Q65" s="848"/>
      <c r="R65" s="848"/>
      <c r="S65" s="848"/>
      <c r="T65" s="739"/>
      <c r="U65" s="739" t="s">
        <v>2172</v>
      </c>
      <c r="V65" s="739"/>
      <c r="W65" s="739"/>
      <c r="X65" s="739"/>
      <c r="Y65" s="890"/>
      <c r="Z65" s="742"/>
      <c r="AA65" s="745"/>
      <c r="AB65" s="742"/>
      <c r="AC65" s="742"/>
      <c r="AD65" s="742"/>
    </row>
    <row r="66" spans="1:30" ht="18" customHeight="1">
      <c r="A66" s="741"/>
      <c r="B66" s="794">
        <v>49</v>
      </c>
      <c r="C66" s="739"/>
      <c r="D66" s="858"/>
      <c r="E66" s="739"/>
      <c r="F66" s="739"/>
      <c r="G66" s="739"/>
      <c r="H66" s="786"/>
      <c r="I66" s="894">
        <f t="shared" si="7"/>
        <v>0</v>
      </c>
      <c r="J66" s="894">
        <f t="shared" si="8"/>
        <v>0</v>
      </c>
      <c r="K66" s="894">
        <f t="shared" si="9"/>
        <v>0</v>
      </c>
      <c r="L66" s="740" t="str">
        <f t="shared" si="10"/>
        <v/>
      </c>
      <c r="M66" s="740" t="str">
        <f t="shared" si="11"/>
        <v/>
      </c>
      <c r="N66" s="740" t="str">
        <f t="shared" si="12"/>
        <v/>
      </c>
      <c r="O66" s="848"/>
      <c r="P66" s="848" t="s">
        <v>2085</v>
      </c>
      <c r="Q66" s="848"/>
      <c r="R66" s="848"/>
      <c r="S66" s="848"/>
      <c r="T66" s="739"/>
      <c r="U66" s="739" t="s">
        <v>2173</v>
      </c>
      <c r="V66" s="739"/>
      <c r="W66" s="739"/>
      <c r="X66" s="739"/>
      <c r="Y66" s="890"/>
      <c r="Z66" s="742"/>
      <c r="AA66" s="745"/>
      <c r="AB66" s="742"/>
      <c r="AC66" s="742"/>
      <c r="AD66" s="742"/>
    </row>
    <row r="67" spans="1:30" ht="27" customHeight="1">
      <c r="A67" s="741"/>
      <c r="B67" s="794">
        <v>50</v>
      </c>
      <c r="C67" s="739"/>
      <c r="D67" s="858"/>
      <c r="E67" s="739"/>
      <c r="F67" s="739"/>
      <c r="G67" s="739"/>
      <c r="H67" s="786"/>
      <c r="I67" s="894">
        <f t="shared" si="7"/>
        <v>0</v>
      </c>
      <c r="J67" s="894">
        <f t="shared" si="8"/>
        <v>0</v>
      </c>
      <c r="K67" s="894">
        <f t="shared" si="9"/>
        <v>0</v>
      </c>
      <c r="L67" s="740" t="str">
        <f t="shared" si="10"/>
        <v/>
      </c>
      <c r="M67" s="740" t="str">
        <f t="shared" si="11"/>
        <v/>
      </c>
      <c r="N67" s="740" t="str">
        <f t="shared" si="12"/>
        <v/>
      </c>
      <c r="O67" s="848"/>
      <c r="P67" s="848" t="s">
        <v>2174</v>
      </c>
      <c r="Q67" s="848"/>
      <c r="R67" s="848"/>
      <c r="S67" s="848"/>
      <c r="T67" s="739"/>
      <c r="U67" s="739" t="s">
        <v>2175</v>
      </c>
      <c r="V67" s="739"/>
      <c r="W67" s="739"/>
      <c r="X67" s="739"/>
      <c r="Y67" s="890"/>
      <c r="Z67" s="742"/>
      <c r="AA67" s="745"/>
      <c r="AB67" s="742"/>
      <c r="AC67" s="742"/>
      <c r="AD67" s="742"/>
    </row>
    <row r="68" spans="1:30" ht="27" customHeight="1">
      <c r="A68" s="741"/>
      <c r="B68" s="794">
        <v>51</v>
      </c>
      <c r="C68" s="739"/>
      <c r="D68" s="858"/>
      <c r="E68" s="739"/>
      <c r="F68" s="739"/>
      <c r="G68" s="739"/>
      <c r="H68" s="786"/>
      <c r="I68" s="894">
        <f t="shared" si="7"/>
        <v>0</v>
      </c>
      <c r="J68" s="894">
        <f t="shared" si="8"/>
        <v>0</v>
      </c>
      <c r="K68" s="894">
        <f t="shared" si="9"/>
        <v>0</v>
      </c>
      <c r="L68" s="740" t="str">
        <f t="shared" si="10"/>
        <v/>
      </c>
      <c r="M68" s="740" t="str">
        <f t="shared" si="11"/>
        <v/>
      </c>
      <c r="N68" s="740" t="str">
        <f t="shared" si="12"/>
        <v/>
      </c>
      <c r="O68" s="848"/>
      <c r="P68" s="848" t="s">
        <v>2176</v>
      </c>
      <c r="Q68" s="848"/>
      <c r="R68" s="848"/>
      <c r="S68" s="848"/>
      <c r="T68" s="739"/>
      <c r="U68" s="739" t="s">
        <v>2177</v>
      </c>
      <c r="V68" s="739"/>
      <c r="W68" s="739"/>
      <c r="X68" s="739"/>
      <c r="Y68" s="890"/>
      <c r="Z68" s="742"/>
      <c r="AA68" s="745"/>
      <c r="AB68" s="742"/>
      <c r="AC68" s="742"/>
      <c r="AD68" s="742"/>
    </row>
    <row r="69" spans="1:30" ht="9" customHeight="1">
      <c r="A69" s="741"/>
      <c r="B69" s="794">
        <v>52</v>
      </c>
      <c r="C69" s="739"/>
      <c r="D69" s="858" t="s">
        <v>2178</v>
      </c>
      <c r="E69" s="739"/>
      <c r="F69" s="739"/>
      <c r="G69" s="739"/>
      <c r="H69" s="786"/>
      <c r="I69" s="894">
        <f t="shared" si="7"/>
        <v>0</v>
      </c>
      <c r="J69" s="894">
        <f t="shared" si="8"/>
        <v>0</v>
      </c>
      <c r="K69" s="894">
        <f t="shared" si="9"/>
        <v>0</v>
      </c>
      <c r="L69" s="740" t="str">
        <f t="shared" si="10"/>
        <v/>
      </c>
      <c r="M69" s="740" t="str">
        <f t="shared" si="11"/>
        <v/>
      </c>
      <c r="N69" s="740" t="str">
        <f t="shared" si="12"/>
        <v/>
      </c>
      <c r="O69" s="848"/>
      <c r="P69" s="848" t="s">
        <v>168</v>
      </c>
      <c r="Q69" s="848"/>
      <c r="R69" s="848"/>
      <c r="S69" s="848"/>
      <c r="T69" s="739"/>
      <c r="U69" s="739" t="s">
        <v>2179</v>
      </c>
      <c r="V69" s="739"/>
      <c r="W69" s="739"/>
      <c r="X69" s="739"/>
      <c r="Y69" s="890"/>
      <c r="Z69" s="742"/>
      <c r="AA69" s="745"/>
      <c r="AB69" s="742"/>
      <c r="AC69" s="742"/>
      <c r="AD69" s="742"/>
    </row>
    <row r="70" spans="1:30" ht="27" customHeight="1">
      <c r="A70" s="741"/>
      <c r="B70" s="794">
        <v>53</v>
      </c>
      <c r="C70" s="739"/>
      <c r="D70" s="858"/>
      <c r="E70" s="739" t="s">
        <v>2163</v>
      </c>
      <c r="F70" s="739"/>
      <c r="G70" s="739"/>
      <c r="H70" s="786"/>
      <c r="I70" s="894" t="str">
        <f t="shared" si="7"/>
        <v>7</v>
      </c>
      <c r="J70" s="894" t="str">
        <f t="shared" si="8"/>
        <v>Объём приобретаемой холодной воды, используемой для горячего водоснабжения</v>
      </c>
      <c r="K70" s="894">
        <f t="shared" si="9"/>
        <v>0</v>
      </c>
      <c r="L70" s="740" t="str">
        <f t="shared" si="10"/>
        <v>7</v>
      </c>
      <c r="M70" s="740" t="str">
        <f t="shared" si="11"/>
        <v>Объём приобретаемой холодной воды, используемой для горячего водоснабжения</v>
      </c>
      <c r="N70" s="740" t="str">
        <f t="shared" si="12"/>
        <v/>
      </c>
      <c r="O70" s="848"/>
      <c r="P70" s="848"/>
      <c r="Q70" s="848" t="s">
        <v>90</v>
      </c>
      <c r="R70" s="848"/>
      <c r="S70" s="848"/>
      <c r="T70" s="739"/>
      <c r="U70" s="739"/>
      <c r="V70" s="739" t="s">
        <v>2180</v>
      </c>
      <c r="W70" s="739"/>
      <c r="X70" s="739"/>
      <c r="Y70" s="890"/>
      <c r="Z70" s="742"/>
      <c r="AA70" s="745"/>
      <c r="AB70" s="742"/>
      <c r="AC70" s="742"/>
      <c r="AD70" s="742"/>
    </row>
    <row r="71" spans="1:30" ht="36" customHeight="1">
      <c r="A71" s="741"/>
      <c r="B71" s="794">
        <v>54</v>
      </c>
      <c r="C71" s="739"/>
      <c r="D71" s="858"/>
      <c r="E71" s="739" t="s">
        <v>2165</v>
      </c>
      <c r="F71" s="739"/>
      <c r="G71" s="739"/>
      <c r="H71" s="786"/>
      <c r="I71" s="894" t="str">
        <f t="shared" si="7"/>
        <v>8</v>
      </c>
      <c r="J71" s="894" t="str">
        <f t="shared" si="8"/>
        <v>Объём холодной воды, получаемой с применением собственных источников водозабора (скважин) и используемой для горячего водоснабжения</v>
      </c>
      <c r="K71" s="894">
        <f t="shared" si="9"/>
        <v>0</v>
      </c>
      <c r="L71" s="740" t="str">
        <f t="shared" si="10"/>
        <v>8</v>
      </c>
      <c r="M71" s="740" t="str">
        <f t="shared" si="11"/>
        <v>Объём холодной воды, получаемой с применением собственных источников водозабора (скважин) и используемой для горячего водоснабжения</v>
      </c>
      <c r="N71" s="740" t="str">
        <f t="shared" si="12"/>
        <v/>
      </c>
      <c r="O71" s="848"/>
      <c r="P71" s="848"/>
      <c r="Q71" s="848" t="s">
        <v>130</v>
      </c>
      <c r="R71" s="848"/>
      <c r="S71" s="848"/>
      <c r="T71" s="739"/>
      <c r="U71" s="739"/>
      <c r="V71" s="739" t="s">
        <v>2181</v>
      </c>
      <c r="W71" s="739"/>
      <c r="X71" s="739"/>
      <c r="Y71" s="890"/>
      <c r="Z71" s="742"/>
      <c r="AA71" s="745"/>
      <c r="AB71" s="742"/>
      <c r="AC71" s="742"/>
      <c r="AD71" s="742"/>
    </row>
    <row r="72" spans="1:30" ht="27" customHeight="1">
      <c r="A72" s="741"/>
      <c r="B72" s="794">
        <v>55</v>
      </c>
      <c r="C72" s="739"/>
      <c r="D72" s="858"/>
      <c r="E72" s="739" t="s">
        <v>2167</v>
      </c>
      <c r="F72" s="739"/>
      <c r="G72" s="739"/>
      <c r="H72" s="786"/>
      <c r="I72" s="894" t="str">
        <f t="shared" si="7"/>
        <v>9</v>
      </c>
      <c r="J72" s="894" t="str">
        <f t="shared" si="8"/>
        <v>Объём приобретаемой тепловой энергии (мощности), используемой для горячего водоснабжения</v>
      </c>
      <c r="K72" s="894">
        <f t="shared" si="9"/>
        <v>0</v>
      </c>
      <c r="L72" s="740" t="str">
        <f t="shared" si="10"/>
        <v>9</v>
      </c>
      <c r="M72" s="740" t="str">
        <f t="shared" si="11"/>
        <v>Объём приобретаемой тепловой энергии (мощности), используемой для горячего водоснабжения</v>
      </c>
      <c r="N72" s="740" t="str">
        <f t="shared" si="12"/>
        <v/>
      </c>
      <c r="O72" s="848"/>
      <c r="P72" s="848"/>
      <c r="Q72" s="848" t="s">
        <v>166</v>
      </c>
      <c r="R72" s="848"/>
      <c r="S72" s="848"/>
      <c r="T72" s="739"/>
      <c r="U72" s="739"/>
      <c r="V72" s="739" t="s">
        <v>2182</v>
      </c>
      <c r="W72" s="739"/>
      <c r="X72" s="739"/>
      <c r="Y72" s="890"/>
      <c r="Z72" s="742"/>
      <c r="AA72" s="745"/>
      <c r="AB72" s="742"/>
      <c r="AC72" s="742"/>
      <c r="AD72" s="742"/>
    </row>
    <row r="73" spans="1:30" ht="36" customHeight="1">
      <c r="A73" s="741"/>
      <c r="B73" s="794">
        <v>56</v>
      </c>
      <c r="C73" s="739"/>
      <c r="D73" s="858"/>
      <c r="E73" s="739" t="s">
        <v>2169</v>
      </c>
      <c r="F73" s="739"/>
      <c r="G73" s="739"/>
      <c r="H73" s="786"/>
      <c r="I73" s="894" t="str">
        <f t="shared" si="7"/>
        <v>10</v>
      </c>
      <c r="J73" s="894" t="str">
        <f t="shared" si="8"/>
        <v>Объём тепловой энергии, производимой с применением собственных источников и используемой для горячего водоснабжения</v>
      </c>
      <c r="K73" s="894">
        <f t="shared" si="9"/>
        <v>0</v>
      </c>
      <c r="L73" s="740" t="str">
        <f t="shared" si="10"/>
        <v>10</v>
      </c>
      <c r="M73" s="740" t="str">
        <f t="shared" si="11"/>
        <v>Объём тепловой энергии, производимой с применением собственных источников и используемой для горячего водоснабжения</v>
      </c>
      <c r="N73" s="740" t="str">
        <f t="shared" si="12"/>
        <v/>
      </c>
      <c r="O73" s="848"/>
      <c r="P73" s="848"/>
      <c r="Q73" s="848" t="s">
        <v>167</v>
      </c>
      <c r="R73" s="848"/>
      <c r="S73" s="848"/>
      <c r="T73" s="739"/>
      <c r="U73" s="739"/>
      <c r="V73" s="739" t="s">
        <v>2183</v>
      </c>
      <c r="W73" s="739"/>
      <c r="X73" s="739"/>
      <c r="Y73" s="890"/>
      <c r="Z73" s="742"/>
      <c r="AA73" s="745"/>
      <c r="AB73" s="742"/>
      <c r="AC73" s="742"/>
      <c r="AD73" s="742"/>
    </row>
    <row r="74" spans="1:30" ht="18" customHeight="1">
      <c r="A74" s="741"/>
      <c r="B74" s="794">
        <v>57</v>
      </c>
      <c r="C74" s="739"/>
      <c r="D74" s="858"/>
      <c r="E74" s="739" t="s">
        <v>2178</v>
      </c>
      <c r="F74" s="739"/>
      <c r="G74" s="739"/>
      <c r="H74" s="786"/>
      <c r="I74" s="894" t="str">
        <f t="shared" si="7"/>
        <v>11</v>
      </c>
      <c r="J74" s="894" t="str">
        <f t="shared" si="8"/>
        <v>Потери горячей воды в сетях (процентов)</v>
      </c>
      <c r="K74" s="894">
        <f t="shared" si="9"/>
        <v>0</v>
      </c>
      <c r="L74" s="740" t="str">
        <f t="shared" si="10"/>
        <v>11</v>
      </c>
      <c r="M74" s="740" t="str">
        <f t="shared" si="11"/>
        <v>Потери горячей воды в сетях (процентов)</v>
      </c>
      <c r="N74" s="740" t="str">
        <f t="shared" si="12"/>
        <v/>
      </c>
      <c r="O74" s="848"/>
      <c r="P74" s="848"/>
      <c r="Q74" s="848" t="s">
        <v>168</v>
      </c>
      <c r="R74" s="848"/>
      <c r="S74" s="848"/>
      <c r="T74" s="739"/>
      <c r="U74" s="739"/>
      <c r="V74" s="739" t="s">
        <v>2184</v>
      </c>
      <c r="W74" s="739"/>
      <c r="X74" s="739"/>
      <c r="Y74" s="890"/>
      <c r="Z74" s="742"/>
      <c r="AA74" s="745"/>
      <c r="AB74" s="742"/>
      <c r="AC74" s="742"/>
      <c r="AD74" s="742"/>
    </row>
    <row r="75" spans="1:30" ht="18" customHeight="1">
      <c r="A75" s="741"/>
      <c r="B75" s="794">
        <v>58</v>
      </c>
      <c r="C75" s="739"/>
      <c r="D75" s="858"/>
      <c r="E75" s="739"/>
      <c r="F75" s="739" t="s">
        <v>2163</v>
      </c>
      <c r="G75" s="739"/>
      <c r="H75" s="786"/>
      <c r="I75" s="894">
        <f t="shared" si="7"/>
        <v>0</v>
      </c>
      <c r="J75" s="894">
        <f t="shared" si="8"/>
        <v>0</v>
      </c>
      <c r="K75" s="894">
        <f t="shared" si="9"/>
        <v>0</v>
      </c>
      <c r="L75" s="740" t="str">
        <f t="shared" si="10"/>
        <v/>
      </c>
      <c r="M75" s="740" t="str">
        <f t="shared" si="11"/>
        <v/>
      </c>
      <c r="N75" s="740" t="str">
        <f t="shared" si="12"/>
        <v/>
      </c>
      <c r="O75" s="848"/>
      <c r="P75" s="848"/>
      <c r="Q75" s="848"/>
      <c r="R75" s="848" t="s">
        <v>90</v>
      </c>
      <c r="S75" s="848"/>
      <c r="T75" s="739"/>
      <c r="U75" s="739"/>
      <c r="V75" s="739"/>
      <c r="W75" s="739" t="s">
        <v>2185</v>
      </c>
      <c r="X75" s="739"/>
      <c r="Y75" s="890"/>
      <c r="Z75" s="742"/>
      <c r="AA75" s="745"/>
      <c r="AB75" s="742"/>
      <c r="AC75" s="742"/>
      <c r="AD75" s="742"/>
    </row>
    <row r="76" spans="1:30" ht="36" customHeight="1">
      <c r="A76" s="741"/>
      <c r="B76" s="794">
        <v>59</v>
      </c>
      <c r="C76" s="739"/>
      <c r="D76" s="858"/>
      <c r="E76" s="739"/>
      <c r="F76" s="739" t="s">
        <v>2165</v>
      </c>
      <c r="G76" s="739"/>
      <c r="H76" s="786"/>
      <c r="I76" s="894">
        <f t="shared" si="7"/>
        <v>0</v>
      </c>
      <c r="J76" s="894">
        <f t="shared" si="8"/>
        <v>0</v>
      </c>
      <c r="K76" s="894">
        <f t="shared" si="9"/>
        <v>0</v>
      </c>
      <c r="L76" s="740" t="str">
        <f t="shared" si="10"/>
        <v/>
      </c>
      <c r="M76" s="740" t="str">
        <f t="shared" si="11"/>
        <v/>
      </c>
      <c r="N76" s="740" t="str">
        <f t="shared" si="12"/>
        <v/>
      </c>
      <c r="O76" s="848"/>
      <c r="P76" s="848"/>
      <c r="Q76" s="848"/>
      <c r="R76" s="848" t="s">
        <v>130</v>
      </c>
      <c r="S76" s="848"/>
      <c r="T76" s="739"/>
      <c r="U76" s="739"/>
      <c r="V76" s="739"/>
      <c r="W76" s="739" t="s">
        <v>2186</v>
      </c>
      <c r="X76" s="739"/>
      <c r="Y76" s="890"/>
      <c r="Z76" s="742"/>
      <c r="AA76" s="745"/>
      <c r="AB76" s="742"/>
      <c r="AC76" s="742"/>
      <c r="AD76" s="742"/>
    </row>
    <row r="77" spans="1:30" ht="18" customHeight="1">
      <c r="A77" s="741"/>
      <c r="B77" s="794">
        <v>60</v>
      </c>
      <c r="C77" s="739"/>
      <c r="D77" s="858"/>
      <c r="E77" s="739"/>
      <c r="F77" s="739" t="s">
        <v>2167</v>
      </c>
      <c r="G77" s="739"/>
      <c r="H77" s="786"/>
      <c r="I77" s="894">
        <f t="shared" si="7"/>
        <v>0</v>
      </c>
      <c r="J77" s="894">
        <f t="shared" si="8"/>
        <v>0</v>
      </c>
      <c r="K77" s="894">
        <f t="shared" si="9"/>
        <v>0</v>
      </c>
      <c r="L77" s="740" t="str">
        <f t="shared" si="10"/>
        <v/>
      </c>
      <c r="M77" s="740" t="str">
        <f t="shared" si="11"/>
        <v/>
      </c>
      <c r="N77" s="740" t="str">
        <f t="shared" si="12"/>
        <v/>
      </c>
      <c r="O77" s="848"/>
      <c r="P77" s="848"/>
      <c r="Q77" s="848"/>
      <c r="R77" s="848" t="s">
        <v>166</v>
      </c>
      <c r="S77" s="848"/>
      <c r="T77" s="739"/>
      <c r="U77" s="739"/>
      <c r="V77" s="739"/>
      <c r="W77" s="739" t="s">
        <v>2187</v>
      </c>
      <c r="X77" s="739"/>
      <c r="Y77" s="890"/>
      <c r="Z77" s="742"/>
      <c r="AA77" s="745"/>
      <c r="AB77" s="742"/>
      <c r="AC77" s="742"/>
      <c r="AD77" s="742"/>
    </row>
    <row r="78" spans="1:30" ht="72" customHeight="1">
      <c r="A78" s="741"/>
      <c r="B78" s="794">
        <v>61</v>
      </c>
      <c r="C78" s="739" t="s">
        <v>2163</v>
      </c>
      <c r="D78" s="858"/>
      <c r="E78" s="739"/>
      <c r="F78" s="739"/>
      <c r="G78" s="739"/>
      <c r="H78" s="786"/>
      <c r="I78" s="894">
        <f t="shared" si="7"/>
        <v>0</v>
      </c>
      <c r="J78" s="894">
        <f t="shared" si="8"/>
        <v>0</v>
      </c>
      <c r="K78" s="894">
        <f t="shared" si="9"/>
        <v>0</v>
      </c>
      <c r="L78" s="740" t="str">
        <f t="shared" si="10"/>
        <v/>
      </c>
      <c r="M78" s="740" t="str">
        <f t="shared" si="11"/>
        <v/>
      </c>
      <c r="N78" s="740" t="str">
        <f t="shared" si="12"/>
        <v/>
      </c>
      <c r="O78" s="848" t="s">
        <v>90</v>
      </c>
      <c r="P78" s="848"/>
      <c r="Q78" s="848"/>
      <c r="R78" s="848"/>
      <c r="S78" s="848"/>
      <c r="T78" s="739" t="s">
        <v>2188</v>
      </c>
      <c r="U78" s="739"/>
      <c r="V78" s="739"/>
      <c r="W78" s="739"/>
      <c r="X78" s="739"/>
      <c r="Y78" s="890"/>
      <c r="Z78" s="742" t="s">
        <v>2189</v>
      </c>
      <c r="AA78" s="745"/>
      <c r="AB78" s="742"/>
      <c r="AC78" s="742"/>
      <c r="AD78" s="742"/>
    </row>
    <row r="79" spans="1:30" ht="36" customHeight="1">
      <c r="A79" s="741"/>
      <c r="B79" s="794">
        <v>62</v>
      </c>
      <c r="C79" s="739" t="s">
        <v>2165</v>
      </c>
      <c r="D79" s="858"/>
      <c r="E79" s="739"/>
      <c r="F79" s="739"/>
      <c r="G79" s="739"/>
      <c r="H79" s="786"/>
      <c r="I79" s="894">
        <f t="shared" si="7"/>
        <v>0</v>
      </c>
      <c r="J79" s="894">
        <f t="shared" si="8"/>
        <v>0</v>
      </c>
      <c r="K79" s="894">
        <f t="shared" si="9"/>
        <v>0</v>
      </c>
      <c r="L79" s="740" t="str">
        <f t="shared" si="10"/>
        <v/>
      </c>
      <c r="M79" s="740" t="str">
        <f t="shared" si="11"/>
        <v/>
      </c>
      <c r="N79" s="740" t="str">
        <f t="shared" si="12"/>
        <v/>
      </c>
      <c r="O79" s="848" t="s">
        <v>130</v>
      </c>
      <c r="P79" s="848"/>
      <c r="Q79" s="848"/>
      <c r="R79" s="848"/>
      <c r="S79" s="848"/>
      <c r="T79" s="739" t="s">
        <v>2190</v>
      </c>
      <c r="U79" s="739"/>
      <c r="V79" s="739"/>
      <c r="W79" s="739"/>
      <c r="X79" s="739"/>
      <c r="Y79" s="890"/>
      <c r="Z79" s="742" t="s">
        <v>2191</v>
      </c>
      <c r="AA79" s="745"/>
      <c r="AB79" s="742"/>
      <c r="AC79" s="742"/>
      <c r="AD79" s="742"/>
    </row>
    <row r="80" spans="1:30" ht="45" customHeight="1">
      <c r="A80" s="741"/>
      <c r="B80" s="794">
        <v>63</v>
      </c>
      <c r="C80" s="739" t="s">
        <v>2167</v>
      </c>
      <c r="D80" s="858"/>
      <c r="E80" s="739"/>
      <c r="F80" s="739"/>
      <c r="G80" s="739"/>
      <c r="H80" s="786"/>
      <c r="I80" s="894">
        <f t="shared" si="7"/>
        <v>0</v>
      </c>
      <c r="J80" s="894">
        <f t="shared" si="8"/>
        <v>0</v>
      </c>
      <c r="K80" s="894">
        <f t="shared" si="9"/>
        <v>0</v>
      </c>
      <c r="L80" s="740" t="str">
        <f t="shared" si="10"/>
        <v/>
      </c>
      <c r="M80" s="740" t="str">
        <f t="shared" si="11"/>
        <v/>
      </c>
      <c r="N80" s="740" t="str">
        <f t="shared" si="12"/>
        <v/>
      </c>
      <c r="O80" s="848" t="s">
        <v>166</v>
      </c>
      <c r="P80" s="848"/>
      <c r="Q80" s="848"/>
      <c r="R80" s="848"/>
      <c r="S80" s="848"/>
      <c r="T80" s="739" t="s">
        <v>2192</v>
      </c>
      <c r="U80" s="739"/>
      <c r="V80" s="739"/>
      <c r="W80" s="739"/>
      <c r="X80" s="739"/>
      <c r="Y80" s="890"/>
      <c r="Z80" s="742" t="s">
        <v>2193</v>
      </c>
      <c r="AA80" s="745"/>
      <c r="AB80" s="742"/>
      <c r="AC80" s="742"/>
      <c r="AD80" s="742"/>
    </row>
    <row r="81" spans="1:30" ht="36" customHeight="1">
      <c r="A81" s="741"/>
      <c r="B81" s="794">
        <v>64</v>
      </c>
      <c r="C81" s="739" t="s">
        <v>2169</v>
      </c>
      <c r="D81" s="858"/>
      <c r="E81" s="739"/>
      <c r="F81" s="739"/>
      <c r="G81" s="739"/>
      <c r="H81" s="786"/>
      <c r="I81" s="894">
        <f t="shared" si="7"/>
        <v>0</v>
      </c>
      <c r="J81" s="894">
        <f t="shared" si="8"/>
        <v>0</v>
      </c>
      <c r="K81" s="894">
        <f t="shared" si="9"/>
        <v>0</v>
      </c>
      <c r="L81" s="740" t="str">
        <f t="shared" si="10"/>
        <v/>
      </c>
      <c r="M81" s="740" t="str">
        <f t="shared" si="11"/>
        <v/>
      </c>
      <c r="N81" s="740" t="str">
        <f t="shared" si="12"/>
        <v/>
      </c>
      <c r="O81" s="848" t="s">
        <v>2072</v>
      </c>
      <c r="P81" s="848"/>
      <c r="Q81" s="848"/>
      <c r="R81" s="848"/>
      <c r="S81" s="848"/>
      <c r="T81" s="739" t="s">
        <v>2194</v>
      </c>
      <c r="U81" s="739"/>
      <c r="V81" s="739"/>
      <c r="W81" s="739"/>
      <c r="X81" s="739"/>
      <c r="Y81" s="890"/>
      <c r="Z81" s="742" t="s">
        <v>2195</v>
      </c>
      <c r="AA81" s="745"/>
      <c r="AB81" s="742"/>
      <c r="AC81" s="742"/>
      <c r="AD81" s="742"/>
    </row>
    <row r="82" spans="1:30" ht="90" customHeight="1">
      <c r="A82" s="741"/>
      <c r="B82" s="794">
        <v>65</v>
      </c>
      <c r="C82" s="739" t="s">
        <v>2178</v>
      </c>
      <c r="D82" s="858"/>
      <c r="E82" s="739"/>
      <c r="F82" s="739"/>
      <c r="G82" s="739"/>
      <c r="H82" s="786"/>
      <c r="I82" s="894">
        <f t="shared" ref="I82:I101" si="13">INDEX(TEMPLATE_NUMBER_POINT_FHD,B82,MATCH(TEMPLATE_SPHERE,TEMPLATE_SPHERE_LIST_FOR_NOTE,0))</f>
        <v>0</v>
      </c>
      <c r="J82" s="894">
        <f t="shared" ref="J82:J101" si="14">INDEX(TEMPLATE_DATA_POINT_FHD,B82,MATCH(TEMPLATE_SPHERE,TEMPLATE_SPHERE_LIST_FOR_NOTE,0))</f>
        <v>0</v>
      </c>
      <c r="K82" s="894">
        <f t="shared" ref="K82:K101" si="15">INDEX(TEMPLATE_NOTE_POINT_FHD,B82,MATCH(TEMPLATE_SPHERE,TEMPLATE_SPHERE_LIST_FOR_NOTE,0))</f>
        <v>0</v>
      </c>
      <c r="L82" s="740" t="str">
        <f t="shared" ref="L82:L101" si="16">IF(I82=0,"",I82)</f>
        <v/>
      </c>
      <c r="M82" s="740" t="str">
        <f t="shared" ref="M82:M101" si="17">IF(J82=0,"",J82)</f>
        <v/>
      </c>
      <c r="N82" s="740" t="str">
        <f t="shared" ref="N82:N101" si="18">IF(K82=0,"",K82)</f>
        <v/>
      </c>
      <c r="O82" s="848" t="s">
        <v>167</v>
      </c>
      <c r="P82" s="848"/>
      <c r="Q82" s="848"/>
      <c r="R82" s="848"/>
      <c r="S82" s="848"/>
      <c r="T82" s="739" t="s">
        <v>2196</v>
      </c>
      <c r="U82" s="739"/>
      <c r="V82" s="739"/>
      <c r="W82" s="739"/>
      <c r="X82" s="739"/>
      <c r="Y82" s="890"/>
      <c r="Z82" s="742" t="s">
        <v>2197</v>
      </c>
      <c r="AA82" s="745"/>
      <c r="AB82" s="742"/>
      <c r="AC82" s="742"/>
      <c r="AD82" s="742"/>
    </row>
    <row r="83" spans="1:30" ht="9" customHeight="1">
      <c r="A83" s="741"/>
      <c r="B83" s="794">
        <v>66</v>
      </c>
      <c r="C83" s="739"/>
      <c r="D83" s="858"/>
      <c r="E83" s="739"/>
      <c r="F83" s="739"/>
      <c r="G83" s="739"/>
      <c r="H83" s="786"/>
      <c r="I83" s="894">
        <f t="shared" si="13"/>
        <v>0</v>
      </c>
      <c r="J83" s="894">
        <f t="shared" si="14"/>
        <v>0</v>
      </c>
      <c r="K83" s="894">
        <f t="shared" si="15"/>
        <v>0</v>
      </c>
      <c r="L83" s="740" t="str">
        <f t="shared" si="16"/>
        <v/>
      </c>
      <c r="M83" s="740" t="str">
        <f t="shared" si="17"/>
        <v/>
      </c>
      <c r="N83" s="740" t="str">
        <f t="shared" si="18"/>
        <v/>
      </c>
      <c r="O83" s="848" t="s">
        <v>2081</v>
      </c>
      <c r="P83" s="848"/>
      <c r="Q83" s="848"/>
      <c r="R83" s="848"/>
      <c r="S83" s="848"/>
      <c r="T83" s="739" t="s">
        <v>2198</v>
      </c>
      <c r="U83" s="739"/>
      <c r="V83" s="739"/>
      <c r="W83" s="739"/>
      <c r="X83" s="739"/>
      <c r="Y83" s="890"/>
      <c r="Z83" s="742"/>
      <c r="AA83" s="745"/>
      <c r="AB83" s="742"/>
      <c r="AC83" s="742"/>
      <c r="AD83" s="742"/>
    </row>
    <row r="84" spans="1:30" ht="54" customHeight="1">
      <c r="A84" s="741"/>
      <c r="B84" s="794">
        <v>67</v>
      </c>
      <c r="C84" s="739"/>
      <c r="D84" s="858"/>
      <c r="E84" s="739"/>
      <c r="F84" s="739"/>
      <c r="G84" s="739"/>
      <c r="H84" s="786"/>
      <c r="I84" s="894">
        <f t="shared" si="13"/>
        <v>0</v>
      </c>
      <c r="J84" s="894">
        <f t="shared" si="14"/>
        <v>0</v>
      </c>
      <c r="K84" s="894">
        <f t="shared" si="15"/>
        <v>0</v>
      </c>
      <c r="L84" s="740" t="str">
        <f t="shared" si="16"/>
        <v/>
      </c>
      <c r="M84" s="740" t="str">
        <f t="shared" si="17"/>
        <v/>
      </c>
      <c r="N84" s="740" t="str">
        <f t="shared" si="18"/>
        <v/>
      </c>
      <c r="O84" s="848" t="s">
        <v>2199</v>
      </c>
      <c r="P84" s="848"/>
      <c r="Q84" s="848"/>
      <c r="R84" s="848"/>
      <c r="S84" s="848"/>
      <c r="T84" s="739" t="s">
        <v>2200</v>
      </c>
      <c r="U84" s="739"/>
      <c r="V84" s="739"/>
      <c r="W84" s="739"/>
      <c r="X84" s="739"/>
      <c r="Y84" s="890"/>
      <c r="Z84" s="742"/>
      <c r="AA84" s="745"/>
      <c r="AB84" s="742"/>
      <c r="AC84" s="742"/>
      <c r="AD84" s="742"/>
    </row>
    <row r="85" spans="1:30" ht="9" customHeight="1">
      <c r="A85" s="741"/>
      <c r="B85" s="794">
        <v>68</v>
      </c>
      <c r="C85" s="739"/>
      <c r="D85" s="858"/>
      <c r="E85" s="739"/>
      <c r="F85" s="739"/>
      <c r="G85" s="739"/>
      <c r="H85" s="786"/>
      <c r="I85" s="894">
        <f t="shared" si="13"/>
        <v>0</v>
      </c>
      <c r="J85" s="894">
        <f t="shared" si="14"/>
        <v>0</v>
      </c>
      <c r="K85" s="894">
        <f t="shared" si="15"/>
        <v>0</v>
      </c>
      <c r="L85" s="740" t="str">
        <f t="shared" si="16"/>
        <v/>
      </c>
      <c r="M85" s="740" t="str">
        <f t="shared" si="17"/>
        <v/>
      </c>
      <c r="N85" s="740" t="str">
        <f t="shared" si="18"/>
        <v/>
      </c>
      <c r="O85" s="848" t="s">
        <v>2085</v>
      </c>
      <c r="P85" s="848"/>
      <c r="Q85" s="848"/>
      <c r="R85" s="848"/>
      <c r="S85" s="848"/>
      <c r="T85" s="739" t="s">
        <v>2201</v>
      </c>
      <c r="U85" s="739"/>
      <c r="V85" s="739"/>
      <c r="W85" s="739"/>
      <c r="X85" s="739"/>
      <c r="Y85" s="890"/>
      <c r="Z85" s="742"/>
      <c r="AA85" s="745"/>
      <c r="AB85" s="742"/>
      <c r="AC85" s="742"/>
      <c r="AD85" s="742"/>
    </row>
    <row r="86" spans="1:30" ht="27" customHeight="1">
      <c r="A86" s="741"/>
      <c r="B86" s="794">
        <v>69</v>
      </c>
      <c r="C86" s="739"/>
      <c r="D86" s="858"/>
      <c r="E86" s="739"/>
      <c r="F86" s="739"/>
      <c r="G86" s="739"/>
      <c r="H86" s="786"/>
      <c r="I86" s="894">
        <f t="shared" si="13"/>
        <v>0</v>
      </c>
      <c r="J86" s="894">
        <f t="shared" si="14"/>
        <v>0</v>
      </c>
      <c r="K86" s="894">
        <f t="shared" si="15"/>
        <v>0</v>
      </c>
      <c r="L86" s="740" t="str">
        <f t="shared" si="16"/>
        <v/>
      </c>
      <c r="M86" s="740" t="str">
        <f t="shared" si="17"/>
        <v/>
      </c>
      <c r="N86" s="740" t="str">
        <f t="shared" si="18"/>
        <v/>
      </c>
      <c r="O86" s="848" t="s">
        <v>2202</v>
      </c>
      <c r="P86" s="848"/>
      <c r="Q86" s="848"/>
      <c r="R86" s="848"/>
      <c r="S86" s="848"/>
      <c r="T86" s="739" t="s">
        <v>2203</v>
      </c>
      <c r="U86" s="739"/>
      <c r="V86" s="739"/>
      <c r="W86" s="739"/>
      <c r="X86" s="739"/>
      <c r="Y86" s="890"/>
      <c r="Z86" s="742"/>
      <c r="AA86" s="745"/>
      <c r="AB86" s="742"/>
      <c r="AC86" s="742"/>
      <c r="AD86" s="742"/>
    </row>
    <row r="87" spans="1:30" ht="36" customHeight="1">
      <c r="A87" s="741"/>
      <c r="B87" s="794">
        <v>70</v>
      </c>
      <c r="C87" s="739" t="s">
        <v>2204</v>
      </c>
      <c r="D87" s="858"/>
      <c r="E87" s="739"/>
      <c r="F87" s="739"/>
      <c r="G87" s="739"/>
      <c r="H87" s="786"/>
      <c r="I87" s="894">
        <f t="shared" si="13"/>
        <v>0</v>
      </c>
      <c r="J87" s="894">
        <f t="shared" si="14"/>
        <v>0</v>
      </c>
      <c r="K87" s="894">
        <f t="shared" si="15"/>
        <v>0</v>
      </c>
      <c r="L87" s="740" t="str">
        <f t="shared" si="16"/>
        <v/>
      </c>
      <c r="M87" s="740" t="str">
        <f t="shared" si="17"/>
        <v/>
      </c>
      <c r="N87" s="740" t="str">
        <f t="shared" si="18"/>
        <v/>
      </c>
      <c r="O87" s="848" t="s">
        <v>168</v>
      </c>
      <c r="P87" s="848"/>
      <c r="Q87" s="848"/>
      <c r="R87" s="848"/>
      <c r="S87" s="848"/>
      <c r="T87" s="739" t="s">
        <v>2205</v>
      </c>
      <c r="U87" s="739"/>
      <c r="V87" s="739"/>
      <c r="W87" s="739"/>
      <c r="X87" s="739"/>
      <c r="Y87" s="890"/>
      <c r="Z87" s="742"/>
      <c r="AA87" s="745"/>
      <c r="AB87" s="742"/>
      <c r="AC87" s="742"/>
      <c r="AD87" s="742"/>
    </row>
    <row r="88" spans="1:30" ht="18" customHeight="1">
      <c r="A88" s="741"/>
      <c r="B88" s="794">
        <v>71</v>
      </c>
      <c r="C88" s="739" t="s">
        <v>2206</v>
      </c>
      <c r="D88" s="858"/>
      <c r="E88" s="739"/>
      <c r="F88" s="739"/>
      <c r="G88" s="739"/>
      <c r="H88" s="786"/>
      <c r="I88" s="894">
        <f t="shared" si="13"/>
        <v>0</v>
      </c>
      <c r="J88" s="894">
        <f t="shared" si="14"/>
        <v>0</v>
      </c>
      <c r="K88" s="894">
        <f t="shared" si="15"/>
        <v>0</v>
      </c>
      <c r="L88" s="740" t="str">
        <f t="shared" si="16"/>
        <v/>
      </c>
      <c r="M88" s="740" t="str">
        <f t="shared" si="17"/>
        <v/>
      </c>
      <c r="N88" s="740" t="str">
        <f t="shared" si="18"/>
        <v/>
      </c>
      <c r="O88" s="848" t="s">
        <v>97</v>
      </c>
      <c r="P88" s="848"/>
      <c r="Q88" s="848"/>
      <c r="R88" s="848"/>
      <c r="S88" s="848"/>
      <c r="T88" s="739" t="s">
        <v>2207</v>
      </c>
      <c r="U88" s="739"/>
      <c r="V88" s="739"/>
      <c r="W88" s="739"/>
      <c r="X88" s="739"/>
      <c r="Y88" s="890"/>
      <c r="Z88" s="742"/>
      <c r="AA88" s="745"/>
      <c r="AB88" s="742"/>
      <c r="AC88" s="742"/>
      <c r="AD88" s="742"/>
    </row>
    <row r="89" spans="1:30" ht="18" customHeight="1">
      <c r="A89" s="741"/>
      <c r="B89" s="794">
        <v>72</v>
      </c>
      <c r="C89" s="739" t="s">
        <v>2208</v>
      </c>
      <c r="D89" s="858" t="s">
        <v>2204</v>
      </c>
      <c r="E89" s="739" t="s">
        <v>2204</v>
      </c>
      <c r="F89" s="739" t="s">
        <v>2169</v>
      </c>
      <c r="G89" s="739"/>
      <c r="H89" s="786"/>
      <c r="I89" s="894" t="str">
        <f t="shared" si="13"/>
        <v>12</v>
      </c>
      <c r="J89" s="894" t="str">
        <f t="shared" si="14"/>
        <v>Среднесписочная численность основного производственного персонала</v>
      </c>
      <c r="K89" s="894">
        <f t="shared" si="15"/>
        <v>0</v>
      </c>
      <c r="L89" s="740" t="str">
        <f t="shared" si="16"/>
        <v>12</v>
      </c>
      <c r="M89" s="740" t="str">
        <f t="shared" si="17"/>
        <v>Среднесписочная численность основного производственного персонала</v>
      </c>
      <c r="N89" s="740" t="str">
        <f t="shared" si="18"/>
        <v/>
      </c>
      <c r="O89" s="848" t="s">
        <v>169</v>
      </c>
      <c r="P89" s="848" t="s">
        <v>97</v>
      </c>
      <c r="Q89" s="848" t="s">
        <v>97</v>
      </c>
      <c r="R89" s="848" t="s">
        <v>167</v>
      </c>
      <c r="S89" s="848"/>
      <c r="T89" s="739" t="s">
        <v>2209</v>
      </c>
      <c r="U89" s="739" t="s">
        <v>2209</v>
      </c>
      <c r="V89" s="739" t="s">
        <v>2209</v>
      </c>
      <c r="W89" s="739" t="s">
        <v>2209</v>
      </c>
      <c r="X89" s="739"/>
      <c r="Y89" s="890"/>
      <c r="Z89" s="742"/>
      <c r="AA89" s="745"/>
      <c r="AB89" s="742"/>
      <c r="AC89" s="742"/>
      <c r="AD89" s="742"/>
    </row>
    <row r="90" spans="1:30" ht="27" customHeight="1">
      <c r="A90" s="741"/>
      <c r="B90" s="794">
        <v>73</v>
      </c>
      <c r="C90" s="739" t="s">
        <v>2210</v>
      </c>
      <c r="D90" s="858"/>
      <c r="E90" s="739"/>
      <c r="F90" s="739"/>
      <c r="G90" s="739"/>
      <c r="H90" s="786"/>
      <c r="I90" s="894">
        <f t="shared" si="13"/>
        <v>0</v>
      </c>
      <c r="J90" s="894">
        <f t="shared" si="14"/>
        <v>0</v>
      </c>
      <c r="K90" s="894">
        <f t="shared" si="15"/>
        <v>0</v>
      </c>
      <c r="L90" s="740" t="str">
        <f t="shared" si="16"/>
        <v/>
      </c>
      <c r="M90" s="740" t="str">
        <f t="shared" si="17"/>
        <v/>
      </c>
      <c r="N90" s="740" t="str">
        <f t="shared" si="18"/>
        <v/>
      </c>
      <c r="O90" s="848" t="s">
        <v>170</v>
      </c>
      <c r="P90" s="848"/>
      <c r="Q90" s="848"/>
      <c r="R90" s="848"/>
      <c r="S90" s="848"/>
      <c r="T90" s="739" t="s">
        <v>2211</v>
      </c>
      <c r="U90" s="739"/>
      <c r="V90" s="739"/>
      <c r="W90" s="739"/>
      <c r="X90" s="739"/>
      <c r="Y90" s="890"/>
      <c r="Z90" s="742"/>
      <c r="AA90" s="745"/>
      <c r="AB90" s="742"/>
      <c r="AC90" s="742"/>
      <c r="AD90" s="742"/>
    </row>
    <row r="91" spans="1:30" ht="18" customHeight="1">
      <c r="A91" s="741"/>
      <c r="B91" s="794">
        <v>74</v>
      </c>
      <c r="C91" s="739"/>
      <c r="D91" s="858" t="s">
        <v>2206</v>
      </c>
      <c r="E91" s="739" t="s">
        <v>2206</v>
      </c>
      <c r="F91" s="739"/>
      <c r="G91" s="739"/>
      <c r="H91" s="786"/>
      <c r="I91" s="894" t="str">
        <f t="shared" si="13"/>
        <v>13</v>
      </c>
      <c r="J91" s="894" t="str">
        <f t="shared" si="14"/>
        <v>Удельный расход электрической энергии на подачу воды в сеть</v>
      </c>
      <c r="K91" s="894">
        <f t="shared" si="15"/>
        <v>0</v>
      </c>
      <c r="L91" s="740" t="str">
        <f t="shared" si="16"/>
        <v>13</v>
      </c>
      <c r="M91" s="740" t="str">
        <f t="shared" si="17"/>
        <v>Удельный расход электрической энергии на подачу воды в сеть</v>
      </c>
      <c r="N91" s="740" t="str">
        <f t="shared" si="18"/>
        <v/>
      </c>
      <c r="O91" s="848"/>
      <c r="P91" s="848" t="s">
        <v>169</v>
      </c>
      <c r="Q91" s="848" t="s">
        <v>169</v>
      </c>
      <c r="R91" s="848"/>
      <c r="S91" s="848"/>
      <c r="T91" s="739"/>
      <c r="U91" s="739" t="s">
        <v>2212</v>
      </c>
      <c r="V91" s="739" t="s">
        <v>2212</v>
      </c>
      <c r="W91" s="739"/>
      <c r="X91" s="739"/>
      <c r="Y91" s="890"/>
      <c r="Z91" s="742"/>
      <c r="AA91" s="745"/>
      <c r="AB91" s="742"/>
      <c r="AC91" s="742"/>
      <c r="AD91" s="742"/>
    </row>
    <row r="92" spans="1:30" ht="27" customHeight="1">
      <c r="A92" s="741"/>
      <c r="B92" s="794">
        <v>75</v>
      </c>
      <c r="C92" s="739"/>
      <c r="D92" s="858" t="s">
        <v>2208</v>
      </c>
      <c r="E92" s="739"/>
      <c r="F92" s="739"/>
      <c r="G92" s="739"/>
      <c r="H92" s="786"/>
      <c r="I92" s="894">
        <f t="shared" si="13"/>
        <v>0</v>
      </c>
      <c r="J92" s="894">
        <f t="shared" si="14"/>
        <v>0</v>
      </c>
      <c r="K92" s="894">
        <f t="shared" si="15"/>
        <v>0</v>
      </c>
      <c r="L92" s="740" t="str">
        <f t="shared" si="16"/>
        <v/>
      </c>
      <c r="M92" s="740" t="str">
        <f t="shared" si="17"/>
        <v/>
      </c>
      <c r="N92" s="740" t="str">
        <f t="shared" si="18"/>
        <v/>
      </c>
      <c r="O92" s="848"/>
      <c r="P92" s="848" t="s">
        <v>170</v>
      </c>
      <c r="Q92" s="848"/>
      <c r="R92" s="848"/>
      <c r="S92" s="848"/>
      <c r="T92" s="739"/>
      <c r="U92" s="739" t="s">
        <v>2213</v>
      </c>
      <c r="V92" s="739"/>
      <c r="W92" s="739"/>
      <c r="X92" s="739"/>
      <c r="Y92" s="890"/>
      <c r="Z92" s="742"/>
      <c r="AA92" s="745" t="s">
        <v>2214</v>
      </c>
      <c r="AB92" s="742"/>
      <c r="AC92" s="742"/>
      <c r="AD92" s="742"/>
    </row>
    <row r="93" spans="1:30" ht="27" customHeight="1">
      <c r="A93" s="741"/>
      <c r="B93" s="794">
        <v>76</v>
      </c>
      <c r="C93" s="739"/>
      <c r="D93" s="858"/>
      <c r="E93" s="739"/>
      <c r="F93" s="739"/>
      <c r="G93" s="739"/>
      <c r="H93" s="786"/>
      <c r="I93" s="894">
        <f t="shared" si="13"/>
        <v>0</v>
      </c>
      <c r="J93" s="894">
        <f t="shared" si="14"/>
        <v>0</v>
      </c>
      <c r="K93" s="894">
        <f t="shared" si="15"/>
        <v>0</v>
      </c>
      <c r="L93" s="740" t="str">
        <f t="shared" si="16"/>
        <v/>
      </c>
      <c r="M93" s="740" t="str">
        <f t="shared" si="17"/>
        <v/>
      </c>
      <c r="N93" s="740" t="str">
        <f t="shared" si="18"/>
        <v/>
      </c>
      <c r="O93" s="848"/>
      <c r="P93" s="848" t="s">
        <v>2113</v>
      </c>
      <c r="Q93" s="848"/>
      <c r="R93" s="848"/>
      <c r="S93" s="848"/>
      <c r="T93" s="739"/>
      <c r="U93" s="739" t="s">
        <v>2215</v>
      </c>
      <c r="V93" s="739"/>
      <c r="W93" s="739"/>
      <c r="X93" s="739"/>
      <c r="Y93" s="890"/>
      <c r="Z93" s="742"/>
      <c r="AA93" s="745" t="s">
        <v>2216</v>
      </c>
      <c r="AB93" s="742"/>
      <c r="AC93" s="742"/>
      <c r="AD93" s="742"/>
    </row>
    <row r="94" spans="1:30" ht="45" customHeight="1">
      <c r="A94" s="741"/>
      <c r="B94" s="794">
        <v>77</v>
      </c>
      <c r="C94" s="739"/>
      <c r="D94" s="858" t="s">
        <v>2210</v>
      </c>
      <c r="E94" s="739"/>
      <c r="F94" s="739"/>
      <c r="G94" s="739"/>
      <c r="H94" s="786"/>
      <c r="I94" s="894">
        <f t="shared" si="13"/>
        <v>0</v>
      </c>
      <c r="J94" s="894">
        <f t="shared" si="14"/>
        <v>0</v>
      </c>
      <c r="K94" s="894">
        <f t="shared" si="15"/>
        <v>0</v>
      </c>
      <c r="L94" s="740" t="str">
        <f t="shared" si="16"/>
        <v/>
      </c>
      <c r="M94" s="740" t="str">
        <f t="shared" si="17"/>
        <v/>
      </c>
      <c r="N94" s="740" t="str">
        <f t="shared" si="18"/>
        <v/>
      </c>
      <c r="O94" s="848"/>
      <c r="P94" s="848" t="s">
        <v>1467</v>
      </c>
      <c r="Q94" s="848"/>
      <c r="R94" s="848"/>
      <c r="S94" s="848"/>
      <c r="T94" s="739"/>
      <c r="U94" s="739" t="s">
        <v>2217</v>
      </c>
      <c r="V94" s="739"/>
      <c r="W94" s="739"/>
      <c r="X94" s="739"/>
      <c r="Y94" s="890"/>
      <c r="Z94" s="742"/>
      <c r="AA94" s="745" t="s">
        <v>2218</v>
      </c>
      <c r="AB94" s="742"/>
      <c r="AC94" s="742"/>
      <c r="AD94" s="742"/>
    </row>
    <row r="95" spans="1:30" ht="99" customHeight="1">
      <c r="A95" s="741"/>
      <c r="B95" s="794">
        <v>78</v>
      </c>
      <c r="C95" s="739" t="s">
        <v>2219</v>
      </c>
      <c r="D95" s="858"/>
      <c r="E95" s="739"/>
      <c r="F95" s="739"/>
      <c r="G95" s="739"/>
      <c r="H95" s="786"/>
      <c r="I95" s="894">
        <f t="shared" si="13"/>
        <v>0</v>
      </c>
      <c r="J95" s="894">
        <f t="shared" si="14"/>
        <v>0</v>
      </c>
      <c r="K95" s="894">
        <f t="shared" si="15"/>
        <v>0</v>
      </c>
      <c r="L95" s="740" t="str">
        <f t="shared" si="16"/>
        <v/>
      </c>
      <c r="M95" s="740" t="str">
        <f t="shared" si="17"/>
        <v/>
      </c>
      <c r="N95" s="740" t="str">
        <f t="shared" si="18"/>
        <v/>
      </c>
      <c r="O95" s="848" t="s">
        <v>1467</v>
      </c>
      <c r="P95" s="848"/>
      <c r="Q95" s="848"/>
      <c r="R95" s="848"/>
      <c r="S95" s="848"/>
      <c r="T95" s="739" t="s">
        <v>2220</v>
      </c>
      <c r="U95" s="739"/>
      <c r="V95" s="739"/>
      <c r="W95" s="739"/>
      <c r="X95" s="739"/>
      <c r="Y95" s="890"/>
      <c r="Z95" s="742"/>
      <c r="AA95" s="745"/>
      <c r="AB95" s="742"/>
      <c r="AC95" s="742"/>
      <c r="AD95" s="742"/>
    </row>
    <row r="96" spans="1:30" ht="99" customHeight="1">
      <c r="A96" s="741"/>
      <c r="B96" s="794">
        <v>79</v>
      </c>
      <c r="C96" s="739" t="s">
        <v>1154</v>
      </c>
      <c r="D96" s="858"/>
      <c r="E96" s="739"/>
      <c r="F96" s="739"/>
      <c r="G96" s="739"/>
      <c r="H96" s="786"/>
      <c r="I96" s="894">
        <f t="shared" si="13"/>
        <v>0</v>
      </c>
      <c r="J96" s="894">
        <f t="shared" si="14"/>
        <v>0</v>
      </c>
      <c r="K96" s="894">
        <f t="shared" si="15"/>
        <v>0</v>
      </c>
      <c r="L96" s="740" t="str">
        <f t="shared" si="16"/>
        <v/>
      </c>
      <c r="M96" s="740" t="str">
        <f t="shared" si="17"/>
        <v/>
      </c>
      <c r="N96" s="740" t="str">
        <f t="shared" si="18"/>
        <v/>
      </c>
      <c r="O96" s="848" t="s">
        <v>1473</v>
      </c>
      <c r="P96" s="848"/>
      <c r="Q96" s="848"/>
      <c r="R96" s="848"/>
      <c r="S96" s="848"/>
      <c r="T96" s="739" t="s">
        <v>2221</v>
      </c>
      <c r="U96" s="739"/>
      <c r="V96" s="739"/>
      <c r="W96" s="739"/>
      <c r="X96" s="739"/>
      <c r="Y96" s="890"/>
      <c r="Z96" s="742" t="s">
        <v>2222</v>
      </c>
      <c r="AA96" s="745"/>
      <c r="AB96" s="742"/>
      <c r="AC96" s="742"/>
      <c r="AD96" s="742"/>
    </row>
    <row r="97" spans="1:30" ht="63" customHeight="1">
      <c r="A97" s="741"/>
      <c r="B97" s="794">
        <v>80</v>
      </c>
      <c r="C97" s="739" t="s">
        <v>2223</v>
      </c>
      <c r="D97" s="858"/>
      <c r="E97" s="739"/>
      <c r="F97" s="739"/>
      <c r="G97" s="739"/>
      <c r="H97" s="786"/>
      <c r="I97" s="894">
        <f t="shared" si="13"/>
        <v>0</v>
      </c>
      <c r="J97" s="894">
        <f t="shared" si="14"/>
        <v>0</v>
      </c>
      <c r="K97" s="894">
        <f t="shared" si="15"/>
        <v>0</v>
      </c>
      <c r="L97" s="740" t="str">
        <f t="shared" si="16"/>
        <v/>
      </c>
      <c r="M97" s="740" t="str">
        <f t="shared" si="17"/>
        <v/>
      </c>
      <c r="N97" s="740" t="str">
        <f t="shared" si="18"/>
        <v/>
      </c>
      <c r="O97" s="848" t="s">
        <v>1484</v>
      </c>
      <c r="P97" s="848"/>
      <c r="Q97" s="848"/>
      <c r="R97" s="848"/>
      <c r="S97" s="848"/>
      <c r="T97" s="739" t="s">
        <v>2224</v>
      </c>
      <c r="U97" s="739"/>
      <c r="V97" s="739"/>
      <c r="W97" s="739"/>
      <c r="X97" s="739"/>
      <c r="Y97" s="890"/>
      <c r="Z97" s="742" t="s">
        <v>2225</v>
      </c>
      <c r="AA97" s="745"/>
      <c r="AB97" s="742"/>
      <c r="AC97" s="742"/>
      <c r="AD97" s="742"/>
    </row>
    <row r="98" spans="1:30" ht="63" customHeight="1">
      <c r="A98" s="741"/>
      <c r="B98" s="794">
        <v>81</v>
      </c>
      <c r="C98" s="739" t="s">
        <v>2226</v>
      </c>
      <c r="D98" s="858"/>
      <c r="E98" s="739"/>
      <c r="F98" s="739"/>
      <c r="G98" s="739"/>
      <c r="H98" s="786"/>
      <c r="I98" s="894">
        <f t="shared" si="13"/>
        <v>0</v>
      </c>
      <c r="J98" s="894">
        <f t="shared" si="14"/>
        <v>0</v>
      </c>
      <c r="K98" s="894">
        <f t="shared" si="15"/>
        <v>0</v>
      </c>
      <c r="L98" s="740" t="str">
        <f t="shared" si="16"/>
        <v/>
      </c>
      <c r="M98" s="740" t="str">
        <f t="shared" si="17"/>
        <v/>
      </c>
      <c r="N98" s="740" t="str">
        <f t="shared" si="18"/>
        <v/>
      </c>
      <c r="O98" s="848" t="s">
        <v>1498</v>
      </c>
      <c r="P98" s="848"/>
      <c r="Q98" s="848"/>
      <c r="R98" s="848"/>
      <c r="S98" s="848"/>
      <c r="T98" s="739" t="s">
        <v>2227</v>
      </c>
      <c r="U98" s="739"/>
      <c r="V98" s="739"/>
      <c r="W98" s="739"/>
      <c r="X98" s="739"/>
      <c r="Y98" s="890"/>
      <c r="Z98" s="742" t="s">
        <v>2225</v>
      </c>
      <c r="AA98" s="745"/>
      <c r="AB98" s="742"/>
      <c r="AC98" s="742"/>
      <c r="AD98" s="742"/>
    </row>
    <row r="99" spans="1:30" ht="90" customHeight="1">
      <c r="A99" s="741"/>
      <c r="B99" s="794">
        <v>82</v>
      </c>
      <c r="C99" s="739" t="s">
        <v>2228</v>
      </c>
      <c r="D99" s="858"/>
      <c r="E99" s="739"/>
      <c r="F99" s="739"/>
      <c r="G99" s="739"/>
      <c r="H99" s="786"/>
      <c r="I99" s="894">
        <f t="shared" si="13"/>
        <v>0</v>
      </c>
      <c r="J99" s="894">
        <f t="shared" si="14"/>
        <v>0</v>
      </c>
      <c r="K99" s="894">
        <f t="shared" si="15"/>
        <v>0</v>
      </c>
      <c r="L99" s="740" t="str">
        <f t="shared" si="16"/>
        <v/>
      </c>
      <c r="M99" s="740" t="str">
        <f t="shared" si="17"/>
        <v/>
      </c>
      <c r="N99" s="740" t="str">
        <f t="shared" si="18"/>
        <v/>
      </c>
      <c r="O99" s="848" t="s">
        <v>1510</v>
      </c>
      <c r="P99" s="848"/>
      <c r="Q99" s="848"/>
      <c r="R99" s="848"/>
      <c r="S99" s="848"/>
      <c r="T99" s="739" t="s">
        <v>2229</v>
      </c>
      <c r="U99" s="739"/>
      <c r="V99" s="739"/>
      <c r="W99" s="739"/>
      <c r="X99" s="739"/>
      <c r="Y99" s="890"/>
      <c r="Z99" s="742" t="s">
        <v>895</v>
      </c>
      <c r="AA99" s="745"/>
      <c r="AB99" s="742"/>
      <c r="AC99" s="742"/>
      <c r="AD99" s="742"/>
    </row>
    <row r="100" spans="1:30" ht="27" customHeight="1">
      <c r="A100" s="741"/>
      <c r="B100" s="794">
        <v>83</v>
      </c>
      <c r="C100" s="739"/>
      <c r="D100" s="858"/>
      <c r="E100" s="739"/>
      <c r="F100" s="739"/>
      <c r="G100" s="739"/>
      <c r="H100" s="786"/>
      <c r="I100" s="894">
        <f t="shared" si="13"/>
        <v>0</v>
      </c>
      <c r="J100" s="894">
        <f t="shared" si="14"/>
        <v>0</v>
      </c>
      <c r="K100" s="894">
        <f t="shared" si="15"/>
        <v>0</v>
      </c>
      <c r="L100" s="740" t="str">
        <f t="shared" si="16"/>
        <v/>
      </c>
      <c r="M100" s="740" t="str">
        <f t="shared" si="17"/>
        <v/>
      </c>
      <c r="N100" s="740" t="str">
        <f t="shared" si="18"/>
        <v/>
      </c>
      <c r="O100" s="848" t="s">
        <v>2230</v>
      </c>
      <c r="P100" s="848"/>
      <c r="Q100" s="848"/>
      <c r="R100" s="848"/>
      <c r="S100" s="848"/>
      <c r="T100" s="739" t="s">
        <v>2231</v>
      </c>
      <c r="U100" s="739"/>
      <c r="V100" s="739"/>
      <c r="W100" s="739"/>
      <c r="X100" s="739"/>
      <c r="Y100" s="890"/>
      <c r="Z100" s="742" t="s">
        <v>895</v>
      </c>
      <c r="AA100" s="745"/>
      <c r="AB100" s="742"/>
      <c r="AC100" s="742"/>
      <c r="AD100" s="742"/>
    </row>
    <row r="101" spans="1:30" ht="27" customHeight="1">
      <c r="A101" s="741"/>
      <c r="B101" s="794">
        <v>84</v>
      </c>
      <c r="C101" s="739"/>
      <c r="D101" s="858"/>
      <c r="E101" s="739"/>
      <c r="F101" s="739"/>
      <c r="G101" s="739"/>
      <c r="H101" s="786"/>
      <c r="I101" s="894">
        <f t="shared" si="13"/>
        <v>0</v>
      </c>
      <c r="J101" s="894">
        <f t="shared" si="14"/>
        <v>0</v>
      </c>
      <c r="K101" s="894">
        <f t="shared" si="15"/>
        <v>0</v>
      </c>
      <c r="L101" s="740" t="str">
        <f t="shared" si="16"/>
        <v/>
      </c>
      <c r="M101" s="740" t="str">
        <f t="shared" si="17"/>
        <v/>
      </c>
      <c r="N101" s="740" t="str">
        <f t="shared" si="18"/>
        <v/>
      </c>
      <c r="O101" s="848" t="s">
        <v>2232</v>
      </c>
      <c r="P101" s="848"/>
      <c r="Q101" s="848"/>
      <c r="R101" s="848"/>
      <c r="S101" s="848"/>
      <c r="T101" s="739" t="s">
        <v>2233</v>
      </c>
      <c r="U101" s="739"/>
      <c r="V101" s="739"/>
      <c r="W101" s="739"/>
      <c r="X101" s="739"/>
      <c r="Y101" s="890"/>
      <c r="Z101" s="742" t="s">
        <v>895</v>
      </c>
      <c r="AA101" s="745"/>
      <c r="AB101" s="742"/>
      <c r="AC101" s="742"/>
      <c r="AD101" s="742"/>
    </row>
    <row r="102" spans="1:30" ht="9" customHeight="1">
      <c r="A102" s="741"/>
      <c r="B102" s="741"/>
      <c r="C102" s="739"/>
      <c r="D102" s="739"/>
      <c r="E102" s="739"/>
      <c r="F102" s="739"/>
      <c r="G102" s="739"/>
      <c r="H102" s="786"/>
      <c r="I102" s="786"/>
      <c r="J102" s="786"/>
      <c r="K102" s="786"/>
      <c r="L102" s="786"/>
      <c r="M102" s="739"/>
      <c r="N102" s="785"/>
      <c r="O102" s="848"/>
      <c r="P102" s="848"/>
      <c r="Q102" s="848"/>
      <c r="R102" s="848"/>
      <c r="S102" s="739"/>
      <c r="T102" s="739"/>
      <c r="U102" s="739"/>
      <c r="V102" s="739"/>
      <c r="W102" s="739"/>
      <c r="X102" s="739"/>
      <c r="Y102" s="890"/>
      <c r="Z102" s="742"/>
      <c r="AA102" s="745"/>
      <c r="AB102" s="742"/>
      <c r="AC102" s="742"/>
      <c r="AD102" s="742"/>
    </row>
    <row r="103" spans="1:30" ht="9" customHeight="1">
      <c r="A103" s="741"/>
      <c r="B103" s="741"/>
      <c r="C103" s="739"/>
      <c r="D103" s="739"/>
      <c r="E103" s="739"/>
      <c r="F103" s="739"/>
      <c r="G103" s="739"/>
      <c r="H103" s="786"/>
      <c r="I103" s="786"/>
      <c r="J103" s="786"/>
      <c r="K103" s="786"/>
      <c r="L103" s="786"/>
      <c r="M103" s="739"/>
      <c r="N103" s="785"/>
      <c r="O103" s="848"/>
      <c r="P103" s="848"/>
      <c r="Q103" s="848"/>
      <c r="R103" s="848"/>
      <c r="S103" s="739"/>
      <c r="T103" s="739"/>
      <c r="U103" s="739"/>
      <c r="V103" s="739"/>
      <c r="W103" s="739"/>
      <c r="X103" s="739"/>
      <c r="Y103" s="890"/>
      <c r="Z103" s="742"/>
      <c r="AA103" s="745"/>
      <c r="AB103" s="742"/>
      <c r="AC103" s="742"/>
      <c r="AD103" s="742"/>
    </row>
    <row r="104" spans="1:30" ht="9" customHeight="1">
      <c r="A104" s="741"/>
      <c r="B104" s="741"/>
      <c r="C104" s="739"/>
      <c r="D104" s="739"/>
      <c r="E104" s="739"/>
      <c r="F104" s="739"/>
      <c r="G104" s="739"/>
      <c r="H104" s="786"/>
      <c r="I104" s="786"/>
      <c r="J104" s="786"/>
      <c r="K104" s="786"/>
      <c r="L104" s="786"/>
      <c r="M104" s="739"/>
      <c r="N104" s="785"/>
      <c r="O104" s="848"/>
      <c r="P104" s="848"/>
      <c r="Q104" s="848"/>
      <c r="R104" s="848"/>
      <c r="S104" s="739"/>
      <c r="T104" s="739"/>
      <c r="U104" s="739"/>
      <c r="V104" s="739"/>
      <c r="W104" s="739"/>
      <c r="X104" s="739"/>
      <c r="Y104" s="890"/>
      <c r="Z104" s="742"/>
      <c r="AA104" s="745"/>
      <c r="AB104" s="742"/>
      <c r="AC104" s="742"/>
      <c r="AD104" s="742"/>
    </row>
    <row r="105" spans="1:30" ht="9" customHeight="1">
      <c r="A105" s="741"/>
      <c r="B105" s="741"/>
      <c r="C105" s="739"/>
      <c r="D105" s="739"/>
      <c r="E105" s="739"/>
      <c r="F105" s="739"/>
      <c r="G105" s="739"/>
      <c r="H105" s="786"/>
      <c r="I105" s="786"/>
      <c r="J105" s="786"/>
      <c r="K105" s="786"/>
      <c r="L105" s="786"/>
      <c r="M105" s="739"/>
      <c r="N105" s="785"/>
      <c r="O105" s="848"/>
      <c r="P105" s="848"/>
      <c r="Q105" s="848"/>
      <c r="R105" s="848"/>
      <c r="S105" s="739"/>
      <c r="T105" s="739"/>
      <c r="U105" s="739"/>
      <c r="V105" s="739"/>
      <c r="W105" s="739"/>
      <c r="X105" s="739"/>
      <c r="Y105" s="890"/>
      <c r="Z105" s="742"/>
      <c r="AA105" s="745"/>
      <c r="AB105" s="742"/>
      <c r="AC105" s="742"/>
      <c r="AD105" s="742"/>
    </row>
    <row r="106" spans="1:30" ht="9" customHeight="1">
      <c r="A106" s="741"/>
      <c r="B106" s="741"/>
      <c r="C106" s="739"/>
      <c r="D106" s="739"/>
      <c r="E106" s="739"/>
      <c r="F106" s="739"/>
      <c r="G106" s="739"/>
      <c r="H106" s="786"/>
      <c r="I106" s="786"/>
      <c r="J106" s="786"/>
      <c r="K106" s="786"/>
      <c r="L106" s="786"/>
      <c r="M106" s="739"/>
      <c r="N106" s="785"/>
      <c r="O106" s="848"/>
      <c r="P106" s="848"/>
      <c r="Q106" s="848"/>
      <c r="R106" s="848"/>
      <c r="S106" s="739"/>
      <c r="T106" s="739"/>
      <c r="U106" s="739"/>
      <c r="V106" s="739"/>
      <c r="W106" s="739"/>
      <c r="X106" s="739"/>
      <c r="Y106" s="890"/>
      <c r="Z106" s="742"/>
      <c r="AA106" s="745"/>
      <c r="AB106" s="742"/>
      <c r="AC106" s="742"/>
      <c r="AD106" s="742"/>
    </row>
    <row r="107" spans="1:30" ht="9" customHeight="1">
      <c r="A107" s="741"/>
      <c r="B107" s="741"/>
      <c r="C107" s="739"/>
      <c r="D107" s="739"/>
      <c r="E107" s="739"/>
      <c r="F107" s="739"/>
      <c r="G107" s="739"/>
      <c r="H107" s="786"/>
      <c r="I107" s="786"/>
      <c r="J107" s="786"/>
      <c r="K107" s="786"/>
      <c r="L107" s="786"/>
      <c r="M107" s="739"/>
      <c r="N107" s="785"/>
      <c r="O107" s="848"/>
      <c r="P107" s="848"/>
      <c r="Q107" s="848"/>
      <c r="R107" s="848"/>
      <c r="S107" s="739"/>
      <c r="T107" s="739"/>
      <c r="U107" s="739"/>
      <c r="V107" s="739"/>
      <c r="W107" s="739"/>
      <c r="X107" s="739"/>
      <c r="Y107" s="890"/>
      <c r="Z107" s="742"/>
      <c r="AA107" s="745"/>
      <c r="AB107" s="742"/>
      <c r="AC107" s="742"/>
      <c r="AD107" s="742"/>
    </row>
    <row r="108" spans="1:30" ht="9" customHeight="1">
      <c r="A108" s="741"/>
      <c r="B108" s="741"/>
      <c r="C108" s="739"/>
      <c r="D108" s="739"/>
      <c r="E108" s="739"/>
      <c r="F108" s="739"/>
      <c r="G108" s="739"/>
      <c r="H108" s="786"/>
      <c r="I108" s="786"/>
      <c r="J108" s="786"/>
      <c r="K108" s="786"/>
      <c r="L108" s="786"/>
      <c r="M108" s="739"/>
      <c r="N108" s="785"/>
      <c r="O108" s="848"/>
      <c r="P108" s="848"/>
      <c r="Q108" s="848"/>
      <c r="R108" s="848"/>
      <c r="S108" s="739"/>
      <c r="T108" s="739"/>
      <c r="U108" s="739"/>
      <c r="V108" s="739"/>
      <c r="W108" s="739"/>
      <c r="X108" s="739"/>
      <c r="Y108" s="890"/>
      <c r="Z108" s="742"/>
      <c r="AA108" s="745"/>
      <c r="AB108" s="742"/>
      <c r="AC108" s="742"/>
      <c r="AD108" s="742"/>
    </row>
    <row r="109" spans="1:30" ht="9" customHeight="1">
      <c r="A109" s="741"/>
      <c r="B109" s="741"/>
      <c r="C109" s="739"/>
      <c r="D109" s="739"/>
      <c r="E109" s="739"/>
      <c r="F109" s="739"/>
      <c r="G109" s="739"/>
      <c r="H109" s="786"/>
      <c r="I109" s="786"/>
      <c r="J109" s="786"/>
      <c r="K109" s="786"/>
      <c r="L109" s="786"/>
      <c r="M109" s="739"/>
      <c r="N109" s="785"/>
      <c r="O109" s="848"/>
      <c r="P109" s="848"/>
      <c r="Q109" s="848"/>
      <c r="R109" s="848"/>
      <c r="S109" s="739"/>
      <c r="T109" s="739"/>
      <c r="U109" s="739"/>
      <c r="V109" s="739"/>
      <c r="W109" s="739"/>
      <c r="X109" s="739"/>
      <c r="Y109" s="890"/>
      <c r="Z109" s="742"/>
      <c r="AA109" s="745"/>
      <c r="AB109" s="742"/>
      <c r="AC109" s="742"/>
      <c r="AD109" s="742"/>
    </row>
    <row r="110" spans="1:30" ht="9" customHeight="1">
      <c r="A110" s="741"/>
      <c r="B110" s="741"/>
      <c r="C110" s="739"/>
      <c r="D110" s="739"/>
      <c r="E110" s="739"/>
      <c r="F110" s="739"/>
      <c r="G110" s="739"/>
      <c r="H110" s="786"/>
      <c r="I110" s="786"/>
      <c r="J110" s="786"/>
      <c r="K110" s="786"/>
      <c r="L110" s="786"/>
      <c r="M110" s="739"/>
      <c r="N110" s="785"/>
      <c r="O110" s="848"/>
      <c r="P110" s="848"/>
      <c r="Q110" s="848"/>
      <c r="R110" s="848"/>
      <c r="S110" s="739"/>
      <c r="T110" s="739"/>
      <c r="U110" s="739"/>
      <c r="V110" s="739"/>
      <c r="W110" s="739"/>
      <c r="X110" s="739"/>
      <c r="Y110" s="890"/>
      <c r="Z110" s="742"/>
      <c r="AA110" s="745"/>
      <c r="AB110" s="742"/>
      <c r="AC110" s="742"/>
      <c r="AD110" s="742"/>
    </row>
    <row r="111" spans="1:30" ht="9" customHeight="1">
      <c r="A111" s="741"/>
      <c r="B111" s="741"/>
      <c r="C111" s="739"/>
      <c r="D111" s="739"/>
      <c r="E111" s="739"/>
      <c r="F111" s="739"/>
      <c r="G111" s="739"/>
      <c r="H111" s="786"/>
      <c r="I111" s="786"/>
      <c r="J111" s="786"/>
      <c r="K111" s="786"/>
      <c r="L111" s="786"/>
      <c r="M111" s="739"/>
      <c r="N111" s="785"/>
      <c r="O111" s="848"/>
      <c r="P111" s="848"/>
      <c r="Q111" s="848"/>
      <c r="R111" s="848"/>
      <c r="S111" s="739"/>
      <c r="T111" s="739"/>
      <c r="U111" s="739"/>
      <c r="V111" s="739"/>
      <c r="W111" s="739"/>
      <c r="X111" s="739"/>
      <c r="Y111" s="890"/>
      <c r="Z111" s="742"/>
      <c r="AA111" s="745"/>
      <c r="AB111" s="742"/>
      <c r="AC111" s="742"/>
      <c r="AD111" s="742"/>
    </row>
    <row r="112" spans="1:30" ht="9" customHeight="1">
      <c r="A112" s="741"/>
      <c r="B112" s="741"/>
      <c r="C112" s="739"/>
      <c r="D112" s="739"/>
      <c r="E112" s="739"/>
      <c r="F112" s="739"/>
      <c r="G112" s="739"/>
      <c r="H112" s="786"/>
      <c r="I112" s="786"/>
      <c r="J112" s="786"/>
      <c r="K112" s="786"/>
      <c r="L112" s="786"/>
      <c r="M112" s="739"/>
      <c r="N112" s="785"/>
      <c r="O112" s="848"/>
      <c r="P112" s="848"/>
      <c r="Q112" s="848"/>
      <c r="R112" s="848"/>
      <c r="S112" s="739"/>
      <c r="T112" s="739"/>
      <c r="U112" s="739"/>
      <c r="V112" s="739"/>
      <c r="W112" s="739"/>
      <c r="X112" s="739"/>
      <c r="Y112" s="890"/>
      <c r="Z112" s="742"/>
      <c r="AA112" s="745"/>
      <c r="AB112" s="742"/>
      <c r="AC112" s="742"/>
      <c r="AD112" s="742"/>
    </row>
    <row r="113" spans="1:30" ht="9" customHeight="1">
      <c r="A113" s="741"/>
      <c r="B113" s="741"/>
      <c r="C113" s="739"/>
      <c r="D113" s="739"/>
      <c r="E113" s="739"/>
      <c r="F113" s="739"/>
      <c r="G113" s="739"/>
      <c r="H113" s="786"/>
      <c r="I113" s="786"/>
      <c r="J113" s="786"/>
      <c r="K113" s="786"/>
      <c r="L113" s="786"/>
      <c r="M113" s="739"/>
      <c r="N113" s="785"/>
      <c r="O113" s="848"/>
      <c r="P113" s="848"/>
      <c r="Q113" s="848"/>
      <c r="R113" s="848"/>
      <c r="S113" s="739"/>
      <c r="T113" s="739"/>
      <c r="U113" s="739"/>
      <c r="V113" s="739"/>
      <c r="W113" s="739"/>
      <c r="X113" s="739"/>
      <c r="Y113" s="890"/>
      <c r="Z113" s="742"/>
      <c r="AA113" s="745"/>
      <c r="AB113" s="742"/>
      <c r="AC113" s="742"/>
      <c r="AD113" s="742"/>
    </row>
    <row r="114" spans="1:30" ht="9" customHeight="1">
      <c r="A114" s="741"/>
      <c r="B114" s="741"/>
      <c r="C114" s="739"/>
      <c r="D114" s="739"/>
      <c r="E114" s="739"/>
      <c r="F114" s="739"/>
      <c r="G114" s="739"/>
      <c r="H114" s="786"/>
      <c r="I114" s="786"/>
      <c r="J114" s="786"/>
      <c r="K114" s="786"/>
      <c r="L114" s="786"/>
      <c r="M114" s="739"/>
      <c r="N114" s="785"/>
      <c r="O114" s="848"/>
      <c r="P114" s="848"/>
      <c r="Q114" s="848"/>
      <c r="R114" s="848"/>
      <c r="S114" s="739"/>
      <c r="T114" s="739"/>
      <c r="U114" s="739"/>
      <c r="V114" s="739"/>
      <c r="W114" s="739"/>
      <c r="X114" s="739"/>
      <c r="Y114" s="890"/>
      <c r="Z114" s="742"/>
      <c r="AA114" s="745"/>
      <c r="AB114" s="742"/>
      <c r="AC114" s="742"/>
      <c r="AD114" s="742"/>
    </row>
    <row r="115" spans="1:30" ht="9" customHeight="1">
      <c r="A115" s="741"/>
      <c r="B115" s="741"/>
      <c r="C115" s="739"/>
      <c r="D115" s="739"/>
      <c r="E115" s="739"/>
      <c r="F115" s="739"/>
      <c r="G115" s="739"/>
      <c r="H115" s="786"/>
      <c r="I115" s="786"/>
      <c r="J115" s="786"/>
      <c r="K115" s="786"/>
      <c r="L115" s="786"/>
      <c r="M115" s="739"/>
      <c r="N115" s="785"/>
      <c r="O115" s="848"/>
      <c r="P115" s="848"/>
      <c r="Q115" s="848"/>
      <c r="R115" s="848"/>
      <c r="S115" s="739"/>
      <c r="T115" s="739"/>
      <c r="U115" s="739"/>
      <c r="V115" s="739"/>
      <c r="W115" s="739"/>
      <c r="X115" s="739"/>
      <c r="Y115" s="890"/>
      <c r="Z115" s="742"/>
      <c r="AA115" s="745"/>
      <c r="AB115" s="742"/>
      <c r="AC115" s="742"/>
      <c r="AD115" s="742"/>
    </row>
    <row r="116" spans="1:30" ht="9" customHeight="1">
      <c r="A116" s="741"/>
      <c r="B116" s="741"/>
      <c r="C116" s="739"/>
      <c r="D116" s="739"/>
      <c r="E116" s="739"/>
      <c r="F116" s="739"/>
      <c r="G116" s="739"/>
      <c r="H116" s="786"/>
      <c r="I116" s="786"/>
      <c r="J116" s="786"/>
      <c r="K116" s="786"/>
      <c r="L116" s="786"/>
      <c r="M116" s="739"/>
      <c r="N116" s="785"/>
      <c r="O116" s="848"/>
      <c r="P116" s="848"/>
      <c r="Q116" s="848"/>
      <c r="R116" s="848"/>
      <c r="S116" s="739"/>
      <c r="T116" s="739"/>
      <c r="U116" s="739"/>
      <c r="V116" s="739"/>
      <c r="W116" s="739"/>
      <c r="X116" s="739"/>
      <c r="Y116" s="890"/>
      <c r="Z116" s="742"/>
      <c r="AA116" s="745"/>
      <c r="AB116" s="742"/>
      <c r="AC116" s="742"/>
      <c r="AD116" s="742"/>
    </row>
    <row r="117" spans="1:30" ht="9" customHeight="1">
      <c r="A117" s="741"/>
      <c r="B117" s="741"/>
      <c r="C117" s="739"/>
      <c r="D117" s="739"/>
      <c r="E117" s="739"/>
      <c r="F117" s="739"/>
      <c r="G117" s="739"/>
      <c r="H117" s="786"/>
      <c r="I117" s="786"/>
      <c r="J117" s="786"/>
      <c r="K117" s="786"/>
      <c r="L117" s="786"/>
      <c r="M117" s="739"/>
      <c r="N117" s="785"/>
      <c r="O117" s="848"/>
      <c r="P117" s="848"/>
      <c r="Q117" s="848"/>
      <c r="R117" s="848"/>
      <c r="S117" s="739"/>
      <c r="T117" s="739"/>
      <c r="U117" s="739"/>
      <c r="V117" s="739"/>
      <c r="W117" s="739"/>
      <c r="X117" s="739"/>
      <c r="Y117" s="890"/>
      <c r="Z117" s="742"/>
      <c r="AA117" s="745"/>
      <c r="AB117" s="742"/>
      <c r="AC117" s="742"/>
      <c r="AD117" s="742"/>
    </row>
    <row r="118" spans="1:30" ht="9" customHeight="1">
      <c r="A118" s="741"/>
      <c r="B118" s="741"/>
      <c r="C118" s="739"/>
      <c r="D118" s="739"/>
      <c r="E118" s="739"/>
      <c r="F118" s="739"/>
      <c r="G118" s="739"/>
      <c r="H118" s="786"/>
      <c r="I118" s="786"/>
      <c r="J118" s="786"/>
      <c r="K118" s="786"/>
      <c r="L118" s="786"/>
      <c r="M118" s="739"/>
      <c r="N118" s="785"/>
      <c r="O118" s="848"/>
      <c r="P118" s="848"/>
      <c r="Q118" s="848"/>
      <c r="R118" s="848"/>
      <c r="S118" s="739"/>
      <c r="T118" s="739"/>
      <c r="U118" s="739"/>
      <c r="V118" s="739"/>
      <c r="W118" s="739"/>
      <c r="X118" s="739"/>
      <c r="Y118" s="890"/>
      <c r="Z118" s="742"/>
      <c r="AA118" s="745"/>
      <c r="AB118" s="742"/>
      <c r="AC118" s="742"/>
      <c r="AD118" s="742"/>
    </row>
    <row r="119" spans="1:30" ht="9" customHeight="1">
      <c r="A119" s="741"/>
      <c r="B119" s="741"/>
      <c r="C119" s="739"/>
      <c r="D119" s="739"/>
      <c r="E119" s="739"/>
      <c r="F119" s="739"/>
      <c r="G119" s="739"/>
      <c r="H119" s="786"/>
      <c r="I119" s="786"/>
      <c r="J119" s="786"/>
      <c r="K119" s="786"/>
      <c r="L119" s="786"/>
      <c r="M119" s="739"/>
      <c r="N119" s="785"/>
      <c r="O119" s="848"/>
      <c r="P119" s="848"/>
      <c r="Q119" s="848"/>
      <c r="R119" s="848"/>
      <c r="S119" s="739"/>
      <c r="T119" s="739"/>
      <c r="U119" s="739"/>
      <c r="V119" s="739"/>
      <c r="W119" s="739"/>
      <c r="X119" s="739"/>
      <c r="Y119" s="890"/>
      <c r="Z119" s="742"/>
      <c r="AA119" s="745"/>
      <c r="AB119" s="742"/>
      <c r="AC119" s="742"/>
      <c r="AD119" s="742"/>
    </row>
    <row r="120" spans="1:30" ht="9" customHeight="1">
      <c r="A120" s="741"/>
      <c r="B120" s="741"/>
      <c r="C120" s="739"/>
      <c r="D120" s="739"/>
      <c r="E120" s="739"/>
      <c r="F120" s="739"/>
      <c r="G120" s="739"/>
      <c r="H120" s="786"/>
      <c r="I120" s="786"/>
      <c r="J120" s="786"/>
      <c r="K120" s="786"/>
      <c r="L120" s="786"/>
      <c r="M120" s="739"/>
      <c r="N120" s="785"/>
      <c r="O120" s="848"/>
      <c r="P120" s="848"/>
      <c r="Q120" s="848"/>
      <c r="R120" s="848"/>
      <c r="S120" s="739"/>
      <c r="T120" s="739"/>
      <c r="U120" s="739"/>
      <c r="V120" s="739"/>
      <c r="W120" s="739"/>
      <c r="X120" s="739"/>
      <c r="Y120" s="890"/>
      <c r="Z120" s="742"/>
      <c r="AA120" s="745"/>
      <c r="AB120" s="742"/>
      <c r="AC120" s="742"/>
      <c r="AD120" s="742"/>
    </row>
    <row r="121" spans="1:30" ht="9" customHeight="1">
      <c r="A121" s="741"/>
      <c r="B121" s="741"/>
      <c r="C121" s="739"/>
      <c r="D121" s="739"/>
      <c r="E121" s="739"/>
      <c r="F121" s="739"/>
      <c r="G121" s="739"/>
      <c r="H121" s="786"/>
      <c r="I121" s="786"/>
      <c r="J121" s="786"/>
      <c r="K121" s="786"/>
      <c r="L121" s="786"/>
      <c r="M121" s="739"/>
      <c r="N121" s="785"/>
      <c r="O121" s="848"/>
      <c r="P121" s="848"/>
      <c r="Q121" s="848"/>
      <c r="R121" s="848"/>
      <c r="S121" s="739"/>
      <c r="T121" s="739"/>
      <c r="U121" s="739"/>
      <c r="V121" s="739"/>
      <c r="W121" s="739"/>
      <c r="X121" s="739"/>
      <c r="Y121" s="890"/>
      <c r="Z121" s="742"/>
      <c r="AA121" s="745"/>
      <c r="AB121" s="742"/>
      <c r="AC121" s="742"/>
      <c r="AD121" s="742"/>
    </row>
    <row r="122" spans="1:30" ht="9" customHeight="1">
      <c r="A122" s="741"/>
      <c r="B122" s="741"/>
      <c r="C122" s="739"/>
      <c r="D122" s="739"/>
      <c r="E122" s="739"/>
      <c r="F122" s="739"/>
      <c r="G122" s="739"/>
      <c r="H122" s="786"/>
      <c r="I122" s="786"/>
      <c r="J122" s="786"/>
      <c r="K122" s="786"/>
      <c r="L122" s="786"/>
      <c r="M122" s="739"/>
      <c r="N122" s="785"/>
      <c r="O122" s="848"/>
      <c r="P122" s="848"/>
      <c r="Q122" s="848"/>
      <c r="R122" s="848"/>
      <c r="S122" s="739"/>
      <c r="T122" s="739"/>
      <c r="U122" s="739"/>
      <c r="V122" s="739"/>
      <c r="W122" s="739"/>
      <c r="X122" s="739"/>
      <c r="Y122" s="890"/>
      <c r="Z122" s="742"/>
      <c r="AA122" s="745"/>
      <c r="AB122" s="742"/>
      <c r="AC122" s="742"/>
      <c r="AD122" s="742"/>
    </row>
    <row r="123" spans="1:30" ht="9" customHeight="1">
      <c r="A123" s="741"/>
      <c r="B123" s="741"/>
      <c r="C123" s="739"/>
      <c r="D123" s="739"/>
      <c r="E123" s="739"/>
      <c r="F123" s="739"/>
      <c r="G123" s="739"/>
      <c r="H123" s="786"/>
      <c r="I123" s="786"/>
      <c r="J123" s="786"/>
      <c r="K123" s="786"/>
      <c r="L123" s="786"/>
      <c r="M123" s="739"/>
      <c r="N123" s="785"/>
      <c r="O123" s="848"/>
      <c r="P123" s="848"/>
      <c r="Q123" s="848"/>
      <c r="R123" s="848"/>
      <c r="S123" s="739"/>
      <c r="T123" s="739"/>
      <c r="U123" s="739"/>
      <c r="V123" s="739"/>
      <c r="W123" s="739"/>
      <c r="X123" s="739"/>
      <c r="Y123" s="890"/>
      <c r="Z123" s="742"/>
      <c r="AA123" s="745"/>
      <c r="AB123" s="742"/>
      <c r="AC123" s="742"/>
      <c r="AD123" s="742"/>
    </row>
    <row r="124" spans="1:30" ht="9" customHeight="1">
      <c r="A124" s="741"/>
      <c r="B124" s="741"/>
      <c r="C124" s="739"/>
      <c r="D124" s="739"/>
      <c r="E124" s="739"/>
      <c r="F124" s="739"/>
      <c r="G124" s="739"/>
      <c r="H124" s="786"/>
      <c r="I124" s="786"/>
      <c r="J124" s="786"/>
      <c r="K124" s="786"/>
      <c r="L124" s="786"/>
      <c r="M124" s="739"/>
      <c r="N124" s="785"/>
      <c r="O124" s="848"/>
      <c r="P124" s="848"/>
      <c r="Q124" s="848"/>
      <c r="R124" s="848"/>
      <c r="S124" s="739"/>
      <c r="T124" s="739"/>
      <c r="U124" s="739"/>
      <c r="V124" s="739"/>
      <c r="W124" s="739"/>
      <c r="X124" s="739"/>
      <c r="Y124" s="890"/>
      <c r="Z124" s="742"/>
      <c r="AA124" s="745"/>
      <c r="AB124" s="742"/>
      <c r="AC124" s="742"/>
      <c r="AD124" s="742"/>
    </row>
    <row r="125" spans="1:30" ht="9" customHeight="1">
      <c r="A125" s="741"/>
      <c r="B125" s="741"/>
      <c r="C125" s="739"/>
      <c r="D125" s="739"/>
      <c r="E125" s="739"/>
      <c r="F125" s="739"/>
      <c r="G125" s="739"/>
      <c r="H125" s="786"/>
      <c r="I125" s="786"/>
      <c r="J125" s="786"/>
      <c r="K125" s="786"/>
      <c r="L125" s="786"/>
      <c r="M125" s="739"/>
      <c r="N125" s="785"/>
      <c r="O125" s="848"/>
      <c r="P125" s="848"/>
      <c r="Q125" s="848"/>
      <c r="R125" s="848"/>
      <c r="S125" s="739"/>
      <c r="T125" s="739"/>
      <c r="U125" s="739"/>
      <c r="V125" s="739"/>
      <c r="W125" s="739"/>
      <c r="X125" s="739"/>
      <c r="Y125" s="890"/>
      <c r="Z125" s="742"/>
      <c r="AA125" s="745"/>
      <c r="AB125" s="742"/>
      <c r="AC125" s="742"/>
      <c r="AD125" s="742"/>
    </row>
    <row r="126" spans="1:30" ht="9" customHeight="1">
      <c r="A126" s="741"/>
      <c r="B126" s="741"/>
      <c r="C126" s="739"/>
      <c r="D126" s="739"/>
      <c r="E126" s="739"/>
      <c r="F126" s="739"/>
      <c r="G126" s="739"/>
      <c r="H126" s="786"/>
      <c r="I126" s="786"/>
      <c r="J126" s="786"/>
      <c r="K126" s="786"/>
      <c r="L126" s="786"/>
      <c r="M126" s="739"/>
      <c r="N126" s="785"/>
      <c r="O126" s="848"/>
      <c r="P126" s="848"/>
      <c r="Q126" s="848"/>
      <c r="R126" s="848"/>
      <c r="S126" s="739"/>
      <c r="T126" s="739"/>
      <c r="U126" s="739"/>
      <c r="V126" s="739"/>
      <c r="W126" s="739"/>
      <c r="X126" s="739"/>
      <c r="Y126" s="890"/>
      <c r="Z126" s="742"/>
      <c r="AA126" s="745"/>
      <c r="AB126" s="742"/>
      <c r="AC126" s="742"/>
      <c r="AD126" s="742"/>
    </row>
    <row r="127" spans="1:30" ht="9" customHeight="1">
      <c r="A127" s="741"/>
      <c r="B127" s="741"/>
      <c r="C127" s="739"/>
      <c r="D127" s="739"/>
      <c r="E127" s="739"/>
      <c r="F127" s="739"/>
      <c r="G127" s="739"/>
      <c r="H127" s="786"/>
      <c r="I127" s="786"/>
      <c r="J127" s="786"/>
      <c r="K127" s="786"/>
      <c r="L127" s="786"/>
      <c r="M127" s="739"/>
      <c r="N127" s="785"/>
      <c r="O127" s="848"/>
      <c r="P127" s="848"/>
      <c r="Q127" s="848"/>
      <c r="R127" s="848"/>
      <c r="S127" s="739"/>
      <c r="T127" s="739"/>
      <c r="U127" s="739"/>
      <c r="V127" s="739"/>
      <c r="W127" s="739"/>
      <c r="X127" s="739"/>
      <c r="Y127" s="890"/>
      <c r="Z127" s="742"/>
      <c r="AA127" s="745"/>
      <c r="AB127" s="742"/>
      <c r="AC127" s="742"/>
      <c r="AD127" s="742"/>
    </row>
    <row r="128" spans="1:30" ht="9" customHeight="1">
      <c r="A128" s="741"/>
      <c r="B128" s="741"/>
      <c r="C128" s="739"/>
      <c r="D128" s="739"/>
      <c r="E128" s="739"/>
      <c r="F128" s="739"/>
      <c r="G128" s="739"/>
      <c r="H128" s="786"/>
      <c r="I128" s="786"/>
      <c r="J128" s="786"/>
      <c r="K128" s="786"/>
      <c r="L128" s="786"/>
      <c r="M128" s="739"/>
      <c r="N128" s="785"/>
      <c r="O128" s="848"/>
      <c r="P128" s="848"/>
      <c r="Q128" s="848"/>
      <c r="R128" s="848"/>
      <c r="S128" s="739"/>
      <c r="T128" s="739"/>
      <c r="U128" s="739"/>
      <c r="V128" s="739"/>
      <c r="W128" s="739"/>
      <c r="X128" s="739"/>
      <c r="Y128" s="890"/>
      <c r="Z128" s="742"/>
      <c r="AA128" s="745"/>
      <c r="AB128" s="742"/>
      <c r="AC128" s="742"/>
      <c r="AD128" s="742"/>
    </row>
    <row r="129" spans="1:30" ht="9" customHeight="1">
      <c r="A129" s="741"/>
      <c r="B129" s="741"/>
      <c r="C129" s="739"/>
      <c r="D129" s="739"/>
      <c r="E129" s="739"/>
      <c r="F129" s="739"/>
      <c r="G129" s="739"/>
      <c r="H129" s="786"/>
      <c r="I129" s="786"/>
      <c r="J129" s="786"/>
      <c r="K129" s="786"/>
      <c r="L129" s="786"/>
      <c r="M129" s="739"/>
      <c r="N129" s="785"/>
      <c r="O129" s="848"/>
      <c r="P129" s="848"/>
      <c r="Q129" s="848"/>
      <c r="R129" s="848"/>
      <c r="S129" s="739"/>
      <c r="T129" s="739"/>
      <c r="U129" s="739"/>
      <c r="V129" s="739"/>
      <c r="W129" s="739"/>
      <c r="X129" s="739"/>
      <c r="Y129" s="890"/>
      <c r="Z129" s="742"/>
      <c r="AA129" s="745"/>
      <c r="AB129" s="742"/>
      <c r="AC129" s="742"/>
      <c r="AD129" s="742"/>
    </row>
    <row r="130" spans="1:30" ht="9" customHeight="1">
      <c r="A130" s="741"/>
      <c r="B130" s="741"/>
      <c r="C130" s="739"/>
      <c r="D130" s="739"/>
      <c r="E130" s="739"/>
      <c r="F130" s="739"/>
      <c r="G130" s="739"/>
      <c r="H130" s="786"/>
      <c r="I130" s="786"/>
      <c r="J130" s="786"/>
      <c r="K130" s="786"/>
      <c r="L130" s="786"/>
      <c r="M130" s="739"/>
      <c r="N130" s="785"/>
      <c r="O130" s="850"/>
      <c r="P130" s="850"/>
      <c r="Q130" s="850"/>
      <c r="R130" s="850"/>
      <c r="S130" s="739"/>
      <c r="T130" s="739"/>
      <c r="U130" s="739"/>
      <c r="V130" s="739"/>
      <c r="W130" s="739"/>
      <c r="X130" s="739"/>
      <c r="Y130" s="890"/>
      <c r="Z130" s="742"/>
      <c r="AA130" s="745"/>
      <c r="AB130" s="742"/>
      <c r="AC130" s="742"/>
      <c r="AD130" s="742"/>
    </row>
    <row r="131" spans="1:30" ht="9" customHeight="1">
      <c r="A131" s="741"/>
      <c r="B131" s="741"/>
      <c r="C131" s="739"/>
      <c r="D131" s="739"/>
      <c r="E131" s="739"/>
      <c r="F131" s="739"/>
      <c r="G131" s="739"/>
      <c r="H131" s="786"/>
      <c r="I131" s="786"/>
      <c r="J131" s="786"/>
      <c r="K131" s="786"/>
      <c r="L131" s="786"/>
      <c r="M131" s="739"/>
      <c r="N131" s="785"/>
      <c r="O131" s="851"/>
      <c r="P131" s="851"/>
      <c r="Q131" s="851"/>
      <c r="R131" s="851"/>
      <c r="S131" s="739"/>
      <c r="T131" s="739"/>
      <c r="U131" s="739"/>
      <c r="V131" s="739"/>
      <c r="W131" s="739"/>
      <c r="X131" s="739"/>
      <c r="Y131" s="890"/>
      <c r="Z131" s="742"/>
      <c r="AA131" s="745"/>
      <c r="AB131" s="742"/>
      <c r="AC131" s="742"/>
      <c r="AD131" s="742"/>
    </row>
    <row r="132" spans="1:30" ht="9" customHeight="1">
      <c r="A132" s="741"/>
      <c r="B132" s="741"/>
      <c r="C132" s="739"/>
      <c r="D132" s="739"/>
      <c r="E132" s="739"/>
      <c r="F132" s="739"/>
      <c r="G132" s="739"/>
      <c r="H132" s="786"/>
      <c r="I132" s="786"/>
      <c r="J132" s="786"/>
      <c r="K132" s="786"/>
      <c r="L132" s="786"/>
      <c r="M132" s="739"/>
      <c r="N132" s="785"/>
      <c r="O132" s="850"/>
      <c r="P132" s="850"/>
      <c r="Q132" s="850"/>
      <c r="R132" s="850"/>
      <c r="S132" s="739"/>
      <c r="T132" s="739"/>
      <c r="U132" s="739"/>
      <c r="V132" s="739"/>
      <c r="W132" s="739"/>
      <c r="X132" s="739"/>
      <c r="Y132" s="890"/>
      <c r="Z132" s="742"/>
      <c r="AA132" s="745"/>
      <c r="AB132" s="742"/>
      <c r="AC132" s="742"/>
      <c r="AD132" s="742"/>
    </row>
    <row r="133" spans="1:30" ht="9" customHeight="1">
      <c r="A133" s="741"/>
      <c r="B133" s="741"/>
      <c r="C133" s="739"/>
      <c r="D133" s="739"/>
      <c r="E133" s="739"/>
      <c r="F133" s="739"/>
      <c r="G133" s="739"/>
      <c r="H133" s="786"/>
      <c r="I133" s="786"/>
      <c r="J133" s="786"/>
      <c r="K133" s="786"/>
      <c r="L133" s="786"/>
      <c r="M133" s="739"/>
      <c r="N133" s="785"/>
      <c r="O133" s="851"/>
      <c r="P133" s="851"/>
      <c r="Q133" s="851"/>
      <c r="R133" s="851"/>
      <c r="S133" s="739"/>
      <c r="T133" s="739"/>
      <c r="U133" s="739"/>
      <c r="V133" s="739"/>
      <c r="W133" s="739"/>
      <c r="X133" s="739"/>
      <c r="Y133" s="890"/>
      <c r="Z133" s="742"/>
      <c r="AA133" s="745"/>
      <c r="AB133" s="742"/>
      <c r="AC133" s="742"/>
      <c r="AD133" s="742"/>
    </row>
    <row r="134" spans="1:30" ht="9" customHeight="1">
      <c r="A134" s="741"/>
      <c r="B134" s="741"/>
      <c r="C134" s="739"/>
      <c r="D134" s="739"/>
      <c r="E134" s="739"/>
      <c r="F134" s="739"/>
      <c r="G134" s="739"/>
      <c r="H134" s="786"/>
      <c r="I134" s="786"/>
      <c r="J134" s="786"/>
      <c r="K134" s="786"/>
      <c r="L134" s="786"/>
      <c r="M134" s="739"/>
      <c r="N134" s="785"/>
      <c r="O134" s="848"/>
      <c r="P134" s="848"/>
      <c r="Q134" s="848"/>
      <c r="R134" s="848"/>
      <c r="S134" s="739"/>
      <c r="T134" s="739"/>
      <c r="U134" s="739"/>
      <c r="V134" s="739"/>
      <c r="W134" s="739"/>
      <c r="X134" s="739"/>
      <c r="Y134" s="890"/>
      <c r="Z134" s="742"/>
      <c r="AA134" s="745"/>
      <c r="AB134" s="742"/>
      <c r="AC134" s="742"/>
      <c r="AD134" s="742"/>
    </row>
    <row r="135" spans="1:30" ht="9" customHeight="1">
      <c r="A135" s="741"/>
      <c r="B135" s="741"/>
      <c r="C135" s="739"/>
      <c r="D135" s="739"/>
      <c r="E135" s="739"/>
      <c r="F135" s="739"/>
      <c r="G135" s="739"/>
      <c r="H135" s="786"/>
      <c r="I135" s="786"/>
      <c r="J135" s="786"/>
      <c r="K135" s="786"/>
      <c r="L135" s="786"/>
      <c r="M135" s="739"/>
      <c r="N135" s="785"/>
      <c r="O135" s="848"/>
      <c r="P135" s="848"/>
      <c r="Q135" s="848"/>
      <c r="R135" s="848"/>
      <c r="S135" s="739"/>
      <c r="T135" s="739"/>
      <c r="U135" s="739"/>
      <c r="V135" s="739"/>
      <c r="W135" s="739"/>
      <c r="X135" s="739"/>
      <c r="Y135" s="890"/>
      <c r="Z135" s="742"/>
      <c r="AA135" s="745"/>
      <c r="AB135" s="742"/>
      <c r="AC135" s="742"/>
      <c r="AD135" s="742"/>
    </row>
    <row r="136" spans="1:30" ht="9" customHeight="1">
      <c r="A136" s="741"/>
      <c r="B136" s="741"/>
      <c r="C136" s="739"/>
      <c r="D136" s="739"/>
      <c r="E136" s="739"/>
      <c r="F136" s="739"/>
      <c r="G136" s="739"/>
      <c r="H136" s="786"/>
      <c r="I136" s="786"/>
      <c r="J136" s="786"/>
      <c r="K136" s="786"/>
      <c r="L136" s="786"/>
      <c r="M136" s="739"/>
      <c r="N136" s="785"/>
      <c r="O136" s="848"/>
      <c r="P136" s="848"/>
      <c r="Q136" s="848"/>
      <c r="R136" s="848"/>
      <c r="S136" s="739"/>
      <c r="T136" s="739"/>
      <c r="U136" s="739"/>
      <c r="V136" s="739"/>
      <c r="W136" s="739"/>
      <c r="X136" s="739"/>
      <c r="Y136" s="890"/>
      <c r="Z136" s="742"/>
      <c r="AA136" s="745"/>
      <c r="AB136" s="742"/>
      <c r="AC136" s="742"/>
      <c r="AD136" s="742"/>
    </row>
    <row r="137" spans="1:30" ht="9" customHeight="1">
      <c r="A137" s="741"/>
      <c r="B137" s="741"/>
      <c r="C137" s="739"/>
      <c r="D137" s="739"/>
      <c r="E137" s="739"/>
      <c r="F137" s="739"/>
      <c r="G137" s="739"/>
      <c r="H137" s="786"/>
      <c r="I137" s="786"/>
      <c r="J137" s="786"/>
      <c r="K137" s="786"/>
      <c r="L137" s="786"/>
      <c r="M137" s="739"/>
      <c r="N137" s="785"/>
      <c r="O137" s="852"/>
      <c r="P137" s="852"/>
      <c r="Q137" s="852"/>
      <c r="R137" s="852"/>
      <c r="S137" s="739"/>
      <c r="T137" s="739"/>
      <c r="U137" s="739"/>
      <c r="V137" s="739"/>
      <c r="W137" s="739"/>
      <c r="X137" s="739"/>
      <c r="Y137" s="890"/>
      <c r="Z137" s="742"/>
      <c r="AA137" s="745"/>
      <c r="AB137" s="742"/>
      <c r="AC137" s="742"/>
      <c r="AD137" s="742"/>
    </row>
    <row r="138" spans="1:30" ht="9" customHeight="1">
      <c r="A138" s="741"/>
      <c r="B138" s="741"/>
      <c r="C138" s="739"/>
      <c r="D138" s="739"/>
      <c r="E138" s="739"/>
      <c r="F138" s="739"/>
      <c r="G138" s="739"/>
      <c r="H138" s="786"/>
      <c r="I138" s="786"/>
      <c r="J138" s="786"/>
      <c r="K138" s="786"/>
      <c r="L138" s="786"/>
      <c r="M138" s="739"/>
      <c r="N138" s="785"/>
      <c r="O138" s="849"/>
      <c r="P138" s="849"/>
      <c r="Q138" s="849"/>
      <c r="R138" s="849"/>
      <c r="S138" s="739"/>
      <c r="T138" s="739"/>
      <c r="U138" s="739"/>
      <c r="V138" s="739"/>
      <c r="W138" s="739"/>
      <c r="X138" s="739"/>
      <c r="Y138" s="890"/>
      <c r="Z138" s="742"/>
      <c r="AA138" s="745"/>
      <c r="AB138" s="742"/>
      <c r="AC138" s="742"/>
      <c r="AD138" s="742"/>
    </row>
    <row r="139" spans="1:30" ht="9" customHeight="1">
      <c r="A139" s="741"/>
      <c r="B139" s="741"/>
      <c r="C139" s="739"/>
      <c r="D139" s="739"/>
      <c r="E139" s="739"/>
      <c r="F139" s="739"/>
      <c r="G139" s="739"/>
      <c r="H139" s="786"/>
      <c r="I139" s="786"/>
      <c r="J139" s="786"/>
      <c r="K139" s="786"/>
      <c r="L139" s="786"/>
      <c r="M139" s="739"/>
      <c r="N139" s="785"/>
      <c r="O139" s="739"/>
      <c r="P139" s="739"/>
      <c r="Q139" s="739"/>
      <c r="R139" s="739"/>
      <c r="S139" s="739"/>
      <c r="T139" s="739"/>
      <c r="U139" s="739"/>
      <c r="V139" s="739"/>
      <c r="W139" s="739"/>
      <c r="X139" s="739"/>
      <c r="Y139" s="890"/>
      <c r="Z139" s="742"/>
      <c r="AA139" s="745"/>
      <c r="AB139" s="742"/>
      <c r="AC139" s="742"/>
      <c r="AD139" s="742"/>
    </row>
    <row r="140" spans="1:30" ht="9" customHeight="1">
      <c r="A140" s="741"/>
      <c r="B140" s="741"/>
      <c r="C140" s="739"/>
      <c r="D140" s="739"/>
      <c r="E140" s="739"/>
      <c r="F140" s="739"/>
      <c r="G140" s="739"/>
      <c r="H140" s="786"/>
      <c r="I140" s="786"/>
      <c r="J140" s="786"/>
      <c r="K140" s="786"/>
      <c r="L140" s="786"/>
      <c r="M140" s="739"/>
      <c r="N140" s="785"/>
      <c r="O140" s="739"/>
      <c r="P140" s="739"/>
      <c r="Q140" s="739"/>
      <c r="R140" s="739"/>
      <c r="S140" s="739"/>
      <c r="T140" s="739"/>
      <c r="U140" s="739"/>
      <c r="V140" s="739"/>
      <c r="W140" s="739"/>
      <c r="X140" s="739"/>
      <c r="Y140" s="890"/>
      <c r="Z140" s="742"/>
      <c r="AA140" s="745"/>
      <c r="AB140" s="742"/>
      <c r="AC140" s="742"/>
      <c r="AD140" s="742"/>
    </row>
    <row r="141" spans="1:30" ht="9" customHeight="1">
      <c r="A141" s="741"/>
      <c r="B141" s="741"/>
      <c r="C141" s="739"/>
      <c r="D141" s="739"/>
      <c r="E141" s="739"/>
      <c r="F141" s="739"/>
      <c r="G141" s="739"/>
      <c r="H141" s="786"/>
      <c r="I141" s="786"/>
      <c r="J141" s="786"/>
      <c r="K141" s="786"/>
      <c r="L141" s="786"/>
      <c r="M141" s="739"/>
      <c r="N141" s="785"/>
      <c r="O141" s="739"/>
      <c r="P141" s="739"/>
      <c r="Q141" s="739"/>
      <c r="R141" s="739"/>
      <c r="S141" s="739"/>
      <c r="T141" s="739"/>
      <c r="U141" s="739"/>
      <c r="V141" s="739"/>
      <c r="W141" s="739"/>
      <c r="X141" s="739"/>
      <c r="Y141" s="890"/>
      <c r="Z141" s="742"/>
      <c r="AA141" s="745"/>
      <c r="AB141" s="742"/>
      <c r="AC141" s="742"/>
      <c r="AD141" s="742"/>
    </row>
    <row r="142" spans="1:30" ht="9" customHeight="1">
      <c r="A142" s="741"/>
      <c r="B142" s="741"/>
      <c r="C142" s="739"/>
      <c r="D142" s="739"/>
      <c r="E142" s="739"/>
      <c r="F142" s="739"/>
      <c r="G142" s="739"/>
      <c r="H142" s="786"/>
      <c r="I142" s="786"/>
      <c r="J142" s="786"/>
      <c r="K142" s="786"/>
      <c r="L142" s="786"/>
      <c r="M142" s="739"/>
      <c r="N142" s="785"/>
      <c r="O142" s="739"/>
      <c r="P142" s="739"/>
      <c r="Q142" s="739"/>
      <c r="R142" s="739"/>
      <c r="S142" s="739"/>
      <c r="T142" s="739"/>
      <c r="U142" s="739"/>
      <c r="V142" s="739"/>
      <c r="W142" s="739"/>
      <c r="X142" s="739"/>
      <c r="Y142" s="890"/>
      <c r="Z142" s="742"/>
      <c r="AA142" s="745"/>
      <c r="AB142" s="742"/>
      <c r="AC142" s="742"/>
      <c r="AD142" s="742"/>
    </row>
    <row r="143" spans="1:30" ht="9" customHeight="1">
      <c r="A143" s="741"/>
      <c r="B143" s="741"/>
      <c r="C143" s="739"/>
      <c r="D143" s="739"/>
      <c r="E143" s="739"/>
      <c r="F143" s="739"/>
      <c r="G143" s="739"/>
      <c r="H143" s="786"/>
      <c r="I143" s="786"/>
      <c r="J143" s="786"/>
      <c r="K143" s="786"/>
      <c r="L143" s="786"/>
      <c r="M143" s="739"/>
      <c r="N143" s="785"/>
      <c r="O143" s="739"/>
      <c r="P143" s="739"/>
      <c r="Q143" s="739"/>
      <c r="R143" s="739"/>
      <c r="S143" s="739"/>
      <c r="T143" s="739"/>
      <c r="U143" s="739"/>
      <c r="V143" s="739"/>
      <c r="W143" s="739"/>
      <c r="X143" s="739"/>
      <c r="Y143" s="890"/>
      <c r="Z143" s="742"/>
      <c r="AA143" s="745"/>
      <c r="AB143" s="742"/>
      <c r="AC143" s="742"/>
      <c r="AD143" s="742"/>
    </row>
    <row r="144" spans="1:30" ht="9" customHeight="1">
      <c r="A144" s="741"/>
      <c r="B144" s="741"/>
      <c r="C144" s="739"/>
      <c r="D144" s="739"/>
      <c r="E144" s="739"/>
      <c r="F144" s="739"/>
      <c r="G144" s="739"/>
      <c r="H144" s="786"/>
      <c r="I144" s="786"/>
      <c r="J144" s="786"/>
      <c r="K144" s="786"/>
      <c r="L144" s="786"/>
      <c r="M144" s="739"/>
      <c r="N144" s="785"/>
      <c r="O144" s="739"/>
      <c r="P144" s="739"/>
      <c r="Q144" s="739"/>
      <c r="R144" s="739"/>
      <c r="S144" s="739"/>
      <c r="T144" s="739"/>
      <c r="U144" s="739"/>
      <c r="V144" s="739"/>
      <c r="W144" s="739"/>
      <c r="X144" s="739"/>
      <c r="Y144" s="890"/>
      <c r="Z144" s="742"/>
      <c r="AA144" s="745"/>
      <c r="AB144" s="742"/>
      <c r="AC144" s="742"/>
      <c r="AD144" s="742"/>
    </row>
    <row r="145" spans="1:30" ht="9" customHeight="1">
      <c r="A145" s="741"/>
      <c r="B145" s="741"/>
      <c r="C145" s="739"/>
      <c r="D145" s="739"/>
      <c r="E145" s="739"/>
      <c r="F145" s="739"/>
      <c r="G145" s="739"/>
      <c r="H145" s="786"/>
      <c r="I145" s="786"/>
      <c r="J145" s="786"/>
      <c r="K145" s="786"/>
      <c r="L145" s="786"/>
      <c r="M145" s="739"/>
      <c r="N145" s="785"/>
      <c r="O145" s="739"/>
      <c r="P145" s="739"/>
      <c r="Q145" s="739"/>
      <c r="R145" s="739"/>
      <c r="S145" s="739"/>
      <c r="T145" s="739"/>
      <c r="U145" s="739"/>
      <c r="V145" s="739"/>
      <c r="W145" s="739"/>
      <c r="X145" s="739"/>
      <c r="Y145" s="890"/>
      <c r="Z145" s="742"/>
      <c r="AA145" s="745"/>
      <c r="AB145" s="742"/>
      <c r="AC145" s="742"/>
      <c r="AD145" s="742"/>
    </row>
    <row r="146" spans="1:30" ht="9" customHeight="1">
      <c r="A146" s="741"/>
      <c r="B146" s="741"/>
      <c r="C146" s="739"/>
      <c r="D146" s="739"/>
      <c r="E146" s="739"/>
      <c r="F146" s="739"/>
      <c r="G146" s="739"/>
      <c r="H146" s="786"/>
      <c r="I146" s="786"/>
      <c r="J146" s="786"/>
      <c r="K146" s="786"/>
      <c r="L146" s="786"/>
      <c r="M146" s="739"/>
      <c r="N146" s="785"/>
      <c r="O146" s="739"/>
      <c r="P146" s="739"/>
      <c r="Q146" s="739"/>
      <c r="R146" s="739"/>
      <c r="S146" s="739"/>
      <c r="T146" s="739"/>
      <c r="U146" s="739"/>
      <c r="V146" s="739"/>
      <c r="W146" s="739"/>
      <c r="X146" s="739"/>
      <c r="Y146" s="890"/>
      <c r="Z146" s="742"/>
      <c r="AA146" s="745"/>
      <c r="AB146" s="742"/>
      <c r="AC146" s="742"/>
      <c r="AD146" s="742"/>
    </row>
    <row r="147" spans="1:30" ht="9" customHeight="1">
      <c r="A147" s="741"/>
      <c r="B147" s="741"/>
      <c r="C147" s="741"/>
      <c r="D147" s="741"/>
      <c r="E147" s="741"/>
      <c r="F147" s="741"/>
      <c r="G147" s="741"/>
      <c r="H147" s="741"/>
      <c r="I147" s="741"/>
      <c r="J147" s="741"/>
      <c r="K147" s="741"/>
      <c r="L147" s="741"/>
      <c r="M147" s="741"/>
      <c r="N147" s="741"/>
      <c r="O147" s="741"/>
      <c r="P147" s="741"/>
      <c r="Q147" s="741"/>
      <c r="R147" s="741"/>
      <c r="S147" s="741"/>
      <c r="T147" s="741"/>
      <c r="U147" s="741"/>
      <c r="V147" s="741"/>
      <c r="W147" s="741"/>
      <c r="X147" s="741"/>
      <c r="Y147" s="741"/>
      <c r="Z147" s="741"/>
      <c r="AA147" s="741"/>
      <c r="AB147" s="741"/>
      <c r="AC147" s="741"/>
      <c r="AD147" s="741"/>
    </row>
    <row r="148" spans="1:30" ht="90" customHeight="1">
      <c r="A148" s="741" t="s">
        <v>1663</v>
      </c>
      <c r="B148" s="741"/>
      <c r="C148" s="739" t="s">
        <v>2234</v>
      </c>
      <c r="D148" s="739" t="s">
        <v>1566</v>
      </c>
      <c r="E148" s="739" t="s">
        <v>1665</v>
      </c>
      <c r="F148" s="739" t="s">
        <v>2235</v>
      </c>
      <c r="G148" s="739"/>
      <c r="H148" s="739"/>
      <c r="I148" s="854"/>
      <c r="J148" s="854"/>
      <c r="K148" s="854"/>
      <c r="L148" s="854"/>
      <c r="M148" s="788"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44"/>
      <c r="O148" s="739"/>
      <c r="P148" s="740"/>
      <c r="Q148" s="740"/>
      <c r="R148" s="740"/>
      <c r="S148" s="739"/>
      <c r="T148" s="739" t="s">
        <v>2236</v>
      </c>
      <c r="U148" s="74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40"/>
      <c r="W148" s="740"/>
      <c r="X148" s="739" t="s">
        <v>2237</v>
      </c>
      <c r="Y148" s="890"/>
      <c r="Z148" s="742"/>
      <c r="AA148" s="745"/>
      <c r="AB148" s="742"/>
      <c r="AC148" s="742"/>
      <c r="AD148" s="742"/>
    </row>
    <row r="149" spans="1:30" ht="9" customHeight="1">
      <c r="A149" s="741"/>
      <c r="B149" s="741"/>
      <c r="C149" s="741"/>
      <c r="D149" s="741"/>
      <c r="E149" s="741"/>
      <c r="F149" s="741"/>
      <c r="G149" s="741"/>
      <c r="H149" s="741"/>
      <c r="I149" s="741"/>
      <c r="J149" s="741"/>
      <c r="K149" s="741"/>
      <c r="L149" s="741"/>
      <c r="M149" s="741"/>
      <c r="N149" s="741"/>
      <c r="O149" s="741"/>
      <c r="P149" s="741"/>
      <c r="Q149" s="741"/>
      <c r="R149" s="741"/>
      <c r="S149" s="741"/>
      <c r="T149" s="741"/>
      <c r="U149" s="741"/>
      <c r="V149" s="741"/>
      <c r="W149" s="741"/>
      <c r="X149" s="741"/>
      <c r="Y149" s="741"/>
      <c r="Z149" s="741"/>
      <c r="AA149" s="741"/>
      <c r="AB149" s="741"/>
      <c r="AC149" s="741"/>
      <c r="AD149" s="741"/>
    </row>
    <row r="150" spans="1:30" ht="9" customHeight="1">
      <c r="A150" s="741" t="s">
        <v>1667</v>
      </c>
      <c r="B150" s="741"/>
      <c r="C150" s="739"/>
      <c r="D150" s="739"/>
      <c r="E150" s="739"/>
      <c r="F150" s="739"/>
      <c r="G150" s="739"/>
      <c r="H150" s="739"/>
      <c r="I150" s="739"/>
      <c r="J150" s="739"/>
      <c r="K150" s="739"/>
      <c r="L150" s="739"/>
      <c r="M150" s="739"/>
      <c r="N150" s="739"/>
      <c r="O150" s="739"/>
      <c r="P150" s="739"/>
      <c r="Q150" s="739"/>
      <c r="R150" s="739"/>
      <c r="S150" s="739"/>
      <c r="T150" s="739"/>
      <c r="U150" s="739"/>
      <c r="V150" s="739"/>
      <c r="W150" s="739"/>
      <c r="X150" s="739"/>
      <c r="Y150" s="890"/>
      <c r="Z150" s="742"/>
      <c r="AA150" s="745"/>
      <c r="AB150" s="742"/>
      <c r="AC150" s="742"/>
      <c r="AD150" s="742"/>
    </row>
    <row r="151" spans="1:30" ht="9" customHeight="1">
      <c r="A151" s="741"/>
      <c r="B151" s="741"/>
      <c r="C151" s="741"/>
      <c r="D151" s="741"/>
      <c r="E151" s="741"/>
      <c r="F151" s="741"/>
      <c r="G151" s="741"/>
      <c r="H151" s="741"/>
      <c r="I151" s="741"/>
      <c r="J151" s="741"/>
      <c r="K151" s="741"/>
      <c r="L151" s="741"/>
      <c r="M151" s="741"/>
      <c r="N151" s="741"/>
      <c r="O151" s="741"/>
      <c r="P151" s="741"/>
      <c r="Q151" s="741"/>
      <c r="R151" s="741"/>
      <c r="S151" s="741"/>
      <c r="T151" s="741"/>
      <c r="U151" s="741"/>
      <c r="V151" s="741"/>
      <c r="W151" s="741"/>
      <c r="X151" s="741"/>
      <c r="Y151" s="741"/>
      <c r="Z151" s="741"/>
      <c r="AA151" s="741"/>
      <c r="AB151" s="741"/>
      <c r="AC151" s="741"/>
      <c r="AD151" s="741"/>
    </row>
    <row r="152" spans="1:30" ht="9" customHeight="1">
      <c r="A152" s="741" t="s">
        <v>1670</v>
      </c>
      <c r="B152" s="741"/>
      <c r="C152" s="739"/>
      <c r="D152" s="739"/>
      <c r="E152" s="739"/>
      <c r="F152" s="739"/>
      <c r="G152" s="739"/>
      <c r="H152" s="739"/>
      <c r="I152" s="739"/>
      <c r="J152" s="739"/>
      <c r="K152" s="739"/>
      <c r="L152" s="739"/>
      <c r="M152" s="739"/>
      <c r="N152" s="739"/>
      <c r="O152" s="739"/>
      <c r="P152" s="739"/>
      <c r="Q152" s="739"/>
      <c r="R152" s="739"/>
      <c r="S152" s="739"/>
      <c r="T152" s="739"/>
      <c r="U152" s="739"/>
      <c r="V152" s="739"/>
      <c r="W152" s="739"/>
      <c r="X152" s="739"/>
      <c r="Y152" s="890"/>
      <c r="Z152" s="742"/>
      <c r="AA152" s="745"/>
      <c r="AB152" s="742"/>
      <c r="AC152" s="742"/>
      <c r="AD152" s="742"/>
    </row>
    <row r="153" spans="1:30" ht="9" customHeight="1">
      <c r="A153" s="741"/>
      <c r="B153" s="741"/>
      <c r="C153" s="741"/>
      <c r="D153" s="741"/>
      <c r="E153" s="741"/>
      <c r="F153" s="741"/>
      <c r="G153" s="741"/>
      <c r="H153" s="741"/>
      <c r="I153" s="741"/>
      <c r="J153" s="741"/>
      <c r="K153" s="741"/>
      <c r="L153" s="741"/>
      <c r="M153" s="741"/>
      <c r="N153" s="741"/>
      <c r="O153" s="741"/>
      <c r="P153" s="741"/>
      <c r="Q153" s="741"/>
      <c r="R153" s="741"/>
      <c r="S153" s="741"/>
      <c r="T153" s="741"/>
      <c r="U153" s="741"/>
      <c r="V153" s="741"/>
      <c r="W153" s="741"/>
      <c r="X153" s="741"/>
      <c r="Y153" s="741"/>
      <c r="Z153" s="741"/>
      <c r="AA153" s="741"/>
      <c r="AB153" s="741"/>
      <c r="AC153" s="741"/>
      <c r="AD153" s="741"/>
    </row>
    <row r="154" spans="1:30" ht="9" customHeight="1">
      <c r="A154" s="741" t="s">
        <v>1675</v>
      </c>
      <c r="B154" s="741"/>
      <c r="C154" s="739"/>
      <c r="D154" s="739"/>
      <c r="E154" s="739"/>
      <c r="F154" s="739"/>
      <c r="G154" s="739"/>
      <c r="H154" s="739"/>
      <c r="I154" s="739"/>
      <c r="J154" s="739"/>
      <c r="K154" s="739"/>
      <c r="L154" s="739"/>
      <c r="M154" s="739"/>
      <c r="N154" s="739"/>
      <c r="O154" s="739"/>
      <c r="P154" s="739"/>
      <c r="Q154" s="739"/>
      <c r="R154" s="739"/>
      <c r="S154" s="739"/>
      <c r="T154" s="739"/>
      <c r="U154" s="739"/>
      <c r="V154" s="739"/>
      <c r="W154" s="739"/>
      <c r="X154" s="739"/>
      <c r="Y154" s="890"/>
      <c r="Z154" s="742"/>
      <c r="AA154" s="745"/>
      <c r="AB154" s="742"/>
      <c r="AC154" s="742"/>
      <c r="AD154" s="74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4854" hidden="1"/>
    <col min="2" max="2" width="11" style="4854" hidden="1" customWidth="1"/>
    <col min="3" max="3" width="10.5703125" style="4854" hidden="1"/>
    <col min="4" max="4" width="11.85546875" style="4854" hidden="1" customWidth="1"/>
    <col min="5" max="5" width="12.28515625" style="4854" hidden="1" customWidth="1"/>
    <col min="6" max="8" width="12.28515625" style="4858" hidden="1" customWidth="1"/>
    <col min="9" max="9" width="3.7109375" style="5187" customWidth="1"/>
    <col min="10" max="11" width="3.7109375" style="4860" customWidth="1"/>
    <col min="12" max="12" width="12.7109375" style="4861" customWidth="1"/>
    <col min="13" max="13" width="32" style="4862" customWidth="1"/>
    <col min="14" max="14" width="1.7109375" style="4862" customWidth="1"/>
    <col min="15" max="18" width="24.7109375" style="4862" customWidth="1"/>
    <col min="19" max="19" width="11.7109375" style="4862" customWidth="1"/>
    <col min="20" max="20" width="3.7109375" style="4862" customWidth="1"/>
    <col min="21" max="21" width="11.7109375" style="4862" customWidth="1"/>
    <col min="22" max="22" width="8.5703125" style="4862" customWidth="1"/>
    <col min="23" max="23" width="4.7109375" style="4862" customWidth="1"/>
    <col min="24" max="24" width="115.7109375" style="4862" customWidth="1"/>
    <col min="25" max="26" width="10.5703125" style="4856"/>
    <col min="27" max="27" width="11.140625" style="4856" customWidth="1"/>
    <col min="28" max="29" width="10.5703125" style="4856"/>
  </cols>
  <sheetData>
    <row r="1" spans="1:29" ht="14.25" hidden="1" customHeight="1">
      <c r="R1" s="245"/>
      <c r="S1" s="245"/>
    </row>
    <row r="2" spans="1:29" ht="14.25" hidden="1" customHeight="1">
      <c r="V2" s="245"/>
    </row>
    <row r="3" spans="1:29" ht="14.25" hidden="1" customHeight="1"/>
    <row r="4" spans="1:29" ht="14.25" customHeight="1">
      <c r="J4" s="292"/>
      <c r="K4" s="292"/>
      <c r="L4" s="1158"/>
      <c r="M4" s="280"/>
      <c r="N4" s="280"/>
      <c r="O4" s="417"/>
      <c r="P4" s="417"/>
      <c r="Q4" s="417"/>
      <c r="R4" s="417"/>
      <c r="S4" s="417"/>
      <c r="T4" s="417"/>
      <c r="U4" s="417"/>
      <c r="V4" s="417"/>
    </row>
    <row r="5" spans="1:29" ht="64.5" customHeight="1">
      <c r="J5" s="292"/>
      <c r="K5" s="292"/>
      <c r="L5" s="5630" t="s">
        <v>2238</v>
      </c>
      <c r="M5" s="5630"/>
      <c r="N5" s="5630"/>
      <c r="O5" s="5630"/>
      <c r="P5" s="5630"/>
      <c r="Q5" s="5630"/>
      <c r="R5" s="5630"/>
      <c r="S5" s="5630"/>
      <c r="T5" s="5630"/>
      <c r="U5" s="5630"/>
      <c r="V5" s="1126"/>
    </row>
    <row r="6" spans="1:29" ht="14.25" customHeight="1">
      <c r="J6" s="292"/>
      <c r="K6" s="292"/>
      <c r="L6" s="5631" t="str">
        <f>IF(org=0,"Не определено",org)</f>
        <v>ООО «Газпром теплоэнерго МО»</v>
      </c>
      <c r="M6" s="5631"/>
      <c r="N6" s="5631"/>
      <c r="O6" s="5631"/>
      <c r="P6" s="5631"/>
      <c r="Q6" s="5631"/>
      <c r="R6" s="5631"/>
      <c r="S6" s="5631"/>
      <c r="T6" s="5631"/>
      <c r="U6" s="5631"/>
      <c r="V6" s="1126"/>
    </row>
    <row r="7" spans="1:29" ht="14.25" customHeight="1">
      <c r="J7" s="292"/>
      <c r="K7" s="292"/>
      <c r="L7" s="1158"/>
      <c r="M7" s="280"/>
      <c r="N7" s="280"/>
      <c r="O7" s="240"/>
      <c r="P7" s="240"/>
      <c r="Q7" s="240"/>
      <c r="R7" s="240"/>
      <c r="S7" s="240"/>
      <c r="T7" s="240"/>
      <c r="U7" s="240"/>
      <c r="V7" s="240"/>
      <c r="W7" s="417"/>
    </row>
    <row r="8" spans="1:29" s="4855" customFormat="1" ht="45" customHeight="1">
      <c r="A8" s="1246"/>
      <c r="B8" s="1246"/>
      <c r="C8" s="1246"/>
      <c r="D8" s="1246"/>
      <c r="E8" s="1246"/>
      <c r="F8" s="1246"/>
      <c r="G8" s="1246"/>
      <c r="H8" s="1246"/>
      <c r="L8" s="1159"/>
      <c r="M8" s="213" t="s">
        <v>38</v>
      </c>
      <c r="N8" s="222"/>
      <c r="O8" s="5369" t="str">
        <f>IF(TITLE_NAME_OR_PR_CHANGE="",IF(TITLE_NAME_OR_PR="","",TITLE_NAME_OR_PR),TITLE_NAME_OR_PR_CHANGE)</f>
        <v>Комитет по ценам и тарифам Московской области</v>
      </c>
      <c r="P8" s="5369"/>
      <c r="Q8" s="5369"/>
      <c r="R8" s="5369"/>
      <c r="S8" s="5369"/>
      <c r="T8" s="5369"/>
      <c r="U8" s="5369"/>
      <c r="V8" s="244"/>
      <c r="W8" s="244"/>
      <c r="X8" s="199"/>
      <c r="Y8" s="284"/>
      <c r="Z8" s="284"/>
      <c r="AA8" s="284"/>
      <c r="AB8" s="284"/>
      <c r="AC8" s="284"/>
    </row>
    <row r="9" spans="1:29" s="4855" customFormat="1" ht="22.5" customHeight="1">
      <c r="A9" s="1246"/>
      <c r="B9" s="1246"/>
      <c r="C9" s="1246"/>
      <c r="D9" s="1246"/>
      <c r="E9" s="1246"/>
      <c r="F9" s="1246"/>
      <c r="G9" s="1246"/>
      <c r="H9" s="1246"/>
      <c r="L9" s="1159"/>
      <c r="M9" s="213" t="s">
        <v>499</v>
      </c>
      <c r="N9" s="222"/>
      <c r="O9" s="5369">
        <f>IF(TITLE_DATE_CHANGE_PERIOD="",IF(TITLE_DATE_PR="","",TITLE_DATE_PR),TITLE_DATE_CHANGE_PERIOD)</f>
        <v>45280</v>
      </c>
      <c r="P9" s="5369"/>
      <c r="Q9" s="5369"/>
      <c r="R9" s="5369"/>
      <c r="S9" s="5369"/>
      <c r="T9" s="5369"/>
      <c r="U9" s="5369"/>
      <c r="V9" s="244"/>
      <c r="W9" s="244"/>
      <c r="X9" s="199"/>
      <c r="Y9" s="284"/>
      <c r="Z9" s="284"/>
      <c r="AA9" s="284"/>
      <c r="AB9" s="284"/>
      <c r="AC9" s="284"/>
    </row>
    <row r="10" spans="1:29" s="4855" customFormat="1" ht="22.5" customHeight="1">
      <c r="A10" s="1246"/>
      <c r="B10" s="1246"/>
      <c r="C10" s="1246"/>
      <c r="D10" s="1246"/>
      <c r="E10" s="1246"/>
      <c r="F10" s="1246"/>
      <c r="G10" s="1246"/>
      <c r="H10" s="1246"/>
      <c r="L10" s="1133"/>
      <c r="M10" s="213" t="s">
        <v>500</v>
      </c>
      <c r="N10" s="222"/>
      <c r="O10" s="5369" t="str">
        <f>IF(TITLE_NUMBER_PR_CHANGE="",IF(TITLE_NUMBER_PR="","",TITLE_NUMBER_PR),TITLE_NUMBER_PR_CHANGE)</f>
        <v>317-Р</v>
      </c>
      <c r="P10" s="5369"/>
      <c r="Q10" s="5369"/>
      <c r="R10" s="5369"/>
      <c r="S10" s="5369"/>
      <c r="T10" s="5369"/>
      <c r="U10" s="5369"/>
      <c r="V10" s="244"/>
      <c r="W10" s="244"/>
      <c r="X10" s="199"/>
      <c r="Y10" s="284"/>
      <c r="Z10" s="284"/>
      <c r="AA10" s="284"/>
      <c r="AB10" s="284"/>
      <c r="AC10" s="284"/>
    </row>
    <row r="11" spans="1:29" s="4855" customFormat="1" ht="22.5" customHeight="1">
      <c r="A11" s="1246"/>
      <c r="B11" s="1246"/>
      <c r="C11" s="1246"/>
      <c r="D11" s="1246"/>
      <c r="E11" s="1246"/>
      <c r="F11" s="1246"/>
      <c r="G11" s="1246"/>
      <c r="H11" s="1246"/>
      <c r="L11" s="1133"/>
      <c r="M11" s="213" t="s">
        <v>40</v>
      </c>
      <c r="N11" s="222"/>
      <c r="O11" s="5369" t="str">
        <f>IF(TITLE_IST_PUB_CHANGE="",IF(TITLE_IST_PUB="","",TITLE_IST_PUB),TITLE_IST_PUB_CHANGE)</f>
        <v>https://ktc.mosreg.ru/dokumenty/normotvorchestvo/rasporyazheniya/gosudarstvennoe-regulirovanie-tarifov-na-teplovuyu-energiyu-raspor/29-12-2023-16-47-50-rasporyazhenie-komiteta-po-tsenam-i-tarifam-moskov</v>
      </c>
      <c r="P11" s="5369"/>
      <c r="Q11" s="5369"/>
      <c r="R11" s="5369"/>
      <c r="S11" s="5369"/>
      <c r="T11" s="5369"/>
      <c r="U11" s="5369"/>
      <c r="V11" s="244"/>
      <c r="W11" s="244"/>
      <c r="X11" s="199"/>
      <c r="Y11" s="284"/>
      <c r="Z11" s="284"/>
      <c r="AA11" s="284"/>
      <c r="AB11" s="284"/>
      <c r="AC11" s="284"/>
    </row>
    <row r="12" spans="1:29" s="4855" customFormat="1" ht="11.25" hidden="1" customHeight="1">
      <c r="A12" s="1246"/>
      <c r="B12" s="1246"/>
      <c r="C12" s="1246"/>
      <c r="D12" s="1246"/>
      <c r="E12" s="1246"/>
      <c r="F12" s="1246"/>
      <c r="G12" s="1246"/>
      <c r="H12" s="1246"/>
      <c r="L12" s="5632"/>
      <c r="M12" s="5632"/>
      <c r="N12" s="1168"/>
      <c r="O12" s="244"/>
      <c r="P12" s="244"/>
      <c r="Q12" s="244"/>
      <c r="R12" s="244"/>
      <c r="S12" s="244"/>
      <c r="T12" s="244"/>
      <c r="U12" s="244"/>
      <c r="V12" s="197" t="s">
        <v>503</v>
      </c>
      <c r="Y12" s="284"/>
      <c r="Z12" s="284"/>
      <c r="AA12" s="284"/>
      <c r="AB12" s="284"/>
      <c r="AC12" s="284"/>
    </row>
    <row r="13" spans="1:29" ht="14.25" customHeight="1">
      <c r="J13" s="292"/>
      <c r="K13" s="292"/>
      <c r="L13" s="1158"/>
      <c r="M13" s="280"/>
      <c r="N13" s="1127"/>
      <c r="O13" s="5370"/>
      <c r="P13" s="5370"/>
      <c r="Q13" s="5370"/>
      <c r="R13" s="5370"/>
      <c r="S13" s="5370"/>
      <c r="T13" s="5370"/>
      <c r="U13" s="5370"/>
      <c r="V13" s="5370"/>
    </row>
    <row r="14" spans="1:29" ht="14.25" customHeight="1">
      <c r="J14" s="292"/>
      <c r="K14" s="292"/>
      <c r="L14" s="5244" t="s">
        <v>378</v>
      </c>
      <c r="M14" s="5244"/>
      <c r="N14" s="5244"/>
      <c r="O14" s="5244"/>
      <c r="P14" s="5244"/>
      <c r="Q14" s="5244"/>
      <c r="R14" s="5244"/>
      <c r="S14" s="5244"/>
      <c r="T14" s="5244"/>
      <c r="U14" s="5244"/>
      <c r="V14" s="5244"/>
      <c r="W14" s="5244"/>
      <c r="X14" s="5244" t="s">
        <v>379</v>
      </c>
    </row>
    <row r="15" spans="1:29" ht="14.25" customHeight="1">
      <c r="J15" s="292"/>
      <c r="K15" s="292"/>
      <c r="L15" s="5384" t="s">
        <v>85</v>
      </c>
      <c r="M15" s="5336" t="s">
        <v>504</v>
      </c>
      <c r="N15" s="219"/>
      <c r="O15" s="5385" t="s">
        <v>2239</v>
      </c>
      <c r="P15" s="5386"/>
      <c r="Q15" s="5386"/>
      <c r="R15" s="5386"/>
      <c r="S15" s="5386"/>
      <c r="T15" s="5386"/>
      <c r="U15" s="5387"/>
      <c r="V15" s="5388" t="s">
        <v>506</v>
      </c>
      <c r="W15" s="5391" t="s">
        <v>1151</v>
      </c>
      <c r="X15" s="5244"/>
    </row>
    <row r="16" spans="1:29" ht="33.75" customHeight="1">
      <c r="J16" s="292"/>
      <c r="K16" s="292"/>
      <c r="L16" s="5384"/>
      <c r="M16" s="5336"/>
      <c r="N16" s="920"/>
      <c r="O16" s="5307" t="s">
        <v>509</v>
      </c>
      <c r="P16" s="5307" t="s">
        <v>510</v>
      </c>
      <c r="Q16" s="5215" t="s">
        <v>511</v>
      </c>
      <c r="R16" s="5214"/>
      <c r="S16" s="5215" t="s">
        <v>524</v>
      </c>
      <c r="T16" s="5220"/>
      <c r="U16" s="5214"/>
      <c r="V16" s="5389"/>
      <c r="W16" s="5392"/>
      <c r="X16" s="5244"/>
    </row>
    <row r="17" spans="1:29" ht="33.75" customHeight="1">
      <c r="A17" s="1248" t="s">
        <v>152</v>
      </c>
      <c r="B17" s="1248" t="s">
        <v>153</v>
      </c>
      <c r="C17" s="1248" t="s">
        <v>154</v>
      </c>
      <c r="D17" s="1248" t="s">
        <v>155</v>
      </c>
      <c r="E17" s="1248"/>
      <c r="J17" s="292"/>
      <c r="K17" s="292"/>
      <c r="L17" s="5384"/>
      <c r="M17" s="5336"/>
      <c r="N17" s="220"/>
      <c r="O17" s="5355"/>
      <c r="P17" s="5355"/>
      <c r="Q17" s="1105" t="s">
        <v>520</v>
      </c>
      <c r="R17" s="1105" t="s">
        <v>521</v>
      </c>
      <c r="S17" s="1173" t="s">
        <v>522</v>
      </c>
      <c r="T17" s="5344" t="s">
        <v>523</v>
      </c>
      <c r="U17" s="5346"/>
      <c r="V17" s="5390"/>
      <c r="W17" s="5393"/>
      <c r="X17" s="5244"/>
    </row>
    <row r="18" spans="1:29" s="4840" customFormat="1" ht="11.25" customHeight="1">
      <c r="A18" s="1248"/>
      <c r="B18" s="1248"/>
      <c r="C18" s="1248"/>
      <c r="D18" s="1248"/>
      <c r="E18" s="1248"/>
      <c r="F18" s="1240"/>
      <c r="G18" s="1240"/>
      <c r="H18" s="1240"/>
      <c r="I18" s="1129"/>
      <c r="J18" s="1130"/>
      <c r="K18" s="1137">
        <v>1</v>
      </c>
      <c r="L18" s="1160" t="s">
        <v>129</v>
      </c>
      <c r="M18" s="1138" t="s">
        <v>100</v>
      </c>
      <c r="N18" s="1128" t="str">
        <f ca="1">OFFSET(N18,0,-1)</f>
        <v>2</v>
      </c>
      <c r="O18" s="1170">
        <f ca="1">OFFSET(O18,0,-1)+1</f>
        <v>3</v>
      </c>
      <c r="P18" s="1170"/>
      <c r="Q18" s="1170">
        <f ca="1">OFFSET(Q18,0,-1)+1</f>
        <v>1</v>
      </c>
      <c r="R18" s="1170">
        <f ca="1">OFFSET(R18,0,-1)+1</f>
        <v>2</v>
      </c>
      <c r="S18" s="1170">
        <f ca="1">OFFSET(S18,0,-1)+1</f>
        <v>3</v>
      </c>
      <c r="T18" s="5383">
        <f ca="1">OFFSET(T18,0,-1)+1</f>
        <v>4</v>
      </c>
      <c r="U18" s="5383"/>
      <c r="V18" s="1170">
        <f ca="1">OFFSET(V18,0,-2)+1</f>
        <v>5</v>
      </c>
      <c r="W18" s="1128">
        <f ca="1">OFFSET(W18,0,-1)</f>
        <v>5</v>
      </c>
      <c r="X18" s="1170">
        <f ca="1">OFFSET(X18,0,-1)+1</f>
        <v>6</v>
      </c>
      <c r="Y18" s="419"/>
      <c r="Z18" s="419"/>
      <c r="AA18" s="419"/>
      <c r="AB18" s="419"/>
      <c r="AC18" s="419"/>
    </row>
    <row r="19" spans="1:29" ht="21" customHeight="1">
      <c r="A19" s="1241" t="s">
        <v>185</v>
      </c>
      <c r="B19" s="1241" t="s">
        <v>186</v>
      </c>
      <c r="C19" s="1241" t="s">
        <v>187</v>
      </c>
      <c r="D19" s="1241" t="s">
        <v>188</v>
      </c>
      <c r="E19" s="1241"/>
      <c r="F19" s="1243"/>
      <c r="G19" s="1243"/>
      <c r="H19" s="1243"/>
      <c r="I19" s="278"/>
      <c r="J19" s="277"/>
      <c r="K19" s="272"/>
      <c r="L19" s="1174">
        <f>INDEX(PT_DIFFERENTIATION_NUM_NTAR,MATCH(A19,PT_DIFFERENTIATION_NTAR_ID,0))</f>
        <v>0</v>
      </c>
      <c r="M19" s="216" t="s">
        <v>141</v>
      </c>
      <c r="N19" s="218"/>
      <c r="O19" s="5633" t="str">
        <f>INDEX(PT_DIFFERENTIATION_NTAR,MATCH(A19,PT_DIFFERENTIATION_NTAR_ID,0))</f>
        <v/>
      </c>
      <c r="P19" s="5633"/>
      <c r="Q19" s="5633"/>
      <c r="R19" s="5633"/>
      <c r="S19" s="5633"/>
      <c r="T19" s="5633"/>
      <c r="U19" s="5633"/>
      <c r="V19" s="5633"/>
      <c r="W19" s="5633"/>
      <c r="X19" s="1141" t="s">
        <v>474</v>
      </c>
      <c r="Z19" s="408"/>
      <c r="AA19" s="408" t="str">
        <f t="shared" ref="AA19:AA32" si="0">IF(M19="","",M19)</f>
        <v>Наименование тарифа</v>
      </c>
      <c r="AB19" s="408"/>
      <c r="AC19" s="408"/>
    </row>
    <row r="20" spans="1:29" ht="21" customHeight="1">
      <c r="A20" s="1241" t="s">
        <v>185</v>
      </c>
      <c r="B20" s="1241" t="s">
        <v>186</v>
      </c>
      <c r="C20" s="1241" t="s">
        <v>187</v>
      </c>
      <c r="D20" s="1241" t="s">
        <v>188</v>
      </c>
      <c r="E20" s="1241"/>
      <c r="F20" s="1243"/>
      <c r="G20" s="1243"/>
      <c r="H20" s="1243"/>
      <c r="I20" s="1171"/>
      <c r="J20" s="269"/>
      <c r="K20" s="270"/>
      <c r="L20" s="1174" t="str">
        <f>INDEX(PT_DIFFERENTIATION_NUM_TER,MATCH(B19,PT_DIFFERENTIATION_TER_ID,0))</f>
        <v>.</v>
      </c>
      <c r="M20" s="226" t="s">
        <v>475</v>
      </c>
      <c r="N20" s="218"/>
      <c r="O20" s="5633" t="str">
        <f>INDEX(PT_DIFFERENTIATION_TER,MATCH(B19,PT_DIFFERENTIATION_TER_ID,0))</f>
        <v/>
      </c>
      <c r="P20" s="5633"/>
      <c r="Q20" s="5633"/>
      <c r="R20" s="5633"/>
      <c r="S20" s="5633"/>
      <c r="T20" s="5633"/>
      <c r="U20" s="5633"/>
      <c r="V20" s="5633"/>
      <c r="W20" s="5633"/>
      <c r="X20" s="1141" t="s">
        <v>476</v>
      </c>
      <c r="Z20" s="408"/>
      <c r="AA20" s="408" t="str">
        <f t="shared" si="0"/>
        <v>Территория действия тарифа</v>
      </c>
      <c r="AB20" s="408"/>
      <c r="AC20" s="408"/>
    </row>
    <row r="21" spans="1:29" ht="22.5" customHeight="1">
      <c r="A21" s="1241" t="s">
        <v>185</v>
      </c>
      <c r="B21" s="1241" t="s">
        <v>186</v>
      </c>
      <c r="C21" s="1241" t="s">
        <v>187</v>
      </c>
      <c r="D21" s="1241" t="s">
        <v>188</v>
      </c>
      <c r="E21" s="1241"/>
      <c r="F21" s="1243"/>
      <c r="G21" s="1243"/>
      <c r="H21" s="1243"/>
      <c r="I21" s="271"/>
      <c r="J21" s="269"/>
      <c r="K21" s="270"/>
      <c r="L21" s="1174" t="str">
        <f>INDEX(PT_DIFFERENTIATION_NUM_CS,MATCH(C19,PT_DIFFERENTIATION_CS_ID,0))</f>
        <v>..</v>
      </c>
      <c r="M21" s="227" t="s">
        <v>477</v>
      </c>
      <c r="N21" s="218"/>
      <c r="O21" s="5633" t="str">
        <f>INDEX(PT_DIFFERENTIATION_CS,MATCH(C19,PT_DIFFERENTIATION_CS_ID,0))</f>
        <v/>
      </c>
      <c r="P21" s="5633"/>
      <c r="Q21" s="5633"/>
      <c r="R21" s="5633"/>
      <c r="S21" s="5633"/>
      <c r="T21" s="5633"/>
      <c r="U21" s="5633"/>
      <c r="V21" s="5633"/>
      <c r="W21" s="5633"/>
      <c r="X21" s="1141" t="s">
        <v>478</v>
      </c>
      <c r="Z21" s="408"/>
      <c r="AA21" s="408" t="str">
        <f t="shared" si="0"/>
        <v xml:space="preserve">Наименование системы теплоснабжения </v>
      </c>
      <c r="AB21" s="408"/>
      <c r="AC21" s="408"/>
    </row>
    <row r="22" spans="1:29" ht="21" customHeight="1">
      <c r="A22" s="1241" t="s">
        <v>185</v>
      </c>
      <c r="B22" s="1241" t="s">
        <v>186</v>
      </c>
      <c r="C22" s="1241" t="s">
        <v>187</v>
      </c>
      <c r="D22" s="1241" t="s">
        <v>188</v>
      </c>
      <c r="E22" s="1241"/>
      <c r="F22" s="1243"/>
      <c r="G22" s="1243"/>
      <c r="H22" s="1243"/>
      <c r="I22" s="271"/>
      <c r="J22" s="269"/>
      <c r="K22" s="270"/>
      <c r="L22" s="1174" t="str">
        <f>INDEX(PT_DIFFERENTIATION_NUM_IST_TE,MATCH(D19,PT_DIFFERENTIATION_IST_TE_ID,0))</f>
        <v>...</v>
      </c>
      <c r="M22" s="228" t="s">
        <v>479</v>
      </c>
      <c r="N22" s="218"/>
      <c r="O22" s="5633" t="str">
        <f>INDEX(PT_DIFFERENTIATION_IST_TE,MATCH(D19,PT_DIFFERENTIATION_IST_TE_ID,0))</f>
        <v/>
      </c>
      <c r="P22" s="5633"/>
      <c r="Q22" s="5633"/>
      <c r="R22" s="5633"/>
      <c r="S22" s="5633"/>
      <c r="T22" s="5633"/>
      <c r="U22" s="5633"/>
      <c r="V22" s="5633"/>
      <c r="W22" s="5633"/>
      <c r="X22" s="1141" t="s">
        <v>480</v>
      </c>
      <c r="Z22" s="408"/>
      <c r="AA22" s="408" t="str">
        <f t="shared" si="0"/>
        <v xml:space="preserve">Источник тепловой энергии  </v>
      </c>
      <c r="AB22" s="408"/>
      <c r="AC22" s="408"/>
    </row>
    <row r="23" spans="1:29" ht="94.5" customHeight="1">
      <c r="A23" s="1241" t="s">
        <v>185</v>
      </c>
      <c r="B23" s="1241" t="s">
        <v>186</v>
      </c>
      <c r="C23" s="1241" t="s">
        <v>187</v>
      </c>
      <c r="D23" s="1241" t="s">
        <v>188</v>
      </c>
      <c r="E23" s="1241"/>
      <c r="F23" s="5222" t="str">
        <f>L22&amp;".1"</f>
        <v>....1</v>
      </c>
      <c r="I23" s="5375">
        <v>1</v>
      </c>
      <c r="J23" s="1172"/>
      <c r="K23" s="273"/>
      <c r="L23" s="1174" t="str">
        <f>$F$23</f>
        <v>....1</v>
      </c>
      <c r="M23" s="203" t="s">
        <v>482</v>
      </c>
      <c r="N23" s="218"/>
      <c r="O23" s="5634"/>
      <c r="P23" s="5634"/>
      <c r="Q23" s="5634"/>
      <c r="R23" s="5634"/>
      <c r="S23" s="5634"/>
      <c r="T23" s="5634"/>
      <c r="U23" s="5634"/>
      <c r="V23" s="5634"/>
      <c r="W23" s="5634"/>
      <c r="X23" s="1141" t="s">
        <v>483</v>
      </c>
      <c r="Z23" s="408"/>
      <c r="AA23" s="408" t="str">
        <f t="shared" si="0"/>
        <v>Схема подключения теплопотребляющей установки к коллектору источника тепловой энергии</v>
      </c>
      <c r="AB23" s="408"/>
      <c r="AC23" s="408"/>
    </row>
    <row r="24" spans="1:29" ht="84" customHeight="1">
      <c r="A24" s="1241" t="s">
        <v>185</v>
      </c>
      <c r="B24" s="1241" t="s">
        <v>186</v>
      </c>
      <c r="C24" s="1241" t="s">
        <v>187</v>
      </c>
      <c r="D24" s="1241" t="s">
        <v>188</v>
      </c>
      <c r="E24" s="1241"/>
      <c r="F24" s="5222"/>
      <c r="G24" s="5222" t="str">
        <f>F23&amp;".1"</f>
        <v>....1.1</v>
      </c>
      <c r="I24" s="5375"/>
      <c r="J24" s="5375">
        <v>1</v>
      </c>
      <c r="K24" s="274"/>
      <c r="L24" s="1174" t="str">
        <f>$G$24</f>
        <v>....1.1</v>
      </c>
      <c r="M24" s="204" t="s">
        <v>485</v>
      </c>
      <c r="N24" s="218"/>
      <c r="O24" s="5635"/>
      <c r="P24" s="5636"/>
      <c r="Q24" s="5636"/>
      <c r="R24" s="5636"/>
      <c r="S24" s="5636"/>
      <c r="T24" s="5636"/>
      <c r="U24" s="5636"/>
      <c r="V24" s="5636"/>
      <c r="W24" s="5637"/>
      <c r="X24" s="1141" t="s">
        <v>486</v>
      </c>
      <c r="Z24" s="408"/>
      <c r="AA24" s="408" t="str">
        <f t="shared" si="0"/>
        <v>Группа потребителей</v>
      </c>
      <c r="AB24" s="408"/>
      <c r="AC24" s="408"/>
    </row>
    <row r="25" spans="1:29" ht="11.25" customHeight="1">
      <c r="A25" s="1241" t="s">
        <v>185</v>
      </c>
      <c r="B25" s="1241" t="s">
        <v>186</v>
      </c>
      <c r="C25" s="1241" t="s">
        <v>187</v>
      </c>
      <c r="D25" s="1241" t="s">
        <v>188</v>
      </c>
      <c r="E25" s="1241"/>
      <c r="F25" s="5222"/>
      <c r="G25" s="5222"/>
      <c r="H25" s="5222" t="str">
        <f>G24&amp;".1"</f>
        <v>....1.1.1</v>
      </c>
      <c r="I25" s="5375"/>
      <c r="J25" s="5375"/>
      <c r="K25" s="274">
        <v>1</v>
      </c>
      <c r="L25" s="1174" t="str">
        <f>$H$25</f>
        <v>....1.1.1</v>
      </c>
      <c r="M25" s="1142"/>
      <c r="N25" s="218"/>
      <c r="O25" s="650"/>
      <c r="P25" s="243"/>
      <c r="Q25" s="650"/>
      <c r="R25" s="1140"/>
      <c r="S25" s="5379"/>
      <c r="T25" s="5225" t="s">
        <v>64</v>
      </c>
      <c r="U25" s="5379"/>
      <c r="V25" s="5225" t="s">
        <v>54</v>
      </c>
      <c r="W25" s="243"/>
      <c r="X25" s="5371" t="s">
        <v>488</v>
      </c>
      <c r="Y25" s="419" t="e">
        <f ca="1">STRCHECKDATE(O26:W26)</f>
        <v>#NAME?</v>
      </c>
      <c r="Z25" s="408"/>
      <c r="AA25" s="408" t="str">
        <f t="shared" si="0"/>
        <v/>
      </c>
      <c r="AB25" s="408"/>
      <c r="AC25" s="408"/>
    </row>
    <row r="26" spans="1:29" ht="11.25" customHeight="1">
      <c r="A26" s="1241" t="s">
        <v>185</v>
      </c>
      <c r="B26" s="1241" t="s">
        <v>186</v>
      </c>
      <c r="C26" s="1241" t="s">
        <v>187</v>
      </c>
      <c r="D26" s="1241" t="s">
        <v>188</v>
      </c>
      <c r="E26" s="1241"/>
      <c r="F26" s="5222"/>
      <c r="G26" s="5222"/>
      <c r="H26" s="5222"/>
      <c r="I26" s="5375"/>
      <c r="J26" s="5375"/>
      <c r="K26" s="274"/>
      <c r="L26" s="1175"/>
      <c r="M26" s="218"/>
      <c r="N26" s="218"/>
      <c r="O26" s="243"/>
      <c r="P26" s="243"/>
      <c r="Q26" s="243"/>
      <c r="R26" s="246" t="str">
        <f>S25&amp;"-"&amp;U25</f>
        <v>-</v>
      </c>
      <c r="S26" s="5380"/>
      <c r="T26" s="5225"/>
      <c r="U26" s="5380"/>
      <c r="V26" s="5225"/>
      <c r="W26" s="243"/>
      <c r="X26" s="5372"/>
      <c r="Z26" s="408"/>
      <c r="AA26" s="408" t="str">
        <f t="shared" si="0"/>
        <v/>
      </c>
      <c r="AB26" s="408"/>
      <c r="AC26" s="408"/>
    </row>
    <row r="27" spans="1:29" ht="15" customHeight="1">
      <c r="A27" s="1241" t="s">
        <v>185</v>
      </c>
      <c r="B27" s="1241" t="s">
        <v>186</v>
      </c>
      <c r="C27" s="1241" t="s">
        <v>187</v>
      </c>
      <c r="D27" s="1241" t="s">
        <v>188</v>
      </c>
      <c r="E27" s="1241"/>
      <c r="F27" s="5222"/>
      <c r="G27" s="5222"/>
      <c r="I27" s="5375"/>
      <c r="J27" s="5375"/>
      <c r="K27" s="273"/>
      <c r="L27" s="1161"/>
      <c r="M27" s="206" t="s">
        <v>489</v>
      </c>
      <c r="N27" s="283"/>
      <c r="O27" s="283"/>
      <c r="P27" s="283"/>
      <c r="Q27" s="283"/>
      <c r="R27" s="283"/>
      <c r="S27" s="283"/>
      <c r="T27" s="283"/>
      <c r="U27" s="283"/>
      <c r="V27" s="283"/>
      <c r="W27" s="242"/>
      <c r="X27" s="5373"/>
      <c r="Z27" s="408"/>
      <c r="AA27" s="408" t="str">
        <f t="shared" si="0"/>
        <v>Добавить вид теплоносителя (параметры теплоносителя)</v>
      </c>
      <c r="AB27" s="408"/>
      <c r="AC27" s="408"/>
    </row>
    <row r="28" spans="1:29" ht="15" customHeight="1">
      <c r="A28" s="1241" t="s">
        <v>185</v>
      </c>
      <c r="B28" s="1241" t="s">
        <v>186</v>
      </c>
      <c r="C28" s="1241" t="s">
        <v>187</v>
      </c>
      <c r="D28" s="1241" t="s">
        <v>188</v>
      </c>
      <c r="E28" s="1241"/>
      <c r="F28" s="5222"/>
      <c r="I28" s="5375"/>
      <c r="J28" s="1172"/>
      <c r="K28" s="273"/>
      <c r="L28" s="1161"/>
      <c r="M28" s="205" t="s">
        <v>490</v>
      </c>
      <c r="N28" s="283"/>
      <c r="O28" s="283"/>
      <c r="P28" s="283"/>
      <c r="Q28" s="283"/>
      <c r="R28" s="283"/>
      <c r="S28" s="283"/>
      <c r="T28" s="283"/>
      <c r="U28" s="283"/>
      <c r="V28" s="282"/>
      <c r="W28" s="283"/>
      <c r="X28" s="221"/>
      <c r="Z28" s="408"/>
      <c r="AA28" s="408" t="str">
        <f t="shared" si="0"/>
        <v>Добавить группу потребителей</v>
      </c>
      <c r="AB28" s="408"/>
      <c r="AC28" s="408"/>
    </row>
    <row r="29" spans="1:29" ht="14.25" customHeight="1">
      <c r="A29" s="1241" t="s">
        <v>185</v>
      </c>
      <c r="B29" s="1241" t="s">
        <v>186</v>
      </c>
      <c r="C29" s="1241" t="s">
        <v>187</v>
      </c>
      <c r="D29" s="1241" t="s">
        <v>188</v>
      </c>
      <c r="E29" s="1241"/>
      <c r="F29" s="1243"/>
      <c r="G29" s="1243"/>
      <c r="H29" s="444"/>
      <c r="I29" s="277"/>
      <c r="J29" s="291"/>
      <c r="K29" s="272"/>
      <c r="L29" s="1161"/>
      <c r="M29" s="281" t="s">
        <v>491</v>
      </c>
      <c r="N29" s="283"/>
      <c r="O29" s="283"/>
      <c r="P29" s="283"/>
      <c r="Q29" s="283"/>
      <c r="R29" s="283"/>
      <c r="S29" s="283"/>
      <c r="T29" s="283"/>
      <c r="U29" s="283"/>
      <c r="V29" s="282"/>
      <c r="W29" s="283"/>
      <c r="X29" s="221"/>
      <c r="Z29" s="408"/>
      <c r="AA29" s="408" t="str">
        <f t="shared" si="0"/>
        <v>Добавить схему подключения</v>
      </c>
      <c r="AB29" s="408"/>
      <c r="AC29" s="408"/>
    </row>
    <row r="30" spans="1:29" ht="14.25" customHeight="1">
      <c r="A30" s="1241" t="s">
        <v>185</v>
      </c>
      <c r="B30" s="1241" t="s">
        <v>186</v>
      </c>
      <c r="C30" s="1241" t="s">
        <v>187</v>
      </c>
      <c r="D30" s="1241"/>
      <c r="E30" s="1241" t="s">
        <v>675</v>
      </c>
      <c r="F30" s="1243"/>
      <c r="G30" s="1243"/>
      <c r="H30" s="444"/>
      <c r="I30" s="277"/>
      <c r="J30" s="291"/>
      <c r="K30" s="272"/>
      <c r="L30" s="1162"/>
      <c r="M30" s="1151"/>
      <c r="N30" s="1152"/>
      <c r="O30" s="1152"/>
      <c r="P30" s="1152"/>
      <c r="Q30" s="1152"/>
      <c r="R30" s="1152"/>
      <c r="S30" s="1152"/>
      <c r="T30" s="1152"/>
      <c r="U30" s="1152"/>
      <c r="V30" s="1153"/>
      <c r="W30" s="1152"/>
      <c r="X30" s="1154"/>
      <c r="Z30" s="408"/>
      <c r="AA30" s="408" t="str">
        <f t="shared" si="0"/>
        <v/>
      </c>
      <c r="AB30" s="408"/>
      <c r="AC30" s="408"/>
    </row>
    <row r="31" spans="1:29" ht="14.25" customHeight="1">
      <c r="A31" s="1241" t="s">
        <v>185</v>
      </c>
      <c r="B31" s="1241" t="s">
        <v>186</v>
      </c>
      <c r="C31" s="1241"/>
      <c r="D31" s="1241"/>
      <c r="E31" s="1241" t="s">
        <v>2240</v>
      </c>
      <c r="F31" s="1389"/>
      <c r="G31" s="1389"/>
      <c r="H31" s="444"/>
      <c r="I31" s="275"/>
      <c r="J31" s="291"/>
      <c r="K31" s="276"/>
      <c r="L31" s="1162"/>
      <c r="M31" s="1155"/>
      <c r="N31" s="1152"/>
      <c r="O31" s="1152"/>
      <c r="P31" s="1152"/>
      <c r="Q31" s="1152"/>
      <c r="R31" s="1152"/>
      <c r="S31" s="1152"/>
      <c r="T31" s="1152"/>
      <c r="U31" s="1152"/>
      <c r="V31" s="1153"/>
      <c r="W31" s="1152"/>
      <c r="X31" s="1154"/>
      <c r="Z31" s="408"/>
      <c r="AA31" s="408" t="str">
        <f t="shared" si="0"/>
        <v/>
      </c>
      <c r="AB31" s="408"/>
      <c r="AC31" s="408"/>
    </row>
    <row r="32" spans="1:29" ht="14.25" customHeight="1">
      <c r="A32" s="1241" t="s">
        <v>2241</v>
      </c>
      <c r="B32" s="1241"/>
      <c r="C32" s="1241"/>
      <c r="D32" s="1241"/>
      <c r="E32" s="1241" t="s">
        <v>124</v>
      </c>
      <c r="F32" s="1389"/>
      <c r="G32" s="1389"/>
      <c r="H32" s="444"/>
      <c r="I32" s="277"/>
      <c r="J32" s="291"/>
      <c r="K32" s="272"/>
      <c r="L32" s="1162"/>
      <c r="M32" s="1156"/>
      <c r="N32" s="1152"/>
      <c r="O32" s="1152"/>
      <c r="P32" s="1152"/>
      <c r="Q32" s="1152"/>
      <c r="R32" s="1152"/>
      <c r="S32" s="1152"/>
      <c r="T32" s="1152"/>
      <c r="U32" s="1152"/>
      <c r="V32" s="1153"/>
      <c r="W32" s="1152"/>
      <c r="X32" s="1154"/>
      <c r="Z32" s="408"/>
      <c r="AA32" s="408" t="str">
        <f t="shared" si="0"/>
        <v/>
      </c>
      <c r="AB32" s="408"/>
      <c r="AC32" s="408"/>
    </row>
    <row r="33" spans="1:29" s="5186" customFormat="1" ht="11.25" customHeight="1">
      <c r="A33" s="1241"/>
      <c r="B33" s="1241"/>
      <c r="C33" s="1241"/>
      <c r="D33" s="1241"/>
      <c r="E33" s="1241" t="s">
        <v>331</v>
      </c>
      <c r="F33" s="1390"/>
      <c r="G33" s="1391"/>
      <c r="H33" s="444"/>
      <c r="L33" s="1163"/>
      <c r="M33" s="1157"/>
      <c r="N33" s="1152"/>
      <c r="O33" s="1152"/>
      <c r="P33" s="1152"/>
      <c r="Q33" s="1152"/>
      <c r="R33" s="1152"/>
      <c r="S33" s="1152"/>
      <c r="T33" s="1152"/>
      <c r="U33" s="1152"/>
      <c r="V33" s="1153"/>
      <c r="W33" s="1152"/>
      <c r="X33" s="1154"/>
      <c r="Y33" s="295"/>
      <c r="Z33" s="295"/>
      <c r="AA33" s="295"/>
      <c r="AB33" s="295"/>
      <c r="AC33" s="295"/>
    </row>
    <row r="34" spans="1:29" ht="11.25" customHeight="1">
      <c r="F34" s="1042"/>
      <c r="G34" s="1042"/>
      <c r="H34" s="444"/>
      <c r="I34" s="1037"/>
      <c r="J34" s="1037"/>
      <c r="K34" s="1037"/>
      <c r="Y34" s="1037"/>
      <c r="Z34" s="1037"/>
      <c r="AA34" s="1037"/>
      <c r="AB34" s="1037"/>
      <c r="AC34" s="1037"/>
    </row>
    <row r="35" spans="1:29" ht="27" customHeight="1">
      <c r="H35" s="444"/>
      <c r="L35" s="1169" t="s">
        <v>807</v>
      </c>
      <c r="M35" s="5396" t="s">
        <v>2242</v>
      </c>
      <c r="N35" s="5396"/>
      <c r="O35" s="5396"/>
      <c r="P35" s="5396"/>
      <c r="Q35" s="5396"/>
      <c r="R35" s="5396"/>
      <c r="S35" s="5396"/>
      <c r="T35" s="5396"/>
      <c r="U35" s="5396"/>
      <c r="V35" s="5396"/>
      <c r="W35" s="5396"/>
      <c r="X35" s="5396"/>
    </row>
    <row r="36" spans="1:29" ht="104.25" customHeight="1">
      <c r="H36" s="444"/>
      <c r="I36" s="1184"/>
      <c r="M36" s="5396" t="s">
        <v>2243</v>
      </c>
      <c r="N36" s="5396"/>
      <c r="O36" s="5396"/>
      <c r="P36" s="5396"/>
      <c r="Q36" s="5396"/>
      <c r="R36" s="5396"/>
      <c r="S36" s="5396"/>
      <c r="T36" s="5396"/>
      <c r="U36" s="5396"/>
      <c r="V36" s="5396"/>
      <c r="W36" s="5396"/>
      <c r="X36" s="5396"/>
    </row>
    <row r="37" spans="1:29" ht="14.25" customHeight="1">
      <c r="H37" s="444"/>
    </row>
    <row r="38" spans="1:29" ht="14.25" customHeight="1">
      <c r="H38" s="444"/>
    </row>
    <row r="39" spans="1:29" ht="14.25" customHeight="1">
      <c r="H39" s="444"/>
    </row>
    <row r="40" spans="1:29" ht="14.25" customHeight="1">
      <c r="H40" s="444"/>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9"/>
  <sheetViews>
    <sheetView showGridLines="0" topLeftCell="C3" zoomScale="90" workbookViewId="0"/>
  </sheetViews>
  <sheetFormatPr defaultColWidth="9.140625" defaultRowHeight="11.25" customHeight="1"/>
  <cols>
    <col min="1" max="1" width="15" style="4835" hidden="1" customWidth="1"/>
    <col min="2" max="2" width="15" style="4833" hidden="1" customWidth="1"/>
    <col min="3" max="3" width="3.7109375" style="4836" customWidth="1"/>
    <col min="4" max="4" width="6.85546875" style="4837" customWidth="1"/>
    <col min="5" max="5" width="52.28515625" style="4836" customWidth="1"/>
    <col min="6" max="6" width="48.85546875" style="4836" customWidth="1"/>
    <col min="7" max="7" width="121.7109375" style="4836" customWidth="1"/>
    <col min="8" max="8" width="9.140625" style="4836"/>
    <col min="9" max="9" width="65" style="4836" customWidth="1"/>
  </cols>
  <sheetData>
    <row r="1" spans="1:9" ht="11.25" hidden="1" customHeight="1">
      <c r="A1" s="1550" t="s">
        <v>377</v>
      </c>
    </row>
    <row r="2" spans="1:9" ht="11.25" hidden="1" customHeight="1"/>
    <row r="3" spans="1:9" s="4832" customFormat="1" ht="11.25" customHeight="1">
      <c r="A3" s="1550"/>
      <c r="B3" s="409"/>
      <c r="D3" s="386"/>
    </row>
    <row r="4" spans="1:9" ht="25.5" customHeight="1">
      <c r="D4" s="5274" t="str">
        <f>ORG_INFO_NAME_FORM</f>
        <v>Форма 1. Информация об организации, осуществляющей горячее водоснабжение (общая информация)</v>
      </c>
      <c r="E4" s="5275"/>
      <c r="F4" s="5276"/>
      <c r="I4" s="616"/>
    </row>
    <row r="5" spans="1:9" ht="17.25" customHeight="1">
      <c r="D5" s="5308" t="str">
        <f>IF(org=0,"Не определено",org)</f>
        <v>ООО «Газпром теплоэнерго МО»</v>
      </c>
      <c r="E5" s="5308"/>
      <c r="F5" s="5308"/>
      <c r="I5" s="616"/>
    </row>
    <row r="6" spans="1:9" s="4832" customFormat="1" ht="11.25" customHeight="1">
      <c r="A6" s="1550"/>
      <c r="B6" s="409"/>
      <c r="D6" s="615"/>
      <c r="E6" s="615"/>
      <c r="F6" s="651"/>
      <c r="G6" s="615"/>
    </row>
    <row r="7" spans="1:9" ht="11.25" hidden="1" customHeight="1">
      <c r="A7" s="367"/>
      <c r="B7" s="410"/>
      <c r="C7" s="367"/>
      <c r="D7" s="372"/>
      <c r="E7" s="5334"/>
      <c r="F7" s="5334"/>
    </row>
    <row r="8" spans="1:9" ht="11.25" customHeight="1">
      <c r="A8" s="367"/>
      <c r="B8" s="410"/>
      <c r="C8" s="367"/>
      <c r="D8" s="5331" t="s">
        <v>378</v>
      </c>
      <c r="E8" s="5332"/>
      <c r="F8" s="5332"/>
      <c r="G8" s="5335" t="s">
        <v>379</v>
      </c>
    </row>
    <row r="9" spans="1:9" ht="11.25" customHeight="1">
      <c r="A9" s="367"/>
      <c r="B9" s="410"/>
      <c r="C9" s="367"/>
      <c r="D9" s="381" t="s">
        <v>85</v>
      </c>
      <c r="E9" s="360" t="s">
        <v>380</v>
      </c>
      <c r="F9" s="360" t="s">
        <v>381</v>
      </c>
      <c r="G9" s="5336"/>
    </row>
    <row r="10" spans="1:9" ht="12" hidden="1" customHeight="1">
      <c r="A10" s="367"/>
      <c r="B10" s="410"/>
      <c r="C10" s="367"/>
      <c r="D10" s="373"/>
      <c r="E10" s="373"/>
      <c r="F10" s="373"/>
      <c r="G10" s="373"/>
    </row>
    <row r="11" spans="1:9" ht="22.5" hidden="1" customHeight="1">
      <c r="A11" s="367"/>
      <c r="B11" s="410"/>
      <c r="C11" s="367"/>
      <c r="D11" s="898" t="s">
        <v>129</v>
      </c>
      <c r="E11" s="901" t="s">
        <v>382</v>
      </c>
      <c r="F11" s="900" t="str">
        <f>IF(region_name="","",region_name)</f>
        <v>Московская область</v>
      </c>
      <c r="G11" s="901" t="s">
        <v>383</v>
      </c>
      <c r="H11" s="384"/>
    </row>
    <row r="12" spans="1:9" ht="22.5" hidden="1" customHeight="1">
      <c r="A12" s="367"/>
      <c r="B12" s="410"/>
      <c r="C12" s="367"/>
      <c r="D12" s="359" t="s">
        <v>129</v>
      </c>
      <c r="E12" s="35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57" t="s">
        <v>384</v>
      </c>
      <c r="G12" s="383"/>
      <c r="H12" s="384"/>
    </row>
    <row r="13" spans="1:9" ht="22.5" customHeight="1">
      <c r="A13" s="367"/>
      <c r="B13" s="410"/>
      <c r="C13" s="367"/>
      <c r="D13" s="359" t="s">
        <v>129</v>
      </c>
      <c r="E13" s="356" t="str">
        <f>"Наименование юридического лица"&amp;IF(TEMPLATE_SPHERE="TKO"," (индивидуального предпринимателя)","")</f>
        <v>Наименование юридического лица</v>
      </c>
      <c r="F13" s="355"/>
      <c r="G13" s="35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84"/>
    </row>
    <row r="14" spans="1:9" ht="22.5" hidden="1" customHeight="1">
      <c r="A14" s="367"/>
      <c r="B14" s="410"/>
      <c r="C14" s="367"/>
      <c r="D14" s="898" t="s">
        <v>385</v>
      </c>
      <c r="E14" s="899" t="s">
        <v>386</v>
      </c>
      <c r="F14" s="900" t="str">
        <f>IF(inn="","",inn)</f>
        <v>5007101649</v>
      </c>
      <c r="G14" s="901" t="s">
        <v>387</v>
      </c>
      <c r="H14" s="384"/>
    </row>
    <row r="15" spans="1:9" ht="22.5" hidden="1" customHeight="1">
      <c r="A15" s="367"/>
      <c r="B15" s="410"/>
      <c r="C15" s="367"/>
      <c r="D15" s="898" t="s">
        <v>388</v>
      </c>
      <c r="E15" s="899" t="s">
        <v>389</v>
      </c>
      <c r="F15" s="900" t="str">
        <f>IF(kpp="","",kpp)</f>
        <v>500701001</v>
      </c>
      <c r="G15" s="901" t="s">
        <v>390</v>
      </c>
      <c r="H15" s="384"/>
    </row>
    <row r="16" spans="1:9" ht="36.75" customHeight="1">
      <c r="A16" s="367"/>
      <c r="B16" s="410"/>
      <c r="C16" s="367"/>
      <c r="D16" s="359" t="s">
        <v>100</v>
      </c>
      <c r="E16" s="35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5"/>
      <c r="G16" s="35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4"/>
    </row>
    <row r="17" spans="1:9" ht="22.5" customHeight="1">
      <c r="A17" s="367"/>
      <c r="B17" s="410"/>
      <c r="C17" s="367"/>
      <c r="D17" s="359" t="s">
        <v>87</v>
      </c>
      <c r="E17" s="356" t="str">
        <f>"Дата присвоения ОГРН"&amp;IF(TEMPLATE_SPHERE="TKO",""," (ОГРНИП)")</f>
        <v>Дата присвоения ОГРН (ОГРНИП)</v>
      </c>
      <c r="F17" s="1595" t="s">
        <v>24</v>
      </c>
      <c r="G17" s="358" t="str">
        <f>"Дата присвоения ОГРН"&amp;IF(TEMPLATE_SPHERE="TKO",""," (ОГРНИП)")&amp;" указывается в виде «ДД.ММ.ГГГГ»."</f>
        <v>Дата присвоения ОГРН (ОГРНИП) указывается в виде «ДД.ММ.ГГГГ».</v>
      </c>
      <c r="H17" s="384"/>
    </row>
    <row r="18" spans="1:9" ht="56.25" customHeight="1">
      <c r="A18" s="367"/>
      <c r="B18" s="410"/>
      <c r="C18" s="367"/>
      <c r="D18" s="359" t="s">
        <v>88</v>
      </c>
      <c r="E18" s="35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5"/>
      <c r="G18" s="383"/>
      <c r="H18" s="384"/>
    </row>
    <row r="19" spans="1:9" ht="22.5" hidden="1" customHeight="1">
      <c r="A19" s="5329" t="s">
        <v>391</v>
      </c>
      <c r="B19" s="410"/>
      <c r="C19" s="5340"/>
      <c r="D19" s="359" t="str">
        <f>A19</f>
        <v>5.1</v>
      </c>
      <c r="E19" s="356" t="s">
        <v>392</v>
      </c>
      <c r="F19" s="357" t="s">
        <v>384</v>
      </c>
      <c r="G19" s="358" t="s">
        <v>393</v>
      </c>
      <c r="H19" s="384"/>
      <c r="I19" s="747"/>
    </row>
    <row r="20" spans="1:9" ht="24" hidden="1" customHeight="1">
      <c r="A20" s="5329"/>
      <c r="B20" s="410"/>
      <c r="C20" s="5340"/>
      <c r="D20" s="354" t="str">
        <f>D19&amp;".1"</f>
        <v>5.1.1</v>
      </c>
      <c r="E20" s="353" t="s">
        <v>394</v>
      </c>
      <c r="F20" s="776" t="s">
        <v>24</v>
      </c>
      <c r="G20" s="383"/>
      <c r="H20" s="384"/>
      <c r="I20" s="747"/>
    </row>
    <row r="21" spans="1:9" ht="22.5" hidden="1" customHeight="1">
      <c r="A21" s="5329"/>
      <c r="B21" s="410"/>
      <c r="C21" s="5340"/>
      <c r="D21" s="354" t="str">
        <f>D19&amp;".2"</f>
        <v>5.1.2</v>
      </c>
      <c r="E21" s="353" t="s">
        <v>395</v>
      </c>
      <c r="F21" s="1596" t="s">
        <v>24</v>
      </c>
      <c r="G21" s="358" t="s">
        <v>396</v>
      </c>
      <c r="H21" s="384"/>
      <c r="I21" s="747"/>
    </row>
    <row r="22" spans="1:9" ht="22.5" hidden="1" customHeight="1">
      <c r="A22" s="5329"/>
      <c r="B22" s="410"/>
      <c r="C22" s="5340"/>
      <c r="D22" s="354" t="str">
        <f>D19&amp;".3"</f>
        <v>5.1.3</v>
      </c>
      <c r="E22" s="353" t="s">
        <v>397</v>
      </c>
      <c r="F22" s="776" t="s">
        <v>24</v>
      </c>
      <c r="G22" s="383"/>
      <c r="H22" s="384"/>
      <c r="I22" s="747"/>
    </row>
    <row r="23" spans="1:9" ht="22.5" hidden="1" customHeight="1">
      <c r="A23" s="5329"/>
      <c r="B23" s="410"/>
      <c r="C23" s="5340"/>
      <c r="D23" s="354" t="str">
        <f>D19&amp;".4"</f>
        <v>5.1.4</v>
      </c>
      <c r="E23" s="353" t="s">
        <v>398</v>
      </c>
      <c r="F23" s="776" t="s">
        <v>24</v>
      </c>
      <c r="G23" s="358" t="s">
        <v>399</v>
      </c>
      <c r="H23" s="384"/>
      <c r="I23" s="747"/>
    </row>
    <row r="24" spans="1:9" ht="22.5" hidden="1" customHeight="1">
      <c r="A24" s="1840"/>
      <c r="B24" s="410"/>
      <c r="C24" s="400"/>
      <c r="D24" s="376"/>
      <c r="E24" s="1050" t="s">
        <v>400</v>
      </c>
      <c r="F24" s="377"/>
      <c r="G24" s="378"/>
      <c r="H24" s="384"/>
      <c r="I24" s="747"/>
    </row>
    <row r="25" spans="1:9" s="4833" customFormat="1" ht="24.75" hidden="1" customHeight="1">
      <c r="A25" s="367"/>
      <c r="B25" s="410"/>
      <c r="C25" s="410"/>
      <c r="D25" s="895" t="s">
        <v>87</v>
      </c>
      <c r="E25" s="897" t="s">
        <v>401</v>
      </c>
      <c r="F25" s="902" t="s">
        <v>384</v>
      </c>
      <c r="G25" s="897"/>
    </row>
    <row r="26" spans="1:9" s="4833" customFormat="1" ht="11.25" hidden="1" customHeight="1">
      <c r="A26" s="367"/>
      <c r="B26" s="410"/>
      <c r="C26" s="410"/>
      <c r="D26" s="895" t="s">
        <v>402</v>
      </c>
      <c r="E26" s="896" t="s">
        <v>403</v>
      </c>
      <c r="F26" s="902" t="s">
        <v>384</v>
      </c>
      <c r="G26" s="897"/>
    </row>
    <row r="27" spans="1:9" s="4833" customFormat="1" ht="11.25" hidden="1" customHeight="1">
      <c r="A27" s="367"/>
      <c r="B27" s="410"/>
      <c r="C27" s="410"/>
      <c r="D27" s="895" t="s">
        <v>404</v>
      </c>
      <c r="E27" s="903" t="s">
        <v>405</v>
      </c>
      <c r="F27" s="904"/>
      <c r="G27" s="89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8" spans="1:9" s="4833" customFormat="1" ht="11.25" hidden="1" customHeight="1">
      <c r="A28" s="367"/>
      <c r="B28" s="410"/>
      <c r="C28" s="410"/>
      <c r="D28" s="895" t="s">
        <v>406</v>
      </c>
      <c r="E28" s="903" t="s">
        <v>407</v>
      </c>
      <c r="F28" s="904"/>
      <c r="G28" s="89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9" spans="1:9" s="4833" customFormat="1" ht="11.25" hidden="1" customHeight="1">
      <c r="A29" s="367"/>
      <c r="B29" s="410"/>
      <c r="C29" s="410"/>
      <c r="D29" s="895" t="s">
        <v>408</v>
      </c>
      <c r="E29" s="903" t="s">
        <v>409</v>
      </c>
      <c r="F29" s="904"/>
      <c r="G29" s="89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r="30" spans="1:9" s="4833" customFormat="1" ht="11.25" hidden="1" customHeight="1">
      <c r="A30" s="367"/>
      <c r="B30" s="410"/>
      <c r="C30" s="410"/>
      <c r="D30" s="895" t="s">
        <v>410</v>
      </c>
      <c r="E30" s="896" t="s">
        <v>411</v>
      </c>
      <c r="F30" s="904"/>
      <c r="G30" s="897"/>
    </row>
    <row r="31" spans="1:9" s="4833" customFormat="1" ht="11.25" hidden="1" customHeight="1">
      <c r="A31" s="367"/>
      <c r="B31" s="410"/>
      <c r="C31" s="410"/>
      <c r="D31" s="895" t="s">
        <v>412</v>
      </c>
      <c r="E31" s="896" t="s">
        <v>413</v>
      </c>
      <c r="F31" s="904"/>
      <c r="G31" s="897"/>
    </row>
    <row r="32" spans="1:9" s="4833" customFormat="1" ht="11.25" hidden="1" customHeight="1">
      <c r="A32" s="367"/>
      <c r="B32" s="410"/>
      <c r="C32" s="410"/>
      <c r="D32" s="895" t="s">
        <v>414</v>
      </c>
      <c r="E32" s="896" t="s">
        <v>415</v>
      </c>
      <c r="F32" s="905"/>
      <c r="G32" s="897"/>
    </row>
    <row r="33" spans="1:8" ht="22.5" customHeight="1">
      <c r="A33" s="367" t="str">
        <f>IF(TEMPLATE_SPHERE="HEAT","6","5")</f>
        <v>5</v>
      </c>
      <c r="B33" s="410"/>
      <c r="C33" s="367"/>
      <c r="D33" s="354" t="str">
        <f>A33</f>
        <v>5</v>
      </c>
      <c r="E33" s="35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57" t="s">
        <v>384</v>
      </c>
      <c r="G33" s="383"/>
      <c r="H33" s="384"/>
    </row>
    <row r="34" spans="1:8" ht="22.5" customHeight="1">
      <c r="A34" s="367"/>
      <c r="B34" s="410"/>
      <c r="C34" s="367"/>
      <c r="D34" s="354" t="str">
        <f>D33&amp;".1"</f>
        <v>5.1</v>
      </c>
      <c r="E34" s="356" t="str">
        <f>"фамилия"&amp;IF(TEMPLATE_SPHERE&lt;&gt;"HEAT"," руководителя","")</f>
        <v>фамилия руководителя</v>
      </c>
      <c r="F34" s="355"/>
      <c r="G34" s="35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384"/>
    </row>
    <row r="35" spans="1:8" ht="22.5" customHeight="1">
      <c r="A35" s="367"/>
      <c r="B35" s="410"/>
      <c r="C35" s="367"/>
      <c r="D35" s="354" t="str">
        <f>D33&amp;".2"</f>
        <v>5.2</v>
      </c>
      <c r="E35" s="356" t="str">
        <f>"имя"&amp;IF(TEMPLATE_SPHERE&lt;&gt;"HEAT"," руководителя","")</f>
        <v>имя руководителя</v>
      </c>
      <c r="F35" s="355"/>
      <c r="G35" s="35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384"/>
    </row>
    <row r="36" spans="1:8" ht="22.5" customHeight="1">
      <c r="A36" s="367"/>
      <c r="B36" s="410"/>
      <c r="C36" s="367"/>
      <c r="D36" s="354" t="str">
        <f>D33&amp;".3"</f>
        <v>5.3</v>
      </c>
      <c r="E36" s="356" t="str">
        <f>"отчество"&amp;IF(TEMPLATE_SPHERE&lt;&gt;"HEAT"," руководителя","")</f>
        <v>отчество руководителя</v>
      </c>
      <c r="F36" s="600"/>
      <c r="G36" s="35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384"/>
    </row>
    <row r="37" spans="1:8" ht="33.75" customHeight="1">
      <c r="A37" s="367"/>
      <c r="B37" s="410"/>
      <c r="C37" s="367"/>
      <c r="D37" s="354">
        <f>D33+1</f>
        <v>6</v>
      </c>
      <c r="E37" s="35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55"/>
      <c r="G37" s="358" t="s">
        <v>416</v>
      </c>
      <c r="H37" s="384"/>
    </row>
    <row r="38" spans="1:8" ht="33.75" customHeight="1">
      <c r="A38" s="367"/>
      <c r="B38" s="410"/>
      <c r="C38" s="367"/>
      <c r="D38" s="354">
        <f>D37+1</f>
        <v>7</v>
      </c>
      <c r="E38" s="35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55"/>
      <c r="G38" s="358" t="s">
        <v>416</v>
      </c>
      <c r="H38" s="384"/>
    </row>
    <row r="39" spans="1:8" ht="22.5" customHeight="1">
      <c r="A39" s="367"/>
      <c r="B39" s="410"/>
      <c r="C39" s="367"/>
      <c r="D39" s="354">
        <f>D38+1</f>
        <v>8</v>
      </c>
      <c r="E39" s="35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57" t="s">
        <v>384</v>
      </c>
      <c r="G39" s="533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4"/>
    </row>
    <row r="40" spans="1:8" ht="22.5" hidden="1" customHeight="1">
      <c r="A40" s="367"/>
      <c r="B40" s="410"/>
      <c r="C40" s="367"/>
      <c r="D40" s="354" t="str">
        <f>D39&amp;".0"</f>
        <v>8.0</v>
      </c>
      <c r="E40" s="1474"/>
      <c r="F40" s="776"/>
      <c r="G40" s="5338"/>
      <c r="H40" s="384"/>
    </row>
    <row r="41" spans="1:8" ht="22.5" customHeight="1">
      <c r="A41" s="367"/>
      <c r="B41" s="367"/>
      <c r="C41" s="1552"/>
      <c r="D41" s="354" t="str">
        <f>D39&amp;".1"</f>
        <v>8.1</v>
      </c>
      <c r="E41" s="755"/>
      <c r="F41" s="756"/>
      <c r="G41" s="5338"/>
      <c r="H41" s="384"/>
    </row>
    <row r="42" spans="1:8" ht="15" customHeight="1">
      <c r="A42" s="367"/>
      <c r="B42" s="410"/>
      <c r="C42" s="367"/>
      <c r="D42" s="376"/>
      <c r="E42" s="331" t="s">
        <v>417</v>
      </c>
      <c r="F42" s="378"/>
      <c r="G42" s="5339"/>
      <c r="H42" s="385"/>
    </row>
    <row r="43" spans="1:8" ht="25.5" customHeight="1">
      <c r="A43" s="367"/>
      <c r="B43" s="410"/>
      <c r="C43" s="367"/>
      <c r="D43" s="354">
        <f>D39+1</f>
        <v>9</v>
      </c>
      <c r="E43" s="35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57"/>
      <c r="G43" s="35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4"/>
    </row>
    <row r="44" spans="1:8" ht="22.5" customHeight="1">
      <c r="A44" s="367"/>
      <c r="B44" s="410"/>
      <c r="C44" s="367"/>
      <c r="D44" s="354">
        <f>D43+1</f>
        <v>10</v>
      </c>
      <c r="E44" s="35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94"/>
      <c r="G44" s="383" t="s">
        <v>418</v>
      </c>
      <c r="H44" s="384"/>
    </row>
    <row r="45" spans="1:8" ht="22.5" customHeight="1">
      <c r="A45" s="367"/>
      <c r="B45" s="410"/>
      <c r="C45" s="367"/>
      <c r="D45" s="354">
        <f>D44+1</f>
        <v>11</v>
      </c>
      <c r="E45" s="352" t="s">
        <v>419</v>
      </c>
      <c r="F45" s="357" t="s">
        <v>384</v>
      </c>
      <c r="G45" s="351" t="str">
        <f>IF(TEMPLATE_SPHERE="TKO","Указывается режим работы организации.","")</f>
        <v/>
      </c>
      <c r="H45" s="384"/>
    </row>
    <row r="46" spans="1:8" ht="22.5" customHeight="1">
      <c r="A46" s="367"/>
      <c r="B46" s="410"/>
      <c r="C46" s="367"/>
      <c r="D46" s="354" t="str">
        <f>D45&amp;".1"</f>
        <v>11.1</v>
      </c>
      <c r="E46" s="356" t="str">
        <f>"режим работы регулируемой организации"&amp;IF(TEMPLATE_SPHERE="HEAT",", ЕТО, ТО","")</f>
        <v>режим работы регулируемой организации</v>
      </c>
      <c r="F46" s="1548"/>
      <c r="G46" s="351" t="s">
        <v>420</v>
      </c>
      <c r="H46" s="384"/>
    </row>
    <row r="47" spans="1:8" ht="22.5" customHeight="1">
      <c r="A47" s="5329"/>
      <c r="B47" s="410"/>
      <c r="C47" s="400"/>
      <c r="D47" s="354" t="str">
        <f>D45&amp;".2"</f>
        <v>11.2</v>
      </c>
      <c r="E47" s="356" t="s">
        <v>421</v>
      </c>
      <c r="F47" s="398"/>
      <c r="G47" s="351" t="s">
        <v>422</v>
      </c>
      <c r="H47" s="384"/>
    </row>
    <row r="48" spans="1:8" ht="22.5" customHeight="1">
      <c r="A48" s="5329"/>
      <c r="B48" s="410"/>
      <c r="C48" s="400"/>
      <c r="D48" s="354" t="str">
        <f>D45&amp;".3"</f>
        <v>11.3</v>
      </c>
      <c r="E48" s="356" t="s">
        <v>423</v>
      </c>
      <c r="F48" s="398"/>
      <c r="G48" s="351" t="s">
        <v>424</v>
      </c>
      <c r="H48" s="384"/>
    </row>
    <row r="49" spans="1:9" ht="22.5" customHeight="1">
      <c r="A49" s="5329"/>
      <c r="B49" s="410"/>
      <c r="C49" s="400"/>
      <c r="D49" s="354" t="str">
        <f>IF(TEMPLATE_SPHERE="TKO",D45&amp;".0",D45&amp;".4")</f>
        <v>11.4</v>
      </c>
      <c r="E49" s="350" t="s">
        <v>425</v>
      </c>
      <c r="F49" s="1549"/>
      <c r="G49" s="1625" t="s">
        <v>426</v>
      </c>
      <c r="H49" s="384"/>
    </row>
    <row r="50" spans="1:9" ht="22.5" customHeight="1">
      <c r="A50" s="367"/>
      <c r="B50" s="410"/>
      <c r="C50" s="367"/>
      <c r="D50" s="376"/>
      <c r="E50" s="331" t="s">
        <v>427</v>
      </c>
      <c r="F50" s="377"/>
      <c r="G50" s="1625" t="s">
        <v>428</v>
      </c>
      <c r="H50" s="385"/>
    </row>
    <row r="51" spans="1:9" ht="22.5" customHeight="1">
      <c r="A51" s="753"/>
      <c r="B51" s="410"/>
      <c r="C51" s="400"/>
      <c r="D51" s="354">
        <f>D45+1</f>
        <v>12</v>
      </c>
      <c r="E51" s="436" t="s">
        <v>429</v>
      </c>
      <c r="F51" s="398"/>
      <c r="G51" s="155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384"/>
    </row>
    <row r="52" spans="1:9" ht="11.25" customHeight="1">
      <c r="A52" s="367"/>
      <c r="B52" s="410"/>
      <c r="C52" s="367"/>
    </row>
    <row r="53" spans="1:9" s="4834" customFormat="1" ht="30" customHeight="1">
      <c r="A53" s="1551"/>
      <c r="B53" s="411"/>
      <c r="C53" s="5330"/>
      <c r="D53" s="533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5333"/>
      <c r="F53" s="5333"/>
      <c r="G53" s="5333"/>
      <c r="H53" s="366"/>
      <c r="I53" s="366"/>
    </row>
    <row r="54" spans="1:9" s="4834" customFormat="1" ht="39.75" customHeight="1">
      <c r="A54" s="367"/>
      <c r="B54" s="410"/>
      <c r="C54" s="5330"/>
      <c r="D54" s="5333"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5333"/>
      <c r="F54" s="5333"/>
      <c r="G54" s="5333"/>
    </row>
    <row r="55" spans="1:9" ht="11.25" customHeight="1">
      <c r="D55" s="368"/>
      <c r="E55" s="369"/>
      <c r="F55" s="369"/>
      <c r="G55" s="369"/>
    </row>
    <row r="56" spans="1:9" ht="27" customHeight="1">
      <c r="D56" s="370"/>
      <c r="E56" s="368"/>
      <c r="F56" s="379"/>
      <c r="G56" s="379"/>
    </row>
    <row r="57" spans="1:9" ht="11.25" customHeight="1">
      <c r="D57" s="368"/>
      <c r="E57" s="368"/>
      <c r="F57" s="369"/>
      <c r="G57" s="369"/>
    </row>
    <row r="58" spans="1:9" ht="39" customHeight="1">
      <c r="D58" s="371"/>
      <c r="E58" s="380"/>
      <c r="F58" s="380"/>
      <c r="G58" s="380"/>
    </row>
    <row r="59" spans="1:9" ht="27" customHeight="1">
      <c r="D59" s="371"/>
      <c r="E59" s="380"/>
      <c r="F59" s="380"/>
      <c r="G59" s="380"/>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5188" customWidth="1"/>
    <col min="2" max="2" width="8.7109375" style="5188" customWidth="1"/>
    <col min="3" max="3" width="18.140625" style="5188" customWidth="1"/>
    <col min="4" max="4" width="12.5703125" style="5188" customWidth="1"/>
  </cols>
  <sheetData>
    <row r="1" spans="1:5" ht="11.25" customHeight="1">
      <c r="A1" s="652" t="s">
        <v>2244</v>
      </c>
      <c r="B1" s="663" t="s">
        <v>2245</v>
      </c>
      <c r="C1" s="5638" t="s">
        <v>2246</v>
      </c>
      <c r="D1" s="5639"/>
      <c r="E1" s="735" t="s">
        <v>2247</v>
      </c>
    </row>
    <row r="2" spans="1:5" ht="11.25" customHeight="1">
      <c r="A2" s="656"/>
      <c r="B2" s="664" t="s">
        <v>22</v>
      </c>
      <c r="C2" s="652"/>
      <c r="D2" s="663"/>
      <c r="E2" s="735"/>
    </row>
    <row r="3" spans="1:5" ht="11.25" customHeight="1">
      <c r="A3" s="667"/>
      <c r="B3" s="665" t="s">
        <v>29</v>
      </c>
      <c r="C3" s="652"/>
      <c r="D3" s="663"/>
      <c r="E3" s="735"/>
    </row>
    <row r="4" spans="1:5" ht="11.25" customHeight="1">
      <c r="A4" s="668"/>
      <c r="B4" s="665" t="s">
        <v>1663</v>
      </c>
      <c r="C4" s="652"/>
      <c r="D4" s="663"/>
      <c r="E4" s="735"/>
    </row>
    <row r="5" spans="1:5" ht="11.25" customHeight="1">
      <c r="A5" s="680"/>
      <c r="B5" s="665" t="s">
        <v>1657</v>
      </c>
      <c r="C5" s="655" t="s">
        <v>2003</v>
      </c>
      <c r="D5" s="775" t="s">
        <v>2248</v>
      </c>
      <c r="E5" s="735"/>
    </row>
    <row r="6" spans="1:5" s="5186" customFormat="1" ht="11.25" customHeight="1">
      <c r="A6" s="666"/>
      <c r="B6" s="665" t="s">
        <v>1667</v>
      </c>
      <c r="C6" s="652"/>
      <c r="D6" s="663"/>
      <c r="E6" s="735"/>
    </row>
    <row r="7" spans="1:5" ht="11.25" customHeight="1">
      <c r="A7" s="654"/>
      <c r="B7" s="665" t="s">
        <v>1675</v>
      </c>
      <c r="C7" s="652"/>
      <c r="D7" s="663"/>
      <c r="E7" s="735"/>
    </row>
    <row r="8" spans="1:5" ht="11.25" customHeight="1">
      <c r="A8" s="655"/>
      <c r="B8" s="665" t="s">
        <v>1670</v>
      </c>
      <c r="C8" s="652"/>
      <c r="D8" s="663"/>
      <c r="E8" s="73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617"/>
  <sheetViews>
    <sheetView showGridLines="0" workbookViewId="0"/>
  </sheetViews>
  <sheetFormatPr defaultColWidth="9.140625" defaultRowHeight="11.25" customHeight="1"/>
  <cols>
    <col min="1" max="2" width="9.140625" style="5189"/>
    <col min="3" max="3" width="20.7109375" style="5189" customWidth="1"/>
    <col min="4" max="4" width="25.140625" style="5189" customWidth="1"/>
    <col min="5" max="9" width="9.140625" style="5189"/>
  </cols>
  <sheetData>
    <row r="1" spans="1:9" ht="11.25" customHeight="1">
      <c r="A1" s="7" t="s">
        <v>2249</v>
      </c>
      <c r="B1" s="7" t="s">
        <v>2250</v>
      </c>
      <c r="C1" s="7" t="s">
        <v>2251</v>
      </c>
      <c r="D1" s="7" t="s">
        <v>2252</v>
      </c>
      <c r="E1" s="7" t="s">
        <v>2253</v>
      </c>
      <c r="F1" s="7" t="s">
        <v>2254</v>
      </c>
      <c r="G1" s="7" t="s">
        <v>2255</v>
      </c>
      <c r="H1" s="7" t="s">
        <v>2256</v>
      </c>
      <c r="I1" s="7" t="s">
        <v>2257</v>
      </c>
    </row>
    <row r="2" spans="1:9" ht="11.25" customHeight="1">
      <c r="A2" s="3928" t="s">
        <v>2258</v>
      </c>
      <c r="B2" s="3928" t="s">
        <v>14</v>
      </c>
      <c r="C2" s="3928" t="s">
        <v>2259</v>
      </c>
      <c r="D2" s="3928" t="s">
        <v>2260</v>
      </c>
      <c r="E2" s="3928" t="s">
        <v>2261</v>
      </c>
      <c r="F2" s="3928" t="s">
        <v>2262</v>
      </c>
      <c r="G2" s="3928" t="s">
        <v>24</v>
      </c>
      <c r="H2" s="3928" t="s">
        <v>2263</v>
      </c>
      <c r="I2" s="3928" t="s">
        <v>811</v>
      </c>
    </row>
    <row r="3" spans="1:9" ht="11.25" customHeight="1">
      <c r="A3" s="3928" t="s">
        <v>2258</v>
      </c>
      <c r="B3" s="3928" t="s">
        <v>14</v>
      </c>
      <c r="C3" s="3928" t="s">
        <v>2264</v>
      </c>
      <c r="D3" s="3928" t="s">
        <v>2265</v>
      </c>
      <c r="E3" s="3928" t="s">
        <v>2266</v>
      </c>
      <c r="F3" s="3928" t="s">
        <v>2267</v>
      </c>
      <c r="G3" s="3928" t="s">
        <v>24</v>
      </c>
      <c r="H3" s="3928" t="s">
        <v>2263</v>
      </c>
      <c r="I3" s="3928" t="s">
        <v>811</v>
      </c>
    </row>
    <row r="4" spans="1:9" ht="11.25" customHeight="1">
      <c r="A4" s="3928" t="s">
        <v>2258</v>
      </c>
      <c r="B4" s="3928" t="s">
        <v>14</v>
      </c>
      <c r="C4" s="3928" t="s">
        <v>2268</v>
      </c>
      <c r="D4" s="3928" t="s">
        <v>2269</v>
      </c>
      <c r="E4" s="3928" t="s">
        <v>2270</v>
      </c>
      <c r="F4" s="3928" t="s">
        <v>2271</v>
      </c>
      <c r="G4" s="3928" t="s">
        <v>24</v>
      </c>
      <c r="H4" s="3928" t="s">
        <v>2272</v>
      </c>
      <c r="I4" s="3928" t="s">
        <v>811</v>
      </c>
    </row>
    <row r="5" spans="1:9" ht="11.25" customHeight="1">
      <c r="A5" s="3928" t="s">
        <v>2258</v>
      </c>
      <c r="B5" s="3928" t="s">
        <v>14</v>
      </c>
      <c r="C5" s="3928" t="s">
        <v>2273</v>
      </c>
      <c r="D5" s="3928" t="s">
        <v>2274</v>
      </c>
      <c r="E5" s="3928" t="s">
        <v>2275</v>
      </c>
      <c r="F5" s="3928" t="s">
        <v>2276</v>
      </c>
      <c r="G5" s="3928" t="s">
        <v>2277</v>
      </c>
      <c r="H5" s="3928" t="s">
        <v>24</v>
      </c>
      <c r="I5" s="3928" t="s">
        <v>811</v>
      </c>
    </row>
    <row r="6" spans="1:9" ht="11.25" customHeight="1">
      <c r="A6" s="3928" t="s">
        <v>2258</v>
      </c>
      <c r="B6" s="3928" t="s">
        <v>14</v>
      </c>
      <c r="C6" s="3928" t="s">
        <v>2278</v>
      </c>
      <c r="D6" s="3928" t="s">
        <v>2279</v>
      </c>
      <c r="E6" s="3928" t="s">
        <v>2270</v>
      </c>
      <c r="F6" s="3928" t="s">
        <v>2280</v>
      </c>
      <c r="G6" s="3928" t="s">
        <v>24</v>
      </c>
      <c r="H6" s="3928" t="s">
        <v>2272</v>
      </c>
      <c r="I6" s="3928" t="s">
        <v>811</v>
      </c>
    </row>
    <row r="7" spans="1:9" ht="11.25" customHeight="1">
      <c r="A7" s="3928" t="s">
        <v>2258</v>
      </c>
      <c r="B7" s="3928" t="s">
        <v>14</v>
      </c>
      <c r="C7" s="3928" t="s">
        <v>2281</v>
      </c>
      <c r="D7" s="3928" t="s">
        <v>2282</v>
      </c>
      <c r="E7" s="3928" t="s">
        <v>2283</v>
      </c>
      <c r="F7" s="3928" t="s">
        <v>2284</v>
      </c>
      <c r="G7" s="3928" t="s">
        <v>2285</v>
      </c>
      <c r="H7" s="3928" t="s">
        <v>24</v>
      </c>
      <c r="I7" s="3928" t="s">
        <v>811</v>
      </c>
    </row>
    <row r="8" spans="1:9" ht="11.25" customHeight="1">
      <c r="A8" s="3928" t="s">
        <v>2258</v>
      </c>
      <c r="B8" s="3928" t="s">
        <v>14</v>
      </c>
      <c r="C8" s="3928" t="s">
        <v>2286</v>
      </c>
      <c r="D8" s="3928" t="s">
        <v>2287</v>
      </c>
      <c r="E8" s="3928" t="s">
        <v>2288</v>
      </c>
      <c r="F8" s="3928" t="s">
        <v>2289</v>
      </c>
      <c r="G8" s="3928" t="s">
        <v>2290</v>
      </c>
      <c r="H8" s="3928" t="s">
        <v>24</v>
      </c>
      <c r="I8" s="3928" t="s">
        <v>811</v>
      </c>
    </row>
    <row r="9" spans="1:9" ht="11.25" customHeight="1">
      <c r="A9" s="3928" t="s">
        <v>2258</v>
      </c>
      <c r="B9" s="3928" t="s">
        <v>14</v>
      </c>
      <c r="C9" s="3928" t="s">
        <v>2291</v>
      </c>
      <c r="D9" s="3928" t="s">
        <v>2292</v>
      </c>
      <c r="E9" s="3928" t="s">
        <v>2293</v>
      </c>
      <c r="F9" s="3928" t="s">
        <v>2294</v>
      </c>
      <c r="G9" s="3928" t="s">
        <v>2295</v>
      </c>
      <c r="H9" s="3928" t="s">
        <v>24</v>
      </c>
      <c r="I9" s="3928" t="s">
        <v>811</v>
      </c>
    </row>
    <row r="10" spans="1:9" ht="11.25" customHeight="1">
      <c r="A10" s="3928" t="s">
        <v>2258</v>
      </c>
      <c r="B10" s="3928" t="s">
        <v>14</v>
      </c>
      <c r="C10" s="3928" t="s">
        <v>2296</v>
      </c>
      <c r="D10" s="3928" t="s">
        <v>2297</v>
      </c>
      <c r="E10" s="3928" t="s">
        <v>2298</v>
      </c>
      <c r="F10" s="3928" t="s">
        <v>2299</v>
      </c>
      <c r="G10" s="3928" t="s">
        <v>2300</v>
      </c>
      <c r="H10" s="3928" t="s">
        <v>24</v>
      </c>
      <c r="I10" s="3928" t="s">
        <v>811</v>
      </c>
    </row>
    <row r="11" spans="1:9" ht="11.25" customHeight="1">
      <c r="A11" s="3928" t="s">
        <v>2258</v>
      </c>
      <c r="B11" s="3928" t="s">
        <v>14</v>
      </c>
      <c r="C11" s="3928" t="s">
        <v>2301</v>
      </c>
      <c r="D11" s="3928" t="s">
        <v>2302</v>
      </c>
      <c r="E11" s="3928" t="s">
        <v>2303</v>
      </c>
      <c r="F11" s="3928" t="s">
        <v>2304</v>
      </c>
      <c r="G11" s="3928" t="s">
        <v>2305</v>
      </c>
      <c r="H11" s="3928" t="s">
        <v>24</v>
      </c>
      <c r="I11" s="3928" t="s">
        <v>811</v>
      </c>
    </row>
    <row r="12" spans="1:9" ht="11.25" customHeight="1">
      <c r="A12" s="3928" t="s">
        <v>2258</v>
      </c>
      <c r="B12" s="3928" t="s">
        <v>14</v>
      </c>
      <c r="C12" s="3928" t="s">
        <v>2306</v>
      </c>
      <c r="D12" s="3928" t="s">
        <v>2307</v>
      </c>
      <c r="E12" s="3928" t="s">
        <v>2308</v>
      </c>
      <c r="F12" s="3928" t="s">
        <v>2309</v>
      </c>
      <c r="G12" s="3928" t="s">
        <v>24</v>
      </c>
      <c r="H12" s="3928" t="s">
        <v>24</v>
      </c>
      <c r="I12" s="3928" t="s">
        <v>811</v>
      </c>
    </row>
    <row r="13" spans="1:9" ht="11.25" customHeight="1">
      <c r="A13" s="3928" t="s">
        <v>2258</v>
      </c>
      <c r="B13" s="3928" t="s">
        <v>14</v>
      </c>
      <c r="C13" s="3928" t="s">
        <v>2310</v>
      </c>
      <c r="D13" s="3928" t="s">
        <v>2311</v>
      </c>
      <c r="E13" s="3928" t="s">
        <v>2312</v>
      </c>
      <c r="F13" s="3928" t="s">
        <v>2313</v>
      </c>
      <c r="G13" s="3928" t="s">
        <v>24</v>
      </c>
      <c r="H13" s="3928" t="s">
        <v>2314</v>
      </c>
      <c r="I13" s="3928" t="s">
        <v>811</v>
      </c>
    </row>
    <row r="14" spans="1:9" ht="11.25" customHeight="1">
      <c r="A14" s="3928" t="s">
        <v>2258</v>
      </c>
      <c r="B14" s="3928" t="s">
        <v>14</v>
      </c>
      <c r="C14" s="3928" t="s">
        <v>2315</v>
      </c>
      <c r="D14" s="3928" t="s">
        <v>2316</v>
      </c>
      <c r="E14" s="3928" t="s">
        <v>2317</v>
      </c>
      <c r="F14" s="3928" t="s">
        <v>2289</v>
      </c>
      <c r="G14" s="3928" t="s">
        <v>24</v>
      </c>
      <c r="H14" s="3928" t="s">
        <v>24</v>
      </c>
      <c r="I14" s="3928" t="s">
        <v>811</v>
      </c>
    </row>
    <row r="15" spans="1:9" ht="11.25" customHeight="1">
      <c r="A15" s="3928" t="s">
        <v>2258</v>
      </c>
      <c r="B15" s="3928" t="s">
        <v>14</v>
      </c>
      <c r="C15" s="3928" t="s">
        <v>2318</v>
      </c>
      <c r="D15" s="3928" t="s">
        <v>2319</v>
      </c>
      <c r="E15" s="3928" t="s">
        <v>2320</v>
      </c>
      <c r="F15" s="3928" t="s">
        <v>49</v>
      </c>
      <c r="G15" s="3928" t="s">
        <v>2321</v>
      </c>
      <c r="H15" s="3928" t="s">
        <v>2263</v>
      </c>
      <c r="I15" s="3928" t="s">
        <v>811</v>
      </c>
    </row>
    <row r="16" spans="1:9" ht="11.25" customHeight="1">
      <c r="A16" s="3928" t="s">
        <v>2258</v>
      </c>
      <c r="B16" s="3928" t="s">
        <v>14</v>
      </c>
      <c r="C16" s="3928" t="s">
        <v>2322</v>
      </c>
      <c r="D16" s="3928" t="s">
        <v>2323</v>
      </c>
      <c r="E16" s="3928" t="s">
        <v>2324</v>
      </c>
      <c r="F16" s="3928" t="s">
        <v>2325</v>
      </c>
      <c r="G16" s="3928" t="s">
        <v>2326</v>
      </c>
      <c r="H16" s="3928" t="s">
        <v>2327</v>
      </c>
      <c r="I16" s="3928" t="s">
        <v>811</v>
      </c>
    </row>
    <row r="17" spans="1:9" ht="11.25" customHeight="1">
      <c r="A17" s="3928" t="s">
        <v>2258</v>
      </c>
      <c r="B17" s="3928" t="s">
        <v>14</v>
      </c>
      <c r="C17" s="3928" t="s">
        <v>2328</v>
      </c>
      <c r="D17" s="3928" t="s">
        <v>2329</v>
      </c>
      <c r="E17" s="3928" t="s">
        <v>2330</v>
      </c>
      <c r="F17" s="3928" t="s">
        <v>2304</v>
      </c>
      <c r="G17" s="3928" t="s">
        <v>2331</v>
      </c>
      <c r="H17" s="3928" t="s">
        <v>24</v>
      </c>
      <c r="I17" s="3928" t="s">
        <v>811</v>
      </c>
    </row>
    <row r="18" spans="1:9" ht="11.25" customHeight="1">
      <c r="A18" s="3928" t="s">
        <v>2258</v>
      </c>
      <c r="B18" s="3928" t="s">
        <v>14</v>
      </c>
      <c r="C18" s="3928" t="s">
        <v>2332</v>
      </c>
      <c r="D18" s="3928" t="s">
        <v>2333</v>
      </c>
      <c r="E18" s="3928" t="s">
        <v>2334</v>
      </c>
      <c r="F18" s="3928" t="s">
        <v>2294</v>
      </c>
      <c r="G18" s="3928" t="s">
        <v>2335</v>
      </c>
      <c r="H18" s="3928" t="s">
        <v>24</v>
      </c>
      <c r="I18" s="3928" t="s">
        <v>811</v>
      </c>
    </row>
    <row r="19" spans="1:9" ht="11.25" customHeight="1">
      <c r="A19" s="3928" t="s">
        <v>2258</v>
      </c>
      <c r="B19" s="3928" t="s">
        <v>14</v>
      </c>
      <c r="C19" s="3928" t="s">
        <v>2336</v>
      </c>
      <c r="D19" s="3928" t="s">
        <v>2337</v>
      </c>
      <c r="E19" s="3928" t="s">
        <v>2338</v>
      </c>
      <c r="F19" s="3928" t="s">
        <v>2339</v>
      </c>
      <c r="G19" s="3928" t="s">
        <v>2340</v>
      </c>
      <c r="H19" s="3928" t="s">
        <v>24</v>
      </c>
      <c r="I19" s="3928" t="s">
        <v>811</v>
      </c>
    </row>
    <row r="20" spans="1:9" ht="11.25" customHeight="1">
      <c r="A20" s="3928" t="s">
        <v>2258</v>
      </c>
      <c r="B20" s="3928" t="s">
        <v>14</v>
      </c>
      <c r="C20" s="3928" t="s">
        <v>2341</v>
      </c>
      <c r="D20" s="3928" t="s">
        <v>2342</v>
      </c>
      <c r="E20" s="3928" t="s">
        <v>2343</v>
      </c>
      <c r="F20" s="3928" t="s">
        <v>2344</v>
      </c>
      <c r="G20" s="3928" t="s">
        <v>2345</v>
      </c>
      <c r="H20" s="3928" t="s">
        <v>24</v>
      </c>
      <c r="I20" s="3928" t="s">
        <v>811</v>
      </c>
    </row>
    <row r="21" spans="1:9" ht="11.25" customHeight="1">
      <c r="A21" s="3928" t="s">
        <v>2258</v>
      </c>
      <c r="B21" s="3928" t="s">
        <v>14</v>
      </c>
      <c r="C21" s="3928" t="s">
        <v>2346</v>
      </c>
      <c r="D21" s="3928" t="s">
        <v>2347</v>
      </c>
      <c r="E21" s="3928" t="s">
        <v>2348</v>
      </c>
      <c r="F21" s="3928" t="s">
        <v>2349</v>
      </c>
      <c r="G21" s="3928" t="s">
        <v>2350</v>
      </c>
      <c r="H21" s="3928" t="s">
        <v>24</v>
      </c>
      <c r="I21" s="3928" t="s">
        <v>811</v>
      </c>
    </row>
    <row r="22" spans="1:9" ht="11.25" customHeight="1">
      <c r="A22" s="3928" t="s">
        <v>2258</v>
      </c>
      <c r="B22" s="3928" t="s">
        <v>14</v>
      </c>
      <c r="C22" s="3928" t="s">
        <v>2351</v>
      </c>
      <c r="D22" s="3928" t="s">
        <v>2352</v>
      </c>
      <c r="E22" s="3928" t="s">
        <v>2353</v>
      </c>
      <c r="F22" s="3928" t="s">
        <v>2354</v>
      </c>
      <c r="G22" s="3928" t="s">
        <v>2355</v>
      </c>
      <c r="H22" s="3928" t="s">
        <v>24</v>
      </c>
      <c r="I22" s="3928" t="s">
        <v>811</v>
      </c>
    </row>
    <row r="23" spans="1:9" ht="11.25" customHeight="1">
      <c r="A23" s="3928" t="s">
        <v>2258</v>
      </c>
      <c r="B23" s="3928" t="s">
        <v>14</v>
      </c>
      <c r="C23" s="3928" t="s">
        <v>2356</v>
      </c>
      <c r="D23" s="3928" t="s">
        <v>2357</v>
      </c>
      <c r="E23" s="3928" t="s">
        <v>2358</v>
      </c>
      <c r="F23" s="3928" t="s">
        <v>2359</v>
      </c>
      <c r="G23" s="3928" t="s">
        <v>2360</v>
      </c>
      <c r="H23" s="3928" t="s">
        <v>24</v>
      </c>
      <c r="I23" s="3928" t="s">
        <v>811</v>
      </c>
    </row>
    <row r="24" spans="1:9" ht="11.25" customHeight="1">
      <c r="A24" s="3928" t="s">
        <v>2258</v>
      </c>
      <c r="B24" s="3928" t="s">
        <v>14</v>
      </c>
      <c r="C24" s="3928" t="s">
        <v>2361</v>
      </c>
      <c r="D24" s="3928" t="s">
        <v>2362</v>
      </c>
      <c r="E24" s="3928" t="s">
        <v>2363</v>
      </c>
      <c r="F24" s="3928" t="s">
        <v>2294</v>
      </c>
      <c r="G24" s="3928" t="s">
        <v>2364</v>
      </c>
      <c r="H24" s="3928" t="s">
        <v>24</v>
      </c>
      <c r="I24" s="3928" t="s">
        <v>811</v>
      </c>
    </row>
    <row r="25" spans="1:9" ht="11.25" customHeight="1">
      <c r="A25" s="3928" t="s">
        <v>2258</v>
      </c>
      <c r="B25" s="3928" t="s">
        <v>14</v>
      </c>
      <c r="C25" s="3928" t="s">
        <v>2365</v>
      </c>
      <c r="D25" s="3928" t="s">
        <v>2366</v>
      </c>
      <c r="E25" s="3928" t="s">
        <v>2367</v>
      </c>
      <c r="F25" s="3928" t="s">
        <v>2368</v>
      </c>
      <c r="G25" s="3928" t="s">
        <v>24</v>
      </c>
      <c r="H25" s="3928" t="s">
        <v>24</v>
      </c>
      <c r="I25" s="3928" t="s">
        <v>811</v>
      </c>
    </row>
    <row r="26" spans="1:9" ht="11.25" customHeight="1">
      <c r="A26" s="3928" t="s">
        <v>2258</v>
      </c>
      <c r="B26" s="3928" t="s">
        <v>14</v>
      </c>
      <c r="C26" s="3928" t="s">
        <v>2369</v>
      </c>
      <c r="D26" s="3928" t="s">
        <v>2370</v>
      </c>
      <c r="E26" s="3928" t="s">
        <v>2371</v>
      </c>
      <c r="F26" s="3928" t="s">
        <v>2289</v>
      </c>
      <c r="G26" s="3928" t="s">
        <v>24</v>
      </c>
      <c r="H26" s="3928" t="s">
        <v>24</v>
      </c>
      <c r="I26" s="3928" t="s">
        <v>811</v>
      </c>
    </row>
    <row r="27" spans="1:9" ht="11.25" customHeight="1">
      <c r="A27" s="3928" t="s">
        <v>2258</v>
      </c>
      <c r="B27" s="3928" t="s">
        <v>14</v>
      </c>
      <c r="C27" s="3928" t="s">
        <v>2372</v>
      </c>
      <c r="D27" s="3928" t="s">
        <v>2373</v>
      </c>
      <c r="E27" s="3928" t="s">
        <v>2374</v>
      </c>
      <c r="F27" s="3928" t="s">
        <v>2375</v>
      </c>
      <c r="G27" s="3928" t="s">
        <v>2376</v>
      </c>
      <c r="H27" s="3928" t="s">
        <v>24</v>
      </c>
      <c r="I27" s="3928" t="s">
        <v>811</v>
      </c>
    </row>
    <row r="28" spans="1:9" ht="11.25" customHeight="1">
      <c r="A28" s="3928" t="s">
        <v>2258</v>
      </c>
      <c r="B28" s="3928" t="s">
        <v>14</v>
      </c>
      <c r="C28" s="3928" t="s">
        <v>2377</v>
      </c>
      <c r="D28" s="3928" t="s">
        <v>2378</v>
      </c>
      <c r="E28" s="3928" t="s">
        <v>2379</v>
      </c>
      <c r="F28" s="3928" t="s">
        <v>2359</v>
      </c>
      <c r="G28" s="3928" t="s">
        <v>2380</v>
      </c>
      <c r="H28" s="3928" t="s">
        <v>2381</v>
      </c>
      <c r="I28" s="3928" t="s">
        <v>811</v>
      </c>
    </row>
    <row r="29" spans="1:9" ht="11.25" customHeight="1">
      <c r="A29" s="3928" t="s">
        <v>2258</v>
      </c>
      <c r="B29" s="3928" t="s">
        <v>14</v>
      </c>
      <c r="C29" s="3928" t="s">
        <v>2382</v>
      </c>
      <c r="D29" s="3928" t="s">
        <v>2383</v>
      </c>
      <c r="E29" s="3928" t="s">
        <v>2384</v>
      </c>
      <c r="F29" s="3928" t="s">
        <v>49</v>
      </c>
      <c r="G29" s="3928" t="s">
        <v>2385</v>
      </c>
      <c r="H29" s="3928" t="s">
        <v>24</v>
      </c>
      <c r="I29" s="3928" t="s">
        <v>811</v>
      </c>
    </row>
    <row r="30" spans="1:9" ht="11.25" customHeight="1">
      <c r="A30" s="3928" t="s">
        <v>2258</v>
      </c>
      <c r="B30" s="3928" t="s">
        <v>14</v>
      </c>
      <c r="C30" s="3928" t="s">
        <v>2386</v>
      </c>
      <c r="D30" s="3928" t="s">
        <v>2387</v>
      </c>
      <c r="E30" s="3928" t="s">
        <v>2388</v>
      </c>
      <c r="F30" s="3928" t="s">
        <v>2389</v>
      </c>
      <c r="G30" s="3928" t="s">
        <v>24</v>
      </c>
      <c r="H30" s="3928" t="s">
        <v>24</v>
      </c>
      <c r="I30" s="3928" t="s">
        <v>811</v>
      </c>
    </row>
    <row r="31" spans="1:9" ht="11.25" customHeight="1">
      <c r="A31" s="3928" t="s">
        <v>2258</v>
      </c>
      <c r="B31" s="3928" t="s">
        <v>14</v>
      </c>
      <c r="C31" s="3928" t="s">
        <v>2390</v>
      </c>
      <c r="D31" s="3928" t="s">
        <v>2391</v>
      </c>
      <c r="E31" s="3928" t="s">
        <v>2392</v>
      </c>
      <c r="F31" s="3928" t="s">
        <v>2393</v>
      </c>
      <c r="G31" s="3928" t="s">
        <v>24</v>
      </c>
      <c r="H31" s="3928" t="s">
        <v>24</v>
      </c>
      <c r="I31" s="3928" t="s">
        <v>811</v>
      </c>
    </row>
    <row r="32" spans="1:9" ht="11.25" customHeight="1">
      <c r="A32" s="3928" t="s">
        <v>2258</v>
      </c>
      <c r="B32" s="3928" t="s">
        <v>14</v>
      </c>
      <c r="C32" s="3928" t="s">
        <v>2394</v>
      </c>
      <c r="D32" s="3928" t="s">
        <v>2395</v>
      </c>
      <c r="E32" s="3928" t="s">
        <v>2396</v>
      </c>
      <c r="F32" s="3928" t="s">
        <v>2397</v>
      </c>
      <c r="G32" s="3928" t="s">
        <v>24</v>
      </c>
      <c r="H32" s="3928" t="s">
        <v>24</v>
      </c>
      <c r="I32" s="3928" t="s">
        <v>811</v>
      </c>
    </row>
    <row r="33" spans="1:9" ht="11.25" customHeight="1">
      <c r="A33" s="3928" t="s">
        <v>2258</v>
      </c>
      <c r="B33" s="3928" t="s">
        <v>14</v>
      </c>
      <c r="C33" s="3928" t="s">
        <v>2398</v>
      </c>
      <c r="D33" s="3928" t="s">
        <v>2399</v>
      </c>
      <c r="E33" s="3928" t="s">
        <v>2400</v>
      </c>
      <c r="F33" s="3928" t="s">
        <v>2393</v>
      </c>
      <c r="G33" s="3928" t="s">
        <v>2401</v>
      </c>
      <c r="H33" s="3928" t="s">
        <v>24</v>
      </c>
      <c r="I33" s="3928" t="s">
        <v>811</v>
      </c>
    </row>
    <row r="34" spans="1:9" ht="11.25" customHeight="1">
      <c r="A34" s="3928" t="s">
        <v>2258</v>
      </c>
      <c r="B34" s="3928" t="s">
        <v>14</v>
      </c>
      <c r="C34" s="3928" t="s">
        <v>2402</v>
      </c>
      <c r="D34" s="3928" t="s">
        <v>2403</v>
      </c>
      <c r="E34" s="3928" t="s">
        <v>2404</v>
      </c>
      <c r="F34" s="3928" t="s">
        <v>2405</v>
      </c>
      <c r="G34" s="3928" t="s">
        <v>24</v>
      </c>
      <c r="H34" s="3928" t="s">
        <v>24</v>
      </c>
      <c r="I34" s="3928" t="s">
        <v>811</v>
      </c>
    </row>
    <row r="35" spans="1:9" ht="11.25" customHeight="1">
      <c r="A35" s="3928" t="s">
        <v>2258</v>
      </c>
      <c r="B35" s="3928" t="s">
        <v>14</v>
      </c>
      <c r="C35" s="3928" t="s">
        <v>2406</v>
      </c>
      <c r="D35" s="3928" t="s">
        <v>2407</v>
      </c>
      <c r="E35" s="3928" t="s">
        <v>2408</v>
      </c>
      <c r="F35" s="3928" t="s">
        <v>2409</v>
      </c>
      <c r="G35" s="3928" t="s">
        <v>2410</v>
      </c>
      <c r="H35" s="3928" t="s">
        <v>24</v>
      </c>
      <c r="I35" s="3928" t="s">
        <v>811</v>
      </c>
    </row>
    <row r="36" spans="1:9" ht="11.25" customHeight="1">
      <c r="A36" s="3928" t="s">
        <v>2258</v>
      </c>
      <c r="B36" s="3928" t="s">
        <v>14</v>
      </c>
      <c r="C36" s="3928" t="s">
        <v>2411</v>
      </c>
      <c r="D36" s="3928" t="s">
        <v>2412</v>
      </c>
      <c r="E36" s="3928" t="s">
        <v>2413</v>
      </c>
      <c r="F36" s="3928" t="s">
        <v>2414</v>
      </c>
      <c r="G36" s="3928" t="s">
        <v>2415</v>
      </c>
      <c r="H36" s="3928" t="s">
        <v>24</v>
      </c>
      <c r="I36" s="3928" t="s">
        <v>811</v>
      </c>
    </row>
    <row r="37" spans="1:9" ht="11.25" customHeight="1">
      <c r="A37" s="3928" t="s">
        <v>2258</v>
      </c>
      <c r="B37" s="3928" t="s">
        <v>14</v>
      </c>
      <c r="C37" s="3928" t="s">
        <v>2416</v>
      </c>
      <c r="D37" s="3928" t="s">
        <v>2417</v>
      </c>
      <c r="E37" s="3928" t="s">
        <v>2418</v>
      </c>
      <c r="F37" s="3928" t="s">
        <v>2419</v>
      </c>
      <c r="G37" s="3928" t="s">
        <v>2420</v>
      </c>
      <c r="H37" s="3928" t="s">
        <v>24</v>
      </c>
      <c r="I37" s="3928" t="s">
        <v>811</v>
      </c>
    </row>
    <row r="38" spans="1:9" ht="11.25" customHeight="1">
      <c r="A38" s="3928" t="s">
        <v>2258</v>
      </c>
      <c r="B38" s="3928" t="s">
        <v>14</v>
      </c>
      <c r="C38" s="3928" t="s">
        <v>2421</v>
      </c>
      <c r="D38" s="3928" t="s">
        <v>2422</v>
      </c>
      <c r="E38" s="3928" t="s">
        <v>2423</v>
      </c>
      <c r="F38" s="3928" t="s">
        <v>2424</v>
      </c>
      <c r="G38" s="3928" t="s">
        <v>24</v>
      </c>
      <c r="H38" s="3928" t="s">
        <v>2425</v>
      </c>
      <c r="I38" s="3928" t="s">
        <v>811</v>
      </c>
    </row>
    <row r="39" spans="1:9" ht="11.25" customHeight="1">
      <c r="A39" s="3928" t="s">
        <v>2258</v>
      </c>
      <c r="B39" s="3928" t="s">
        <v>14</v>
      </c>
      <c r="C39" s="3928" t="s">
        <v>2426</v>
      </c>
      <c r="D39" s="3928" t="s">
        <v>2427</v>
      </c>
      <c r="E39" s="3928" t="s">
        <v>2428</v>
      </c>
      <c r="F39" s="3928" t="s">
        <v>2429</v>
      </c>
      <c r="G39" s="3928" t="s">
        <v>2430</v>
      </c>
      <c r="H39" s="3928" t="s">
        <v>24</v>
      </c>
      <c r="I39" s="3928" t="s">
        <v>811</v>
      </c>
    </row>
    <row r="40" spans="1:9" ht="11.25" customHeight="1">
      <c r="A40" s="3928" t="s">
        <v>2258</v>
      </c>
      <c r="B40" s="3928" t="s">
        <v>14</v>
      </c>
      <c r="C40" s="3928" t="s">
        <v>2431</v>
      </c>
      <c r="D40" s="3928" t="s">
        <v>2432</v>
      </c>
      <c r="E40" s="3928" t="s">
        <v>2433</v>
      </c>
      <c r="F40" s="3928" t="s">
        <v>2289</v>
      </c>
      <c r="G40" s="3928" t="s">
        <v>2434</v>
      </c>
      <c r="H40" s="3928" t="s">
        <v>24</v>
      </c>
      <c r="I40" s="3928" t="s">
        <v>811</v>
      </c>
    </row>
    <row r="41" spans="1:9" ht="11.25" customHeight="1">
      <c r="A41" s="3928" t="s">
        <v>2258</v>
      </c>
      <c r="B41" s="3928" t="s">
        <v>14</v>
      </c>
      <c r="C41" s="3928" t="s">
        <v>2435</v>
      </c>
      <c r="D41" s="3928" t="s">
        <v>2436</v>
      </c>
      <c r="E41" s="3928" t="s">
        <v>2437</v>
      </c>
      <c r="F41" s="3928" t="s">
        <v>2438</v>
      </c>
      <c r="G41" s="3928" t="s">
        <v>2439</v>
      </c>
      <c r="H41" s="3928" t="s">
        <v>24</v>
      </c>
      <c r="I41" s="3928" t="s">
        <v>811</v>
      </c>
    </row>
    <row r="42" spans="1:9" ht="11.25" customHeight="1">
      <c r="A42" s="3928" t="s">
        <v>2258</v>
      </c>
      <c r="B42" s="3928" t="s">
        <v>14</v>
      </c>
      <c r="C42" s="3928" t="s">
        <v>2440</v>
      </c>
      <c r="D42" s="3928" t="s">
        <v>2441</v>
      </c>
      <c r="E42" s="3928" t="s">
        <v>2442</v>
      </c>
      <c r="F42" s="3928" t="s">
        <v>2414</v>
      </c>
      <c r="G42" s="3928" t="s">
        <v>2443</v>
      </c>
      <c r="H42" s="3928" t="s">
        <v>24</v>
      </c>
      <c r="I42" s="3928" t="s">
        <v>811</v>
      </c>
    </row>
    <row r="43" spans="1:9" ht="11.25" customHeight="1">
      <c r="A43" s="3928" t="s">
        <v>2258</v>
      </c>
      <c r="B43" s="3928" t="s">
        <v>14</v>
      </c>
      <c r="C43" s="3928" t="s">
        <v>2444</v>
      </c>
      <c r="D43" s="3928" t="s">
        <v>2445</v>
      </c>
      <c r="E43" s="3928" t="s">
        <v>2446</v>
      </c>
      <c r="F43" s="3928" t="s">
        <v>2409</v>
      </c>
      <c r="G43" s="3928" t="s">
        <v>2447</v>
      </c>
      <c r="H43" s="3928" t="s">
        <v>24</v>
      </c>
      <c r="I43" s="3928" t="s">
        <v>811</v>
      </c>
    </row>
    <row r="44" spans="1:9" ht="11.25" customHeight="1">
      <c r="A44" s="3928" t="s">
        <v>2258</v>
      </c>
      <c r="B44" s="3928" t="s">
        <v>14</v>
      </c>
      <c r="C44" s="3928" t="s">
        <v>2448</v>
      </c>
      <c r="D44" s="3928" t="s">
        <v>2449</v>
      </c>
      <c r="E44" s="3928" t="s">
        <v>2450</v>
      </c>
      <c r="F44" s="3928" t="s">
        <v>2451</v>
      </c>
      <c r="G44" s="3928" t="s">
        <v>2452</v>
      </c>
      <c r="H44" s="3928" t="s">
        <v>24</v>
      </c>
      <c r="I44" s="3928" t="s">
        <v>811</v>
      </c>
    </row>
    <row r="45" spans="1:9" ht="11.25" customHeight="1">
      <c r="A45" s="3928" t="s">
        <v>2258</v>
      </c>
      <c r="B45" s="3928" t="s">
        <v>14</v>
      </c>
      <c r="C45" s="3928" t="s">
        <v>2453</v>
      </c>
      <c r="D45" s="3928" t="s">
        <v>2454</v>
      </c>
      <c r="E45" s="3928" t="s">
        <v>2455</v>
      </c>
      <c r="F45" s="3928" t="s">
        <v>2294</v>
      </c>
      <c r="G45" s="3928" t="s">
        <v>2456</v>
      </c>
      <c r="H45" s="3928" t="s">
        <v>24</v>
      </c>
      <c r="I45" s="3928" t="s">
        <v>811</v>
      </c>
    </row>
    <row r="46" spans="1:9" ht="11.25" customHeight="1">
      <c r="A46" s="3928" t="s">
        <v>2258</v>
      </c>
      <c r="B46" s="3928" t="s">
        <v>14</v>
      </c>
      <c r="C46" s="3928" t="s">
        <v>2457</v>
      </c>
      <c r="D46" s="3928" t="s">
        <v>2458</v>
      </c>
      <c r="E46" s="3928" t="s">
        <v>2459</v>
      </c>
      <c r="F46" s="3928" t="s">
        <v>2414</v>
      </c>
      <c r="G46" s="3928" t="s">
        <v>2460</v>
      </c>
      <c r="H46" s="3928" t="s">
        <v>24</v>
      </c>
      <c r="I46" s="3928" t="s">
        <v>811</v>
      </c>
    </row>
    <row r="47" spans="1:9" ht="11.25" customHeight="1">
      <c r="A47" s="3928" t="s">
        <v>2258</v>
      </c>
      <c r="B47" s="3928" t="s">
        <v>14</v>
      </c>
      <c r="C47" s="3928" t="s">
        <v>2461</v>
      </c>
      <c r="D47" s="3928" t="s">
        <v>2462</v>
      </c>
      <c r="E47" s="3928" t="s">
        <v>2463</v>
      </c>
      <c r="F47" s="3928" t="s">
        <v>2464</v>
      </c>
      <c r="G47" s="3928" t="s">
        <v>2465</v>
      </c>
      <c r="H47" s="3928" t="s">
        <v>24</v>
      </c>
      <c r="I47" s="3928" t="s">
        <v>811</v>
      </c>
    </row>
    <row r="48" spans="1:9" ht="11.25" customHeight="1">
      <c r="A48" s="3928" t="s">
        <v>2258</v>
      </c>
      <c r="B48" s="3928" t="s">
        <v>14</v>
      </c>
      <c r="C48" s="3928" t="s">
        <v>2466</v>
      </c>
      <c r="D48" s="3928" t="s">
        <v>2467</v>
      </c>
      <c r="E48" s="3928" t="s">
        <v>2468</v>
      </c>
      <c r="F48" s="3928" t="s">
        <v>2469</v>
      </c>
      <c r="G48" s="3928" t="s">
        <v>24</v>
      </c>
      <c r="H48" s="3928" t="s">
        <v>24</v>
      </c>
      <c r="I48" s="3928" t="s">
        <v>811</v>
      </c>
    </row>
    <row r="49" spans="1:9" ht="11.25" customHeight="1">
      <c r="A49" s="3928" t="s">
        <v>2258</v>
      </c>
      <c r="B49" s="3928" t="s">
        <v>14</v>
      </c>
      <c r="C49" s="3928" t="s">
        <v>2470</v>
      </c>
      <c r="D49" s="3928" t="s">
        <v>2471</v>
      </c>
      <c r="E49" s="3928" t="s">
        <v>2472</v>
      </c>
      <c r="F49" s="3928" t="s">
        <v>2473</v>
      </c>
      <c r="G49" s="3928" t="s">
        <v>2474</v>
      </c>
      <c r="H49" s="3928" t="s">
        <v>2475</v>
      </c>
      <c r="I49" s="3928" t="s">
        <v>811</v>
      </c>
    </row>
    <row r="50" spans="1:9" ht="11.25" customHeight="1">
      <c r="A50" s="3928" t="s">
        <v>2258</v>
      </c>
      <c r="B50" s="3928" t="s">
        <v>14</v>
      </c>
      <c r="C50" s="3928" t="s">
        <v>2476</v>
      </c>
      <c r="D50" s="3928" t="s">
        <v>2477</v>
      </c>
      <c r="E50" s="3928" t="s">
        <v>2478</v>
      </c>
      <c r="F50" s="3928" t="s">
        <v>2479</v>
      </c>
      <c r="G50" s="3928" t="s">
        <v>24</v>
      </c>
      <c r="H50" s="3928" t="s">
        <v>24</v>
      </c>
      <c r="I50" s="3928" t="s">
        <v>811</v>
      </c>
    </row>
    <row r="51" spans="1:9" ht="11.25" customHeight="1">
      <c r="A51" s="3928" t="s">
        <v>2258</v>
      </c>
      <c r="B51" s="3928" t="s">
        <v>14</v>
      </c>
      <c r="C51" s="3928" t="s">
        <v>2480</v>
      </c>
      <c r="D51" s="3928" t="s">
        <v>2481</v>
      </c>
      <c r="E51" s="3928" t="s">
        <v>2482</v>
      </c>
      <c r="F51" s="3928" t="s">
        <v>2294</v>
      </c>
      <c r="G51" s="3928" t="s">
        <v>24</v>
      </c>
      <c r="H51" s="3928" t="s">
        <v>24</v>
      </c>
      <c r="I51" s="3928" t="s">
        <v>811</v>
      </c>
    </row>
    <row r="52" spans="1:9" ht="11.25" customHeight="1">
      <c r="A52" s="3928" t="s">
        <v>2258</v>
      </c>
      <c r="B52" s="3928" t="s">
        <v>14</v>
      </c>
      <c r="C52" s="3928" t="s">
        <v>2483</v>
      </c>
      <c r="D52" s="3928" t="s">
        <v>2484</v>
      </c>
      <c r="E52" s="3928" t="s">
        <v>2485</v>
      </c>
      <c r="F52" s="3928" t="s">
        <v>2486</v>
      </c>
      <c r="G52" s="3928" t="s">
        <v>2487</v>
      </c>
      <c r="H52" s="3928" t="s">
        <v>24</v>
      </c>
      <c r="I52" s="3928" t="s">
        <v>811</v>
      </c>
    </row>
    <row r="53" spans="1:9" ht="11.25" customHeight="1">
      <c r="A53" s="3928" t="s">
        <v>2258</v>
      </c>
      <c r="B53" s="3928" t="s">
        <v>14</v>
      </c>
      <c r="C53" s="3928" t="s">
        <v>2488</v>
      </c>
      <c r="D53" s="3928" t="s">
        <v>2489</v>
      </c>
      <c r="E53" s="3928" t="s">
        <v>2490</v>
      </c>
      <c r="F53" s="3928" t="s">
        <v>2344</v>
      </c>
      <c r="G53" s="3928" t="s">
        <v>2491</v>
      </c>
      <c r="H53" s="3928" t="s">
        <v>24</v>
      </c>
      <c r="I53" s="3928" t="s">
        <v>811</v>
      </c>
    </row>
    <row r="54" spans="1:9" ht="11.25" customHeight="1">
      <c r="A54" s="3928" t="s">
        <v>2258</v>
      </c>
      <c r="B54" s="3928" t="s">
        <v>14</v>
      </c>
      <c r="C54" s="3928" t="s">
        <v>2492</v>
      </c>
      <c r="D54" s="3928" t="s">
        <v>2493</v>
      </c>
      <c r="E54" s="3928" t="s">
        <v>2494</v>
      </c>
      <c r="F54" s="3928" t="s">
        <v>2304</v>
      </c>
      <c r="G54" s="3928" t="s">
        <v>2495</v>
      </c>
      <c r="H54" s="3928" t="s">
        <v>24</v>
      </c>
      <c r="I54" s="3928" t="s">
        <v>811</v>
      </c>
    </row>
    <row r="55" spans="1:9" ht="11.25" customHeight="1">
      <c r="A55" s="3928" t="s">
        <v>2258</v>
      </c>
      <c r="B55" s="3928" t="s">
        <v>14</v>
      </c>
      <c r="C55" s="3928" t="s">
        <v>2496</v>
      </c>
      <c r="D55" s="3928" t="s">
        <v>2497</v>
      </c>
      <c r="E55" s="3928" t="s">
        <v>2498</v>
      </c>
      <c r="F55" s="3928" t="s">
        <v>49</v>
      </c>
      <c r="G55" s="3928" t="s">
        <v>24</v>
      </c>
      <c r="H55" s="3928" t="s">
        <v>24</v>
      </c>
      <c r="I55" s="3928" t="s">
        <v>811</v>
      </c>
    </row>
    <row r="56" spans="1:9" ht="11.25" customHeight="1">
      <c r="A56" s="3928" t="s">
        <v>2258</v>
      </c>
      <c r="B56" s="3928" t="s">
        <v>14</v>
      </c>
      <c r="C56" s="3928" t="s">
        <v>2499</v>
      </c>
      <c r="D56" s="3928" t="s">
        <v>2500</v>
      </c>
      <c r="E56" s="3928" t="s">
        <v>2501</v>
      </c>
      <c r="F56" s="3928" t="s">
        <v>2473</v>
      </c>
      <c r="G56" s="3928" t="s">
        <v>2502</v>
      </c>
      <c r="H56" s="3928" t="s">
        <v>24</v>
      </c>
      <c r="I56" s="3928" t="s">
        <v>811</v>
      </c>
    </row>
    <row r="57" spans="1:9" ht="11.25" customHeight="1">
      <c r="A57" s="3928" t="s">
        <v>2258</v>
      </c>
      <c r="B57" s="3928" t="s">
        <v>14</v>
      </c>
      <c r="C57" s="3928" t="s">
        <v>2503</v>
      </c>
      <c r="D57" s="3928" t="s">
        <v>2504</v>
      </c>
      <c r="E57" s="3928" t="s">
        <v>2505</v>
      </c>
      <c r="F57" s="3928" t="s">
        <v>2469</v>
      </c>
      <c r="G57" s="3928" t="s">
        <v>24</v>
      </c>
      <c r="H57" s="3928" t="s">
        <v>24</v>
      </c>
      <c r="I57" s="3928" t="s">
        <v>811</v>
      </c>
    </row>
    <row r="58" spans="1:9" ht="11.25" customHeight="1">
      <c r="A58" s="3928" t="s">
        <v>2258</v>
      </c>
      <c r="B58" s="3928" t="s">
        <v>14</v>
      </c>
      <c r="C58" s="3928" t="s">
        <v>2506</v>
      </c>
      <c r="D58" s="3928" t="s">
        <v>2507</v>
      </c>
      <c r="E58" s="3928" t="s">
        <v>2508</v>
      </c>
      <c r="F58" s="3928" t="s">
        <v>2344</v>
      </c>
      <c r="G58" s="3928" t="s">
        <v>2509</v>
      </c>
      <c r="H58" s="3928" t="s">
        <v>24</v>
      </c>
      <c r="I58" s="3928" t="s">
        <v>811</v>
      </c>
    </row>
    <row r="59" spans="1:9" ht="11.25" customHeight="1">
      <c r="A59" s="3928" t="s">
        <v>2258</v>
      </c>
      <c r="B59" s="3928" t="s">
        <v>14</v>
      </c>
      <c r="C59" s="3928" t="s">
        <v>2510</v>
      </c>
      <c r="D59" s="3928" t="s">
        <v>2511</v>
      </c>
      <c r="E59" s="3928" t="s">
        <v>2512</v>
      </c>
      <c r="F59" s="3928" t="s">
        <v>2513</v>
      </c>
      <c r="G59" s="3928" t="s">
        <v>2514</v>
      </c>
      <c r="H59" s="3928" t="s">
        <v>24</v>
      </c>
      <c r="I59" s="3928" t="s">
        <v>811</v>
      </c>
    </row>
    <row r="60" spans="1:9" ht="11.25" customHeight="1">
      <c r="A60" s="3928" t="s">
        <v>2258</v>
      </c>
      <c r="B60" s="3928" t="s">
        <v>14</v>
      </c>
      <c r="C60" s="3928" t="s">
        <v>2515</v>
      </c>
      <c r="D60" s="3928" t="s">
        <v>2516</v>
      </c>
      <c r="E60" s="3928" t="s">
        <v>2517</v>
      </c>
      <c r="F60" s="3928" t="s">
        <v>2262</v>
      </c>
      <c r="G60" s="3928" t="s">
        <v>2518</v>
      </c>
      <c r="H60" s="3928" t="s">
        <v>24</v>
      </c>
      <c r="I60" s="3928" t="s">
        <v>811</v>
      </c>
    </row>
    <row r="61" spans="1:9" ht="11.25" customHeight="1">
      <c r="A61" s="3928" t="s">
        <v>2258</v>
      </c>
      <c r="B61" s="3928" t="s">
        <v>14</v>
      </c>
      <c r="C61" s="3928" t="s">
        <v>2519</v>
      </c>
      <c r="D61" s="3928" t="s">
        <v>2520</v>
      </c>
      <c r="E61" s="3928" t="s">
        <v>2521</v>
      </c>
      <c r="F61" s="3928" t="s">
        <v>2522</v>
      </c>
      <c r="G61" s="3928" t="s">
        <v>2523</v>
      </c>
      <c r="H61" s="3928" t="s">
        <v>24</v>
      </c>
      <c r="I61" s="3928" t="s">
        <v>811</v>
      </c>
    </row>
    <row r="62" spans="1:9" ht="11.25" customHeight="1">
      <c r="A62" s="3928" t="s">
        <v>2258</v>
      </c>
      <c r="B62" s="3928" t="s">
        <v>14</v>
      </c>
      <c r="C62" s="3928" t="s">
        <v>2524</v>
      </c>
      <c r="D62" s="3928" t="s">
        <v>2525</v>
      </c>
      <c r="E62" s="3928" t="s">
        <v>2526</v>
      </c>
      <c r="F62" s="3928" t="s">
        <v>2527</v>
      </c>
      <c r="G62" s="3928" t="s">
        <v>24</v>
      </c>
      <c r="H62" s="3928" t="s">
        <v>24</v>
      </c>
      <c r="I62" s="3928" t="s">
        <v>811</v>
      </c>
    </row>
    <row r="63" spans="1:9" ht="11.25" customHeight="1">
      <c r="A63" s="3928" t="s">
        <v>2258</v>
      </c>
      <c r="B63" s="3928" t="s">
        <v>14</v>
      </c>
      <c r="C63" s="3928" t="s">
        <v>2528</v>
      </c>
      <c r="D63" s="3928" t="s">
        <v>2529</v>
      </c>
      <c r="E63" s="3928" t="s">
        <v>2530</v>
      </c>
      <c r="F63" s="3928" t="s">
        <v>2473</v>
      </c>
      <c r="G63" s="3928" t="s">
        <v>2531</v>
      </c>
      <c r="H63" s="3928" t="s">
        <v>24</v>
      </c>
      <c r="I63" s="3928" t="s">
        <v>811</v>
      </c>
    </row>
    <row r="64" spans="1:9" ht="11.25" customHeight="1">
      <c r="A64" s="3928" t="s">
        <v>2258</v>
      </c>
      <c r="B64" s="3928" t="s">
        <v>14</v>
      </c>
      <c r="C64" s="3928" t="s">
        <v>2532</v>
      </c>
      <c r="D64" s="3928" t="s">
        <v>2533</v>
      </c>
      <c r="E64" s="3928" t="s">
        <v>2534</v>
      </c>
      <c r="F64" s="3928" t="s">
        <v>2535</v>
      </c>
      <c r="G64" s="3928" t="s">
        <v>2536</v>
      </c>
      <c r="H64" s="3928" t="s">
        <v>24</v>
      </c>
      <c r="I64" s="3928" t="s">
        <v>811</v>
      </c>
    </row>
    <row r="65" spans="1:9" ht="11.25" customHeight="1">
      <c r="A65" s="3928" t="s">
        <v>2258</v>
      </c>
      <c r="B65" s="3928" t="s">
        <v>14</v>
      </c>
      <c r="C65" s="3928" t="s">
        <v>2537</v>
      </c>
      <c r="D65" s="3928" t="s">
        <v>2538</v>
      </c>
      <c r="E65" s="3928" t="s">
        <v>2539</v>
      </c>
      <c r="F65" s="3928" t="s">
        <v>2513</v>
      </c>
      <c r="G65" s="3928" t="s">
        <v>2540</v>
      </c>
      <c r="H65" s="3928" t="s">
        <v>24</v>
      </c>
      <c r="I65" s="3928" t="s">
        <v>811</v>
      </c>
    </row>
    <row r="66" spans="1:9" ht="11.25" customHeight="1">
      <c r="A66" s="3928" t="s">
        <v>2258</v>
      </c>
      <c r="B66" s="3928" t="s">
        <v>14</v>
      </c>
      <c r="C66" s="3928" t="s">
        <v>2541</v>
      </c>
      <c r="D66" s="3928" t="s">
        <v>2542</v>
      </c>
      <c r="E66" s="3928" t="s">
        <v>2543</v>
      </c>
      <c r="F66" s="3928" t="s">
        <v>2544</v>
      </c>
      <c r="G66" s="3928" t="s">
        <v>24</v>
      </c>
      <c r="H66" s="3928" t="s">
        <v>24</v>
      </c>
      <c r="I66" s="3928" t="s">
        <v>811</v>
      </c>
    </row>
    <row r="67" spans="1:9" ht="11.25" customHeight="1">
      <c r="A67" s="3928" t="s">
        <v>2258</v>
      </c>
      <c r="B67" s="3928" t="s">
        <v>14</v>
      </c>
      <c r="C67" s="3928" t="s">
        <v>2545</v>
      </c>
      <c r="D67" s="3928" t="s">
        <v>2546</v>
      </c>
      <c r="E67" s="3928" t="s">
        <v>2547</v>
      </c>
      <c r="F67" s="3928" t="s">
        <v>2548</v>
      </c>
      <c r="G67" s="3928" t="s">
        <v>24</v>
      </c>
      <c r="H67" s="3928" t="s">
        <v>24</v>
      </c>
      <c r="I67" s="3928" t="s">
        <v>811</v>
      </c>
    </row>
    <row r="68" spans="1:9" ht="11.25" customHeight="1">
      <c r="A68" s="3928" t="s">
        <v>2258</v>
      </c>
      <c r="B68" s="3928" t="s">
        <v>14</v>
      </c>
      <c r="C68" s="3928" t="s">
        <v>2549</v>
      </c>
      <c r="D68" s="3928" t="s">
        <v>2550</v>
      </c>
      <c r="E68" s="3928" t="s">
        <v>2551</v>
      </c>
      <c r="F68" s="3928" t="s">
        <v>2552</v>
      </c>
      <c r="G68" s="3928" t="s">
        <v>2553</v>
      </c>
      <c r="H68" s="3928" t="s">
        <v>24</v>
      </c>
      <c r="I68" s="3928" t="s">
        <v>811</v>
      </c>
    </row>
    <row r="69" spans="1:9" ht="11.25" customHeight="1">
      <c r="A69" s="3928" t="s">
        <v>2258</v>
      </c>
      <c r="B69" s="3928" t="s">
        <v>14</v>
      </c>
      <c r="C69" s="3928" t="s">
        <v>2554</v>
      </c>
      <c r="D69" s="3928" t="s">
        <v>2555</v>
      </c>
      <c r="E69" s="3928" t="s">
        <v>2556</v>
      </c>
      <c r="F69" s="3928" t="s">
        <v>2309</v>
      </c>
      <c r="G69" s="3928" t="s">
        <v>2557</v>
      </c>
      <c r="H69" s="3928" t="s">
        <v>24</v>
      </c>
      <c r="I69" s="3928" t="s">
        <v>811</v>
      </c>
    </row>
    <row r="70" spans="1:9" ht="11.25" customHeight="1">
      <c r="A70" s="3928" t="s">
        <v>2258</v>
      </c>
      <c r="B70" s="3928" t="s">
        <v>14</v>
      </c>
      <c r="C70" s="3928" t="s">
        <v>2558</v>
      </c>
      <c r="D70" s="3928" t="s">
        <v>2559</v>
      </c>
      <c r="E70" s="3928" t="s">
        <v>2560</v>
      </c>
      <c r="F70" s="3928" t="s">
        <v>2262</v>
      </c>
      <c r="G70" s="3928" t="s">
        <v>2561</v>
      </c>
      <c r="H70" s="3928" t="s">
        <v>24</v>
      </c>
      <c r="I70" s="3928" t="s">
        <v>811</v>
      </c>
    </row>
    <row r="71" spans="1:9" ht="11.25" customHeight="1">
      <c r="A71" s="3928" t="s">
        <v>2258</v>
      </c>
      <c r="B71" s="3928" t="s">
        <v>14</v>
      </c>
      <c r="C71" s="3928" t="s">
        <v>2562</v>
      </c>
      <c r="D71" s="3928" t="s">
        <v>2563</v>
      </c>
      <c r="E71" s="3928" t="s">
        <v>2275</v>
      </c>
      <c r="F71" s="3928" t="s">
        <v>2344</v>
      </c>
      <c r="G71" s="3928" t="s">
        <v>2277</v>
      </c>
      <c r="H71" s="3928" t="s">
        <v>24</v>
      </c>
      <c r="I71" s="3928" t="s">
        <v>811</v>
      </c>
    </row>
    <row r="72" spans="1:9" ht="11.25" customHeight="1">
      <c r="A72" s="3928" t="s">
        <v>2258</v>
      </c>
      <c r="B72" s="3928" t="s">
        <v>14</v>
      </c>
      <c r="C72" s="3928" t="s">
        <v>2564</v>
      </c>
      <c r="D72" s="3928" t="s">
        <v>2565</v>
      </c>
      <c r="E72" s="3928" t="s">
        <v>2566</v>
      </c>
      <c r="F72" s="3928" t="s">
        <v>2567</v>
      </c>
      <c r="G72" s="3928" t="s">
        <v>2568</v>
      </c>
      <c r="H72" s="3928" t="s">
        <v>24</v>
      </c>
      <c r="I72" s="3928" t="s">
        <v>811</v>
      </c>
    </row>
    <row r="73" spans="1:9" ht="11.25" customHeight="1">
      <c r="A73" s="3928" t="s">
        <v>2258</v>
      </c>
      <c r="B73" s="3928" t="s">
        <v>14</v>
      </c>
      <c r="C73" s="3928" t="s">
        <v>2569</v>
      </c>
      <c r="D73" s="3928" t="s">
        <v>2570</v>
      </c>
      <c r="E73" s="3928" t="s">
        <v>2571</v>
      </c>
      <c r="F73" s="3928" t="s">
        <v>2513</v>
      </c>
      <c r="G73" s="3928" t="s">
        <v>2572</v>
      </c>
      <c r="H73" s="3928" t="s">
        <v>24</v>
      </c>
      <c r="I73" s="3928" t="s">
        <v>811</v>
      </c>
    </row>
    <row r="74" spans="1:9" ht="11.25" customHeight="1">
      <c r="A74" s="3928" t="s">
        <v>2258</v>
      </c>
      <c r="B74" s="3928" t="s">
        <v>14</v>
      </c>
      <c r="C74" s="3928" t="s">
        <v>2573</v>
      </c>
      <c r="D74" s="3928" t="s">
        <v>2574</v>
      </c>
      <c r="E74" s="3928" t="s">
        <v>2575</v>
      </c>
      <c r="F74" s="3928" t="s">
        <v>2294</v>
      </c>
      <c r="G74" s="3928" t="s">
        <v>2576</v>
      </c>
      <c r="H74" s="3928" t="s">
        <v>24</v>
      </c>
      <c r="I74" s="3928" t="s">
        <v>811</v>
      </c>
    </row>
    <row r="75" spans="1:9" ht="11.25" customHeight="1">
      <c r="A75" s="3928" t="s">
        <v>2258</v>
      </c>
      <c r="B75" s="3928" t="s">
        <v>14</v>
      </c>
      <c r="C75" s="3928" t="s">
        <v>2577</v>
      </c>
      <c r="D75" s="3928" t="s">
        <v>2578</v>
      </c>
      <c r="E75" s="3928" t="s">
        <v>2579</v>
      </c>
      <c r="F75" s="3928" t="s">
        <v>2513</v>
      </c>
      <c r="G75" s="3928" t="s">
        <v>2580</v>
      </c>
      <c r="H75" s="3928" t="s">
        <v>24</v>
      </c>
      <c r="I75" s="3928" t="s">
        <v>811</v>
      </c>
    </row>
    <row r="76" spans="1:9" ht="11.25" customHeight="1">
      <c r="A76" s="3928" t="s">
        <v>2258</v>
      </c>
      <c r="B76" s="3928" t="s">
        <v>14</v>
      </c>
      <c r="C76" s="3928" t="s">
        <v>2581</v>
      </c>
      <c r="D76" s="3928" t="s">
        <v>2582</v>
      </c>
      <c r="E76" s="3928" t="s">
        <v>2583</v>
      </c>
      <c r="F76" s="3928" t="s">
        <v>2414</v>
      </c>
      <c r="G76" s="3928" t="s">
        <v>24</v>
      </c>
      <c r="H76" s="3928" t="s">
        <v>24</v>
      </c>
      <c r="I76" s="3928" t="s">
        <v>811</v>
      </c>
    </row>
    <row r="77" spans="1:9" ht="11.25" customHeight="1">
      <c r="A77" s="3928" t="s">
        <v>2258</v>
      </c>
      <c r="B77" s="3928" t="s">
        <v>14</v>
      </c>
      <c r="C77" s="3928" t="s">
        <v>2584</v>
      </c>
      <c r="D77" s="3928" t="s">
        <v>2585</v>
      </c>
      <c r="E77" s="3928" t="s">
        <v>2586</v>
      </c>
      <c r="F77" s="3928" t="s">
        <v>2587</v>
      </c>
      <c r="G77" s="3928" t="s">
        <v>2588</v>
      </c>
      <c r="H77" s="3928" t="s">
        <v>24</v>
      </c>
      <c r="I77" s="3928" t="s">
        <v>811</v>
      </c>
    </row>
    <row r="78" spans="1:9" ht="11.25" customHeight="1">
      <c r="A78" s="3928" t="s">
        <v>2258</v>
      </c>
      <c r="B78" s="3928" t="s">
        <v>14</v>
      </c>
      <c r="C78" s="3928" t="s">
        <v>2589</v>
      </c>
      <c r="D78" s="3928" t="s">
        <v>2590</v>
      </c>
      <c r="E78" s="3928" t="s">
        <v>2591</v>
      </c>
      <c r="F78" s="3928" t="s">
        <v>2486</v>
      </c>
      <c r="G78" s="3928" t="s">
        <v>2592</v>
      </c>
      <c r="H78" s="3928" t="s">
        <v>24</v>
      </c>
      <c r="I78" s="3928" t="s">
        <v>811</v>
      </c>
    </row>
    <row r="79" spans="1:9" ht="11.25" customHeight="1">
      <c r="A79" s="3928" t="s">
        <v>2258</v>
      </c>
      <c r="B79" s="3928" t="s">
        <v>14</v>
      </c>
      <c r="C79" s="3928" t="s">
        <v>2593</v>
      </c>
      <c r="D79" s="3928" t="s">
        <v>2594</v>
      </c>
      <c r="E79" s="3928" t="s">
        <v>2595</v>
      </c>
      <c r="F79" s="3928" t="s">
        <v>2344</v>
      </c>
      <c r="G79" s="3928" t="s">
        <v>2596</v>
      </c>
      <c r="H79" s="3928" t="s">
        <v>24</v>
      </c>
      <c r="I79" s="3928" t="s">
        <v>811</v>
      </c>
    </row>
    <row r="80" spans="1:9" ht="11.25" customHeight="1">
      <c r="A80" s="3928" t="s">
        <v>2258</v>
      </c>
      <c r="B80" s="3928" t="s">
        <v>14</v>
      </c>
      <c r="C80" s="3928" t="s">
        <v>2597</v>
      </c>
      <c r="D80" s="3928" t="s">
        <v>2598</v>
      </c>
      <c r="E80" s="3928" t="s">
        <v>2599</v>
      </c>
      <c r="F80" s="3928" t="s">
        <v>2552</v>
      </c>
      <c r="G80" s="3928" t="s">
        <v>24</v>
      </c>
      <c r="H80" s="3928" t="s">
        <v>24</v>
      </c>
      <c r="I80" s="3928" t="s">
        <v>811</v>
      </c>
    </row>
    <row r="81" spans="1:9" ht="11.25" customHeight="1">
      <c r="A81" s="3928" t="s">
        <v>2258</v>
      </c>
      <c r="B81" s="3928" t="s">
        <v>14</v>
      </c>
      <c r="C81" s="3928" t="s">
        <v>2600</v>
      </c>
      <c r="D81" s="3928" t="s">
        <v>2601</v>
      </c>
      <c r="E81" s="3928" t="s">
        <v>2602</v>
      </c>
      <c r="F81" s="3928" t="s">
        <v>2513</v>
      </c>
      <c r="G81" s="3928" t="s">
        <v>24</v>
      </c>
      <c r="H81" s="3928" t="s">
        <v>24</v>
      </c>
      <c r="I81" s="3928" t="s">
        <v>811</v>
      </c>
    </row>
    <row r="82" spans="1:9" ht="11.25" customHeight="1">
      <c r="A82" s="3928" t="s">
        <v>2258</v>
      </c>
      <c r="B82" s="3928" t="s">
        <v>14</v>
      </c>
      <c r="C82" s="3928" t="s">
        <v>2603</v>
      </c>
      <c r="D82" s="3928" t="s">
        <v>2604</v>
      </c>
      <c r="E82" s="3928" t="s">
        <v>2605</v>
      </c>
      <c r="F82" s="3928" t="s">
        <v>2294</v>
      </c>
      <c r="G82" s="3928" t="s">
        <v>2606</v>
      </c>
      <c r="H82" s="3928" t="s">
        <v>24</v>
      </c>
      <c r="I82" s="3928" t="s">
        <v>811</v>
      </c>
    </row>
    <row r="83" spans="1:9" ht="11.25" customHeight="1">
      <c r="A83" s="3928" t="s">
        <v>2258</v>
      </c>
      <c r="B83" s="3928" t="s">
        <v>14</v>
      </c>
      <c r="C83" s="3928" t="s">
        <v>2607</v>
      </c>
      <c r="D83" s="3928" t="s">
        <v>2608</v>
      </c>
      <c r="E83" s="3928" t="s">
        <v>2609</v>
      </c>
      <c r="F83" s="3928" t="s">
        <v>2304</v>
      </c>
      <c r="G83" s="3928" t="s">
        <v>24</v>
      </c>
      <c r="H83" s="3928" t="s">
        <v>24</v>
      </c>
      <c r="I83" s="3928" t="s">
        <v>811</v>
      </c>
    </row>
    <row r="84" spans="1:9" ht="11.25" customHeight="1">
      <c r="A84" s="3928" t="s">
        <v>2258</v>
      </c>
      <c r="B84" s="3928" t="s">
        <v>14</v>
      </c>
      <c r="C84" s="3928" t="s">
        <v>2610</v>
      </c>
      <c r="D84" s="3928" t="s">
        <v>2611</v>
      </c>
      <c r="E84" s="3928" t="s">
        <v>2612</v>
      </c>
      <c r="F84" s="3928" t="s">
        <v>2473</v>
      </c>
      <c r="G84" s="3928" t="s">
        <v>2613</v>
      </c>
      <c r="H84" s="3928" t="s">
        <v>24</v>
      </c>
      <c r="I84" s="3928" t="s">
        <v>811</v>
      </c>
    </row>
    <row r="85" spans="1:9" ht="11.25" customHeight="1">
      <c r="A85" s="3928" t="s">
        <v>2258</v>
      </c>
      <c r="B85" s="3928" t="s">
        <v>14</v>
      </c>
      <c r="C85" s="3928" t="s">
        <v>2614</v>
      </c>
      <c r="D85" s="3928" t="s">
        <v>2615</v>
      </c>
      <c r="E85" s="3928" t="s">
        <v>2616</v>
      </c>
      <c r="F85" s="3928" t="s">
        <v>2397</v>
      </c>
      <c r="G85" s="3928" t="s">
        <v>24</v>
      </c>
      <c r="H85" s="3928" t="s">
        <v>24</v>
      </c>
      <c r="I85" s="3928" t="s">
        <v>811</v>
      </c>
    </row>
    <row r="86" spans="1:9" ht="11.25" customHeight="1">
      <c r="A86" s="3928" t="s">
        <v>2258</v>
      </c>
      <c r="B86" s="3928" t="s">
        <v>14</v>
      </c>
      <c r="C86" s="3928" t="s">
        <v>2617</v>
      </c>
      <c r="D86" s="3928" t="s">
        <v>2618</v>
      </c>
      <c r="E86" s="3928" t="s">
        <v>2619</v>
      </c>
      <c r="F86" s="3928" t="s">
        <v>2438</v>
      </c>
      <c r="G86" s="3928" t="s">
        <v>2620</v>
      </c>
      <c r="H86" s="3928" t="s">
        <v>24</v>
      </c>
      <c r="I86" s="3928" t="s">
        <v>811</v>
      </c>
    </row>
    <row r="87" spans="1:9" ht="11.25" customHeight="1">
      <c r="A87" s="3928" t="s">
        <v>2258</v>
      </c>
      <c r="B87" s="3928" t="s">
        <v>14</v>
      </c>
      <c r="C87" s="3928" t="s">
        <v>2621</v>
      </c>
      <c r="D87" s="3928" t="s">
        <v>2622</v>
      </c>
      <c r="E87" s="3928" t="s">
        <v>2623</v>
      </c>
      <c r="F87" s="3928" t="s">
        <v>2624</v>
      </c>
      <c r="G87" s="3928" t="s">
        <v>2625</v>
      </c>
      <c r="H87" s="3928" t="s">
        <v>24</v>
      </c>
      <c r="I87" s="3928" t="s">
        <v>811</v>
      </c>
    </row>
    <row r="88" spans="1:9" ht="11.25" customHeight="1">
      <c r="A88" s="3928" t="s">
        <v>2258</v>
      </c>
      <c r="B88" s="3928" t="s">
        <v>14</v>
      </c>
      <c r="C88" s="3928" t="s">
        <v>2626</v>
      </c>
      <c r="D88" s="3928" t="s">
        <v>2627</v>
      </c>
      <c r="E88" s="3928" t="s">
        <v>2628</v>
      </c>
      <c r="F88" s="3928" t="s">
        <v>2629</v>
      </c>
      <c r="G88" s="3928" t="s">
        <v>2630</v>
      </c>
      <c r="H88" s="3928" t="s">
        <v>24</v>
      </c>
      <c r="I88" s="3928" t="s">
        <v>811</v>
      </c>
    </row>
    <row r="89" spans="1:9" ht="11.25" customHeight="1">
      <c r="A89" s="3928" t="s">
        <v>2258</v>
      </c>
      <c r="B89" s="3928" t="s">
        <v>14</v>
      </c>
      <c r="C89" s="3928" t="s">
        <v>2631</v>
      </c>
      <c r="D89" s="3928" t="s">
        <v>2632</v>
      </c>
      <c r="E89" s="3928" t="s">
        <v>2633</v>
      </c>
      <c r="F89" s="3928" t="s">
        <v>2289</v>
      </c>
      <c r="G89" s="3928" t="s">
        <v>2634</v>
      </c>
      <c r="H89" s="3928" t="s">
        <v>24</v>
      </c>
      <c r="I89" s="3928" t="s">
        <v>811</v>
      </c>
    </row>
    <row r="90" spans="1:9" ht="11.25" customHeight="1">
      <c r="A90" s="3928" t="s">
        <v>2258</v>
      </c>
      <c r="B90" s="3928" t="s">
        <v>14</v>
      </c>
      <c r="C90" s="3928" t="s">
        <v>2635</v>
      </c>
      <c r="D90" s="3928" t="s">
        <v>2636</v>
      </c>
      <c r="E90" s="3928" t="s">
        <v>2637</v>
      </c>
      <c r="F90" s="3928" t="s">
        <v>2638</v>
      </c>
      <c r="G90" s="3928" t="s">
        <v>24</v>
      </c>
      <c r="H90" s="3928" t="s">
        <v>24</v>
      </c>
      <c r="I90" s="3928" t="s">
        <v>811</v>
      </c>
    </row>
    <row r="91" spans="1:9" ht="11.25" customHeight="1">
      <c r="A91" s="3928" t="s">
        <v>2258</v>
      </c>
      <c r="B91" s="3928" t="s">
        <v>14</v>
      </c>
      <c r="C91" s="3928" t="s">
        <v>2639</v>
      </c>
      <c r="D91" s="3928" t="s">
        <v>2640</v>
      </c>
      <c r="E91" s="3928" t="s">
        <v>2641</v>
      </c>
      <c r="F91" s="3928" t="s">
        <v>2642</v>
      </c>
      <c r="G91" s="3928" t="s">
        <v>24</v>
      </c>
      <c r="H91" s="3928" t="s">
        <v>24</v>
      </c>
      <c r="I91" s="3928" t="s">
        <v>811</v>
      </c>
    </row>
    <row r="92" spans="1:9" ht="11.25" customHeight="1">
      <c r="A92" s="3928" t="s">
        <v>2258</v>
      </c>
      <c r="B92" s="3928" t="s">
        <v>14</v>
      </c>
      <c r="C92" s="3928" t="s">
        <v>2643</v>
      </c>
      <c r="D92" s="3928" t="s">
        <v>2644</v>
      </c>
      <c r="E92" s="3928" t="s">
        <v>2645</v>
      </c>
      <c r="F92" s="3928" t="s">
        <v>2289</v>
      </c>
      <c r="G92" s="3928" t="s">
        <v>2646</v>
      </c>
      <c r="H92" s="3928" t="s">
        <v>24</v>
      </c>
      <c r="I92" s="3928" t="s">
        <v>811</v>
      </c>
    </row>
    <row r="93" spans="1:9" ht="11.25" customHeight="1">
      <c r="A93" s="3928" t="s">
        <v>2258</v>
      </c>
      <c r="B93" s="3928" t="s">
        <v>14</v>
      </c>
      <c r="C93" s="3928" t="s">
        <v>2647</v>
      </c>
      <c r="D93" s="3928" t="s">
        <v>2648</v>
      </c>
      <c r="E93" s="3928" t="s">
        <v>2649</v>
      </c>
      <c r="F93" s="3928" t="s">
        <v>2548</v>
      </c>
      <c r="G93" s="3928" t="s">
        <v>2650</v>
      </c>
      <c r="H93" s="3928" t="s">
        <v>24</v>
      </c>
      <c r="I93" s="3928" t="s">
        <v>811</v>
      </c>
    </row>
    <row r="94" spans="1:9" ht="11.25" customHeight="1">
      <c r="A94" s="3928" t="s">
        <v>2258</v>
      </c>
      <c r="B94" s="3928" t="s">
        <v>14</v>
      </c>
      <c r="C94" s="3928" t="s">
        <v>2651</v>
      </c>
      <c r="D94" s="3928" t="s">
        <v>2652</v>
      </c>
      <c r="E94" s="3928" t="s">
        <v>2653</v>
      </c>
      <c r="F94" s="3928" t="s">
        <v>2513</v>
      </c>
      <c r="G94" s="3928" t="s">
        <v>2557</v>
      </c>
      <c r="H94" s="3928" t="s">
        <v>24</v>
      </c>
      <c r="I94" s="3928" t="s">
        <v>811</v>
      </c>
    </row>
    <row r="95" spans="1:9" ht="11.25" customHeight="1">
      <c r="A95" s="3928" t="s">
        <v>2258</v>
      </c>
      <c r="B95" s="3928" t="s">
        <v>14</v>
      </c>
      <c r="C95" s="3928" t="s">
        <v>2654</v>
      </c>
      <c r="D95" s="3928" t="s">
        <v>2655</v>
      </c>
      <c r="E95" s="3928" t="s">
        <v>2656</v>
      </c>
      <c r="F95" s="3928" t="s">
        <v>2304</v>
      </c>
      <c r="G95" s="3928" t="s">
        <v>2657</v>
      </c>
      <c r="H95" s="3928" t="s">
        <v>24</v>
      </c>
      <c r="I95" s="3928" t="s">
        <v>811</v>
      </c>
    </row>
    <row r="96" spans="1:9" ht="11.25" customHeight="1">
      <c r="A96" s="3928" t="s">
        <v>2258</v>
      </c>
      <c r="B96" s="3928" t="s">
        <v>14</v>
      </c>
      <c r="C96" s="3928" t="s">
        <v>2658</v>
      </c>
      <c r="D96" s="3928" t="s">
        <v>2659</v>
      </c>
      <c r="E96" s="3928" t="s">
        <v>2660</v>
      </c>
      <c r="F96" s="3928" t="s">
        <v>2661</v>
      </c>
      <c r="G96" s="3928" t="s">
        <v>24</v>
      </c>
      <c r="H96" s="3928" t="s">
        <v>24</v>
      </c>
      <c r="I96" s="3928" t="s">
        <v>811</v>
      </c>
    </row>
    <row r="97" spans="1:9" ht="11.25" customHeight="1">
      <c r="A97" s="3928" t="s">
        <v>2258</v>
      </c>
      <c r="B97" s="3928" t="s">
        <v>14</v>
      </c>
      <c r="C97" s="3928" t="s">
        <v>2662</v>
      </c>
      <c r="D97" s="3928" t="s">
        <v>2659</v>
      </c>
      <c r="E97" s="3928" t="s">
        <v>2660</v>
      </c>
      <c r="F97" s="3928" t="s">
        <v>2393</v>
      </c>
      <c r="G97" s="3928" t="s">
        <v>24</v>
      </c>
      <c r="H97" s="3928" t="s">
        <v>24</v>
      </c>
      <c r="I97" s="3928" t="s">
        <v>811</v>
      </c>
    </row>
    <row r="98" spans="1:9" ht="11.25" customHeight="1">
      <c r="A98" s="3928" t="s">
        <v>2258</v>
      </c>
      <c r="B98" s="3928" t="s">
        <v>14</v>
      </c>
      <c r="C98" s="3928" t="s">
        <v>2663</v>
      </c>
      <c r="D98" s="3928" t="s">
        <v>2664</v>
      </c>
      <c r="E98" s="3928" t="s">
        <v>2665</v>
      </c>
      <c r="F98" s="3928" t="s">
        <v>2638</v>
      </c>
      <c r="G98" s="3928" t="s">
        <v>2666</v>
      </c>
      <c r="H98" s="3928" t="s">
        <v>24</v>
      </c>
      <c r="I98" s="3928" t="s">
        <v>811</v>
      </c>
    </row>
    <row r="99" spans="1:9" ht="11.25" customHeight="1">
      <c r="A99" s="3928" t="s">
        <v>2258</v>
      </c>
      <c r="B99" s="3928" t="s">
        <v>14</v>
      </c>
      <c r="C99" s="3928" t="s">
        <v>2667</v>
      </c>
      <c r="D99" s="3928" t="s">
        <v>2668</v>
      </c>
      <c r="E99" s="3928" t="s">
        <v>2669</v>
      </c>
      <c r="F99" s="3928" t="s">
        <v>2670</v>
      </c>
      <c r="G99" s="3928" t="s">
        <v>2671</v>
      </c>
      <c r="H99" s="3928" t="s">
        <v>24</v>
      </c>
      <c r="I99" s="3928" t="s">
        <v>811</v>
      </c>
    </row>
    <row r="100" spans="1:9" ht="11.25" customHeight="1">
      <c r="A100" s="3928" t="s">
        <v>2258</v>
      </c>
      <c r="B100" s="3928" t="s">
        <v>14</v>
      </c>
      <c r="C100" s="3928" t="s">
        <v>2672</v>
      </c>
      <c r="D100" s="3928" t="s">
        <v>2673</v>
      </c>
      <c r="E100" s="3928" t="s">
        <v>2674</v>
      </c>
      <c r="F100" s="3928" t="s">
        <v>2675</v>
      </c>
      <c r="G100" s="3928" t="s">
        <v>2676</v>
      </c>
      <c r="H100" s="3928" t="s">
        <v>24</v>
      </c>
      <c r="I100" s="3928" t="s">
        <v>811</v>
      </c>
    </row>
    <row r="101" spans="1:9" ht="11.25" customHeight="1">
      <c r="A101" s="3928" t="s">
        <v>2258</v>
      </c>
      <c r="B101" s="3928" t="s">
        <v>14</v>
      </c>
      <c r="C101" s="3928" t="s">
        <v>2677</v>
      </c>
      <c r="D101" s="3928" t="s">
        <v>2678</v>
      </c>
      <c r="E101" s="3928" t="s">
        <v>2679</v>
      </c>
      <c r="F101" s="3928" t="s">
        <v>2414</v>
      </c>
      <c r="G101" s="3928" t="s">
        <v>2680</v>
      </c>
      <c r="H101" s="3928" t="s">
        <v>24</v>
      </c>
      <c r="I101" s="3928" t="s">
        <v>811</v>
      </c>
    </row>
    <row r="102" spans="1:9" ht="11.25" customHeight="1">
      <c r="A102" s="3928" t="s">
        <v>2258</v>
      </c>
      <c r="B102" s="3928" t="s">
        <v>14</v>
      </c>
      <c r="C102" s="3928" t="s">
        <v>2681</v>
      </c>
      <c r="D102" s="3928" t="s">
        <v>2682</v>
      </c>
      <c r="E102" s="3928" t="s">
        <v>2683</v>
      </c>
      <c r="F102" s="3928" t="s">
        <v>2409</v>
      </c>
      <c r="G102" s="3928" t="s">
        <v>2684</v>
      </c>
      <c r="H102" s="3928" t="s">
        <v>24</v>
      </c>
      <c r="I102" s="3928" t="s">
        <v>811</v>
      </c>
    </row>
    <row r="103" spans="1:9" ht="11.25" customHeight="1">
      <c r="A103" s="3928" t="s">
        <v>2258</v>
      </c>
      <c r="B103" s="3928" t="s">
        <v>14</v>
      </c>
      <c r="C103" s="3928" t="s">
        <v>2685</v>
      </c>
      <c r="D103" s="3928" t="s">
        <v>2686</v>
      </c>
      <c r="E103" s="3928" t="s">
        <v>2687</v>
      </c>
      <c r="F103" s="3928" t="s">
        <v>2688</v>
      </c>
      <c r="G103" s="3928" t="s">
        <v>2689</v>
      </c>
      <c r="H103" s="3928" t="s">
        <v>24</v>
      </c>
      <c r="I103" s="3928" t="s">
        <v>811</v>
      </c>
    </row>
    <row r="104" spans="1:9" ht="11.25" customHeight="1">
      <c r="A104" s="3928" t="s">
        <v>2258</v>
      </c>
      <c r="B104" s="3928" t="s">
        <v>14</v>
      </c>
      <c r="C104" s="3928" t="s">
        <v>2690</v>
      </c>
      <c r="D104" s="3928" t="s">
        <v>2691</v>
      </c>
      <c r="E104" s="3928" t="s">
        <v>2692</v>
      </c>
      <c r="F104" s="3928" t="s">
        <v>2409</v>
      </c>
      <c r="G104" s="3928" t="s">
        <v>2693</v>
      </c>
      <c r="H104" s="3928" t="s">
        <v>24</v>
      </c>
      <c r="I104" s="3928" t="s">
        <v>811</v>
      </c>
    </row>
    <row r="105" spans="1:9" ht="11.25" customHeight="1">
      <c r="A105" s="3928" t="s">
        <v>2258</v>
      </c>
      <c r="B105" s="3928" t="s">
        <v>14</v>
      </c>
      <c r="C105" s="3928" t="s">
        <v>2694</v>
      </c>
      <c r="D105" s="3928" t="s">
        <v>2695</v>
      </c>
      <c r="E105" s="3928" t="s">
        <v>2696</v>
      </c>
      <c r="F105" s="3928" t="s">
        <v>2289</v>
      </c>
      <c r="G105" s="3928" t="s">
        <v>2697</v>
      </c>
      <c r="H105" s="3928" t="s">
        <v>24</v>
      </c>
      <c r="I105" s="3928" t="s">
        <v>811</v>
      </c>
    </row>
    <row r="106" spans="1:9" ht="11.25" customHeight="1">
      <c r="A106" s="3928" t="s">
        <v>2258</v>
      </c>
      <c r="B106" s="3928" t="s">
        <v>14</v>
      </c>
      <c r="C106" s="3928" t="s">
        <v>2698</v>
      </c>
      <c r="D106" s="3928" t="s">
        <v>2699</v>
      </c>
      <c r="E106" s="3928" t="s">
        <v>2700</v>
      </c>
      <c r="F106" s="3928" t="s">
        <v>2701</v>
      </c>
      <c r="G106" s="3928" t="s">
        <v>24</v>
      </c>
      <c r="H106" s="3928" t="s">
        <v>24</v>
      </c>
      <c r="I106" s="3928" t="s">
        <v>811</v>
      </c>
    </row>
    <row r="107" spans="1:9" ht="11.25" customHeight="1">
      <c r="A107" s="3928" t="s">
        <v>2258</v>
      </c>
      <c r="B107" s="3928" t="s">
        <v>14</v>
      </c>
      <c r="C107" s="3928" t="s">
        <v>2702</v>
      </c>
      <c r="D107" s="3928" t="s">
        <v>2703</v>
      </c>
      <c r="E107" s="3928" t="s">
        <v>2704</v>
      </c>
      <c r="F107" s="3928" t="s">
        <v>2438</v>
      </c>
      <c r="G107" s="3928" t="s">
        <v>2705</v>
      </c>
      <c r="H107" s="3928" t="s">
        <v>24</v>
      </c>
      <c r="I107" s="3928" t="s">
        <v>811</v>
      </c>
    </row>
    <row r="108" spans="1:9" ht="11.25" customHeight="1">
      <c r="A108" s="3928" t="s">
        <v>2258</v>
      </c>
      <c r="B108" s="3928" t="s">
        <v>14</v>
      </c>
      <c r="C108" s="3928" t="s">
        <v>2706</v>
      </c>
      <c r="D108" s="3928" t="s">
        <v>2707</v>
      </c>
      <c r="E108" s="3928" t="s">
        <v>2708</v>
      </c>
      <c r="F108" s="3928" t="s">
        <v>2567</v>
      </c>
      <c r="G108" s="3928" t="s">
        <v>2709</v>
      </c>
      <c r="H108" s="3928" t="s">
        <v>24</v>
      </c>
      <c r="I108" s="3928" t="s">
        <v>811</v>
      </c>
    </row>
    <row r="109" spans="1:9" ht="11.25" customHeight="1">
      <c r="A109" s="3928" t="s">
        <v>2258</v>
      </c>
      <c r="B109" s="3928" t="s">
        <v>14</v>
      </c>
      <c r="C109" s="3928" t="s">
        <v>2710</v>
      </c>
      <c r="D109" s="3928" t="s">
        <v>2711</v>
      </c>
      <c r="E109" s="3928" t="s">
        <v>2712</v>
      </c>
      <c r="F109" s="3928" t="s">
        <v>2587</v>
      </c>
      <c r="G109" s="3928" t="s">
        <v>2713</v>
      </c>
      <c r="H109" s="3928" t="s">
        <v>2263</v>
      </c>
      <c r="I109" s="3928" t="s">
        <v>811</v>
      </c>
    </row>
    <row r="110" spans="1:9" ht="11.25" customHeight="1">
      <c r="A110" s="3928" t="s">
        <v>2258</v>
      </c>
      <c r="B110" s="3928" t="s">
        <v>14</v>
      </c>
      <c r="C110" s="3928" t="s">
        <v>2714</v>
      </c>
      <c r="D110" s="3928" t="s">
        <v>2715</v>
      </c>
      <c r="E110" s="3928" t="s">
        <v>2716</v>
      </c>
      <c r="F110" s="3928" t="s">
        <v>2294</v>
      </c>
      <c r="G110" s="3928" t="s">
        <v>24</v>
      </c>
      <c r="H110" s="3928" t="s">
        <v>24</v>
      </c>
      <c r="I110" s="3928" t="s">
        <v>811</v>
      </c>
    </row>
    <row r="111" spans="1:9" ht="11.25" customHeight="1">
      <c r="A111" s="3928" t="s">
        <v>2258</v>
      </c>
      <c r="B111" s="3928" t="s">
        <v>14</v>
      </c>
      <c r="C111" s="3928" t="s">
        <v>2717</v>
      </c>
      <c r="D111" s="3928" t="s">
        <v>2718</v>
      </c>
      <c r="E111" s="3928" t="s">
        <v>2719</v>
      </c>
      <c r="F111" s="3928" t="s">
        <v>2587</v>
      </c>
      <c r="G111" s="3928" t="s">
        <v>24</v>
      </c>
      <c r="H111" s="3928" t="s">
        <v>24</v>
      </c>
      <c r="I111" s="3928" t="s">
        <v>811</v>
      </c>
    </row>
    <row r="112" spans="1:9" ht="11.25" customHeight="1">
      <c r="A112" s="3928" t="s">
        <v>2258</v>
      </c>
      <c r="B112" s="3928" t="s">
        <v>14</v>
      </c>
      <c r="C112" s="3928" t="s">
        <v>2720</v>
      </c>
      <c r="D112" s="3928" t="s">
        <v>2718</v>
      </c>
      <c r="E112" s="3928" t="s">
        <v>2721</v>
      </c>
      <c r="F112" s="3928" t="s">
        <v>2397</v>
      </c>
      <c r="G112" s="3928" t="s">
        <v>2722</v>
      </c>
      <c r="H112" s="3928" t="s">
        <v>24</v>
      </c>
      <c r="I112" s="3928" t="s">
        <v>811</v>
      </c>
    </row>
    <row r="113" spans="1:9" ht="11.25" customHeight="1">
      <c r="A113" s="3928" t="s">
        <v>2258</v>
      </c>
      <c r="B113" s="3928" t="s">
        <v>14</v>
      </c>
      <c r="C113" s="3928" t="s">
        <v>2723</v>
      </c>
      <c r="D113" s="3928" t="s">
        <v>2724</v>
      </c>
      <c r="E113" s="3928" t="s">
        <v>2725</v>
      </c>
      <c r="F113" s="3928" t="s">
        <v>2726</v>
      </c>
      <c r="G113" s="3928" t="s">
        <v>24</v>
      </c>
      <c r="H113" s="3928" t="s">
        <v>24</v>
      </c>
      <c r="I113" s="3928" t="s">
        <v>811</v>
      </c>
    </row>
    <row r="114" spans="1:9" ht="11.25" customHeight="1">
      <c r="A114" s="3928" t="s">
        <v>2258</v>
      </c>
      <c r="B114" s="3928" t="s">
        <v>14</v>
      </c>
      <c r="C114" s="3928" t="s">
        <v>2727</v>
      </c>
      <c r="D114" s="3928" t="s">
        <v>2728</v>
      </c>
      <c r="E114" s="3928" t="s">
        <v>2729</v>
      </c>
      <c r="F114" s="3928" t="s">
        <v>2299</v>
      </c>
      <c r="G114" s="3928" t="s">
        <v>2730</v>
      </c>
      <c r="H114" s="3928" t="s">
        <v>24</v>
      </c>
      <c r="I114" s="3928" t="s">
        <v>811</v>
      </c>
    </row>
    <row r="115" spans="1:9" ht="11.25" customHeight="1">
      <c r="A115" s="3928" t="s">
        <v>2258</v>
      </c>
      <c r="B115" s="3928" t="s">
        <v>14</v>
      </c>
      <c r="C115" s="3928" t="s">
        <v>2731</v>
      </c>
      <c r="D115" s="3928" t="s">
        <v>2732</v>
      </c>
      <c r="E115" s="3928" t="s">
        <v>2733</v>
      </c>
      <c r="F115" s="3928" t="s">
        <v>2397</v>
      </c>
      <c r="G115" s="3928" t="s">
        <v>2734</v>
      </c>
      <c r="H115" s="3928" t="s">
        <v>24</v>
      </c>
      <c r="I115" s="3928" t="s">
        <v>811</v>
      </c>
    </row>
    <row r="116" spans="1:9" ht="11.25" customHeight="1">
      <c r="A116" s="3928" t="s">
        <v>2258</v>
      </c>
      <c r="B116" s="3928" t="s">
        <v>14</v>
      </c>
      <c r="C116" s="3928" t="s">
        <v>2735</v>
      </c>
      <c r="D116" s="3928" t="s">
        <v>2736</v>
      </c>
      <c r="E116" s="3928" t="s">
        <v>2737</v>
      </c>
      <c r="F116" s="3928" t="s">
        <v>2675</v>
      </c>
      <c r="G116" s="3928" t="s">
        <v>2738</v>
      </c>
      <c r="H116" s="3928" t="s">
        <v>24</v>
      </c>
      <c r="I116" s="3928" t="s">
        <v>811</v>
      </c>
    </row>
    <row r="117" spans="1:9" ht="11.25" customHeight="1">
      <c r="A117" s="3928" t="s">
        <v>2258</v>
      </c>
      <c r="B117" s="3928" t="s">
        <v>14</v>
      </c>
      <c r="C117" s="3928" t="s">
        <v>2739</v>
      </c>
      <c r="D117" s="3928" t="s">
        <v>2740</v>
      </c>
      <c r="E117" s="3928" t="s">
        <v>2741</v>
      </c>
      <c r="F117" s="3928" t="s">
        <v>2587</v>
      </c>
      <c r="G117" s="3928" t="s">
        <v>2742</v>
      </c>
      <c r="H117" s="3928" t="s">
        <v>24</v>
      </c>
      <c r="I117" s="3928" t="s">
        <v>811</v>
      </c>
    </row>
    <row r="118" spans="1:9" ht="11.25" customHeight="1">
      <c r="A118" s="3928" t="s">
        <v>2258</v>
      </c>
      <c r="B118" s="3928" t="s">
        <v>14</v>
      </c>
      <c r="C118" s="3928" t="s">
        <v>2743</v>
      </c>
      <c r="D118" s="3928" t="s">
        <v>2744</v>
      </c>
      <c r="E118" s="3928" t="s">
        <v>2745</v>
      </c>
      <c r="F118" s="3928" t="s">
        <v>2746</v>
      </c>
      <c r="G118" s="3928" t="s">
        <v>2747</v>
      </c>
      <c r="H118" s="3928" t="s">
        <v>24</v>
      </c>
      <c r="I118" s="3928" t="s">
        <v>811</v>
      </c>
    </row>
    <row r="119" spans="1:9" ht="11.25" customHeight="1">
      <c r="A119" s="3928" t="s">
        <v>2258</v>
      </c>
      <c r="B119" s="3928" t="s">
        <v>14</v>
      </c>
      <c r="C119" s="3928" t="s">
        <v>2748</v>
      </c>
      <c r="D119" s="3928" t="s">
        <v>2749</v>
      </c>
      <c r="E119" s="3928" t="s">
        <v>2750</v>
      </c>
      <c r="F119" s="3928" t="s">
        <v>2294</v>
      </c>
      <c r="G119" s="3928" t="s">
        <v>2751</v>
      </c>
      <c r="H119" s="3928" t="s">
        <v>24</v>
      </c>
      <c r="I119" s="3928" t="s">
        <v>811</v>
      </c>
    </row>
    <row r="120" spans="1:9" ht="11.25" customHeight="1">
      <c r="A120" s="3928" t="s">
        <v>2258</v>
      </c>
      <c r="B120" s="3928" t="s">
        <v>14</v>
      </c>
      <c r="C120" s="3928" t="s">
        <v>2752</v>
      </c>
      <c r="D120" s="3928" t="s">
        <v>2753</v>
      </c>
      <c r="E120" s="3928" t="s">
        <v>2754</v>
      </c>
      <c r="F120" s="3928" t="s">
        <v>2638</v>
      </c>
      <c r="G120" s="3928" t="s">
        <v>2755</v>
      </c>
      <c r="H120" s="3928" t="s">
        <v>2756</v>
      </c>
      <c r="I120" s="3928" t="s">
        <v>811</v>
      </c>
    </row>
    <row r="121" spans="1:9" ht="11.25" customHeight="1">
      <c r="A121" s="3928" t="s">
        <v>2258</v>
      </c>
      <c r="B121" s="3928" t="s">
        <v>14</v>
      </c>
      <c r="C121" s="3928" t="s">
        <v>2757</v>
      </c>
      <c r="D121" s="3928" t="s">
        <v>2758</v>
      </c>
      <c r="E121" s="3928" t="s">
        <v>2759</v>
      </c>
      <c r="F121" s="3928" t="s">
        <v>2405</v>
      </c>
      <c r="G121" s="3928" t="s">
        <v>24</v>
      </c>
      <c r="H121" s="3928" t="s">
        <v>24</v>
      </c>
      <c r="I121" s="3928" t="s">
        <v>811</v>
      </c>
    </row>
    <row r="122" spans="1:9" ht="11.25" customHeight="1">
      <c r="A122" s="3928" t="s">
        <v>2258</v>
      </c>
      <c r="B122" s="3928" t="s">
        <v>14</v>
      </c>
      <c r="C122" s="3928" t="s">
        <v>2760</v>
      </c>
      <c r="D122" s="3928" t="s">
        <v>2761</v>
      </c>
      <c r="E122" s="3928" t="s">
        <v>2762</v>
      </c>
      <c r="F122" s="3928" t="s">
        <v>2763</v>
      </c>
      <c r="G122" s="3928" t="s">
        <v>24</v>
      </c>
      <c r="H122" s="3928" t="s">
        <v>2475</v>
      </c>
      <c r="I122" s="3928" t="s">
        <v>811</v>
      </c>
    </row>
    <row r="123" spans="1:9" ht="11.25" customHeight="1">
      <c r="A123" s="3928" t="s">
        <v>2258</v>
      </c>
      <c r="B123" s="3928" t="s">
        <v>14</v>
      </c>
      <c r="C123" s="3928" t="s">
        <v>2764</v>
      </c>
      <c r="D123" s="3928" t="s">
        <v>2765</v>
      </c>
      <c r="E123" s="3928" t="s">
        <v>2766</v>
      </c>
      <c r="F123" s="3928" t="s">
        <v>2344</v>
      </c>
      <c r="G123" s="3928" t="s">
        <v>2767</v>
      </c>
      <c r="H123" s="3928" t="s">
        <v>24</v>
      </c>
      <c r="I123" s="3928" t="s">
        <v>811</v>
      </c>
    </row>
    <row r="124" spans="1:9" ht="11.25" customHeight="1">
      <c r="A124" s="3928" t="s">
        <v>2258</v>
      </c>
      <c r="B124" s="3928" t="s">
        <v>14</v>
      </c>
      <c r="C124" s="3928" t="s">
        <v>2768</v>
      </c>
      <c r="D124" s="3928" t="s">
        <v>2769</v>
      </c>
      <c r="E124" s="3928" t="s">
        <v>2770</v>
      </c>
      <c r="F124" s="3928" t="s">
        <v>2771</v>
      </c>
      <c r="G124" s="3928" t="s">
        <v>2630</v>
      </c>
      <c r="H124" s="3928" t="s">
        <v>2772</v>
      </c>
      <c r="I124" s="3928" t="s">
        <v>811</v>
      </c>
    </row>
    <row r="125" spans="1:9" ht="11.25" customHeight="1">
      <c r="A125" s="3928" t="s">
        <v>2258</v>
      </c>
      <c r="B125" s="3928" t="s">
        <v>14</v>
      </c>
      <c r="C125" s="3928" t="s">
        <v>2773</v>
      </c>
      <c r="D125" s="3928" t="s">
        <v>2774</v>
      </c>
      <c r="E125" s="3928" t="s">
        <v>2775</v>
      </c>
      <c r="F125" s="3928" t="s">
        <v>2638</v>
      </c>
      <c r="G125" s="3928" t="s">
        <v>2776</v>
      </c>
      <c r="H125" s="3928" t="s">
        <v>24</v>
      </c>
      <c r="I125" s="3928" t="s">
        <v>811</v>
      </c>
    </row>
    <row r="126" spans="1:9" ht="11.25" customHeight="1">
      <c r="A126" s="3928" t="s">
        <v>2258</v>
      </c>
      <c r="B126" s="3928" t="s">
        <v>14</v>
      </c>
      <c r="C126" s="3928" t="s">
        <v>2777</v>
      </c>
      <c r="D126" s="3928" t="s">
        <v>2778</v>
      </c>
      <c r="E126" s="3928" t="s">
        <v>2779</v>
      </c>
      <c r="F126" s="3928" t="s">
        <v>2780</v>
      </c>
      <c r="G126" s="3928" t="s">
        <v>2781</v>
      </c>
      <c r="H126" s="3928" t="s">
        <v>24</v>
      </c>
      <c r="I126" s="3928" t="s">
        <v>811</v>
      </c>
    </row>
    <row r="127" spans="1:9" ht="11.25" customHeight="1">
      <c r="A127" s="3928" t="s">
        <v>2258</v>
      </c>
      <c r="B127" s="3928" t="s">
        <v>14</v>
      </c>
      <c r="C127" s="3928" t="s">
        <v>2782</v>
      </c>
      <c r="D127" s="3928" t="s">
        <v>2783</v>
      </c>
      <c r="E127" s="3928" t="s">
        <v>2784</v>
      </c>
      <c r="F127" s="3928" t="s">
        <v>2405</v>
      </c>
      <c r="G127" s="3928" t="s">
        <v>2785</v>
      </c>
      <c r="H127" s="3928" t="s">
        <v>24</v>
      </c>
      <c r="I127" s="3928" t="s">
        <v>811</v>
      </c>
    </row>
    <row r="128" spans="1:9" ht="11.25" customHeight="1">
      <c r="A128" s="3928" t="s">
        <v>2258</v>
      </c>
      <c r="B128" s="3928" t="s">
        <v>14</v>
      </c>
      <c r="C128" s="3928" t="s">
        <v>2786</v>
      </c>
      <c r="D128" s="3928" t="s">
        <v>2787</v>
      </c>
      <c r="E128" s="3928" t="s">
        <v>2788</v>
      </c>
      <c r="F128" s="3928" t="s">
        <v>2289</v>
      </c>
      <c r="G128" s="3928" t="s">
        <v>2789</v>
      </c>
      <c r="H128" s="3928" t="s">
        <v>24</v>
      </c>
      <c r="I128" s="3928" t="s">
        <v>811</v>
      </c>
    </row>
    <row r="129" spans="1:9" ht="11.25" customHeight="1">
      <c r="A129" s="3928" t="s">
        <v>2258</v>
      </c>
      <c r="B129" s="3928" t="s">
        <v>14</v>
      </c>
      <c r="C129" s="3928" t="s">
        <v>2790</v>
      </c>
      <c r="D129" s="3928" t="s">
        <v>2791</v>
      </c>
      <c r="E129" s="3928" t="s">
        <v>2792</v>
      </c>
      <c r="F129" s="3928" t="s">
        <v>2438</v>
      </c>
      <c r="G129" s="3928" t="s">
        <v>2697</v>
      </c>
      <c r="H129" s="3928" t="s">
        <v>24</v>
      </c>
      <c r="I129" s="3928" t="s">
        <v>811</v>
      </c>
    </row>
    <row r="130" spans="1:9" ht="11.25" customHeight="1">
      <c r="A130" s="3928" t="s">
        <v>2258</v>
      </c>
      <c r="B130" s="3928" t="s">
        <v>14</v>
      </c>
      <c r="C130" s="3928" t="s">
        <v>2793</v>
      </c>
      <c r="D130" s="3928" t="s">
        <v>2794</v>
      </c>
      <c r="E130" s="3928" t="s">
        <v>2795</v>
      </c>
      <c r="F130" s="3928" t="s">
        <v>2796</v>
      </c>
      <c r="G130" s="3928" t="s">
        <v>24</v>
      </c>
      <c r="H130" s="3928" t="s">
        <v>24</v>
      </c>
      <c r="I130" s="3928" t="s">
        <v>811</v>
      </c>
    </row>
    <row r="131" spans="1:9" ht="11.25" customHeight="1">
      <c r="A131" s="3928" t="s">
        <v>2258</v>
      </c>
      <c r="B131" s="3928" t="s">
        <v>14</v>
      </c>
      <c r="C131" s="3928" t="s">
        <v>2797</v>
      </c>
      <c r="D131" s="3928" t="s">
        <v>2798</v>
      </c>
      <c r="E131" s="3928" t="s">
        <v>2799</v>
      </c>
      <c r="F131" s="3928" t="s">
        <v>2535</v>
      </c>
      <c r="G131" s="3928" t="s">
        <v>2800</v>
      </c>
      <c r="H131" s="3928" t="s">
        <v>24</v>
      </c>
      <c r="I131" s="3928" t="s">
        <v>811</v>
      </c>
    </row>
    <row r="132" spans="1:9" ht="11.25" customHeight="1">
      <c r="A132" s="3928" t="s">
        <v>2258</v>
      </c>
      <c r="B132" s="3928" t="s">
        <v>14</v>
      </c>
      <c r="C132" s="3928" t="s">
        <v>2801</v>
      </c>
      <c r="D132" s="3928" t="s">
        <v>2798</v>
      </c>
      <c r="E132" s="3928" t="s">
        <v>2799</v>
      </c>
      <c r="F132" s="3928" t="s">
        <v>2802</v>
      </c>
      <c r="G132" s="3928" t="s">
        <v>2800</v>
      </c>
      <c r="H132" s="3928" t="s">
        <v>24</v>
      </c>
      <c r="I132" s="3928" t="s">
        <v>811</v>
      </c>
    </row>
    <row r="133" spans="1:9" ht="11.25" customHeight="1">
      <c r="A133" s="3928" t="s">
        <v>2258</v>
      </c>
      <c r="B133" s="3928" t="s">
        <v>14</v>
      </c>
      <c r="C133" s="3928" t="s">
        <v>2803</v>
      </c>
      <c r="D133" s="3928" t="s">
        <v>2804</v>
      </c>
      <c r="E133" s="3928" t="s">
        <v>2805</v>
      </c>
      <c r="F133" s="3928" t="s">
        <v>2675</v>
      </c>
      <c r="G133" s="3928" t="s">
        <v>2806</v>
      </c>
      <c r="H133" s="3928" t="s">
        <v>24</v>
      </c>
      <c r="I133" s="3928" t="s">
        <v>811</v>
      </c>
    </row>
    <row r="134" spans="1:9" ht="11.25" customHeight="1">
      <c r="A134" s="3928" t="s">
        <v>2258</v>
      </c>
      <c r="B134" s="3928" t="s">
        <v>14</v>
      </c>
      <c r="C134" s="3928" t="s">
        <v>2807</v>
      </c>
      <c r="D134" s="3928" t="s">
        <v>2808</v>
      </c>
      <c r="E134" s="3928" t="s">
        <v>2809</v>
      </c>
      <c r="F134" s="3928" t="s">
        <v>2810</v>
      </c>
      <c r="G134" s="3928" t="s">
        <v>24</v>
      </c>
      <c r="H134" s="3928" t="s">
        <v>24</v>
      </c>
      <c r="I134" s="3928" t="s">
        <v>811</v>
      </c>
    </row>
    <row r="135" spans="1:9" ht="11.25" customHeight="1">
      <c r="A135" s="3928" t="s">
        <v>2258</v>
      </c>
      <c r="B135" s="3928" t="s">
        <v>14</v>
      </c>
      <c r="C135" s="3928" t="s">
        <v>2811</v>
      </c>
      <c r="D135" s="3928" t="s">
        <v>2812</v>
      </c>
      <c r="E135" s="3928" t="s">
        <v>2813</v>
      </c>
      <c r="F135" s="3928" t="s">
        <v>2409</v>
      </c>
      <c r="G135" s="3928" t="s">
        <v>24</v>
      </c>
      <c r="H135" s="3928" t="s">
        <v>2263</v>
      </c>
      <c r="I135" s="3928" t="s">
        <v>811</v>
      </c>
    </row>
    <row r="136" spans="1:9" ht="11.25" customHeight="1">
      <c r="A136" s="3928" t="s">
        <v>2258</v>
      </c>
      <c r="B136" s="3928" t="s">
        <v>14</v>
      </c>
      <c r="C136" s="3928" t="s">
        <v>2814</v>
      </c>
      <c r="D136" s="3928" t="s">
        <v>2815</v>
      </c>
      <c r="E136" s="3928" t="s">
        <v>2816</v>
      </c>
      <c r="F136" s="3928" t="s">
        <v>2817</v>
      </c>
      <c r="G136" s="3928" t="s">
        <v>2818</v>
      </c>
      <c r="H136" s="3928" t="s">
        <v>24</v>
      </c>
      <c r="I136" s="3928" t="s">
        <v>811</v>
      </c>
    </row>
    <row r="137" spans="1:9" ht="11.25" customHeight="1">
      <c r="A137" s="3928" t="s">
        <v>2258</v>
      </c>
      <c r="B137" s="3928" t="s">
        <v>14</v>
      </c>
      <c r="C137" s="3928" t="s">
        <v>2819</v>
      </c>
      <c r="D137" s="3928" t="s">
        <v>2820</v>
      </c>
      <c r="E137" s="3928" t="s">
        <v>2821</v>
      </c>
      <c r="F137" s="3928" t="s">
        <v>2822</v>
      </c>
      <c r="G137" s="3928" t="s">
        <v>24</v>
      </c>
      <c r="H137" s="3928" t="s">
        <v>24</v>
      </c>
      <c r="I137" s="3928" t="s">
        <v>811</v>
      </c>
    </row>
    <row r="138" spans="1:9" ht="11.25" customHeight="1">
      <c r="A138" s="3928" t="s">
        <v>2258</v>
      </c>
      <c r="B138" s="3928" t="s">
        <v>14</v>
      </c>
      <c r="C138" s="3928" t="s">
        <v>2823</v>
      </c>
      <c r="D138" s="3928" t="s">
        <v>2824</v>
      </c>
      <c r="E138" s="3928" t="s">
        <v>2825</v>
      </c>
      <c r="F138" s="3928" t="s">
        <v>2826</v>
      </c>
      <c r="G138" s="3928" t="s">
        <v>2827</v>
      </c>
      <c r="H138" s="3928" t="s">
        <v>24</v>
      </c>
      <c r="I138" s="3928" t="s">
        <v>811</v>
      </c>
    </row>
    <row r="139" spans="1:9" ht="11.25" customHeight="1">
      <c r="A139" s="3928" t="s">
        <v>2258</v>
      </c>
      <c r="B139" s="3928" t="s">
        <v>14</v>
      </c>
      <c r="C139" s="3928" t="s">
        <v>2828</v>
      </c>
      <c r="D139" s="3928" t="s">
        <v>2829</v>
      </c>
      <c r="E139" s="3928" t="s">
        <v>2830</v>
      </c>
      <c r="F139" s="3928" t="s">
        <v>2831</v>
      </c>
      <c r="G139" s="3928" t="s">
        <v>24</v>
      </c>
      <c r="H139" s="3928" t="s">
        <v>2263</v>
      </c>
      <c r="I139" s="3928" t="s">
        <v>811</v>
      </c>
    </row>
    <row r="140" spans="1:9" ht="11.25" customHeight="1">
      <c r="A140" s="3928" t="s">
        <v>2258</v>
      </c>
      <c r="B140" s="3928" t="s">
        <v>14</v>
      </c>
      <c r="C140" s="3928" t="s">
        <v>2832</v>
      </c>
      <c r="D140" s="3928" t="s">
        <v>2833</v>
      </c>
      <c r="E140" s="3928" t="s">
        <v>2834</v>
      </c>
      <c r="F140" s="3928" t="s">
        <v>2339</v>
      </c>
      <c r="G140" s="3928" t="s">
        <v>24</v>
      </c>
      <c r="H140" s="3928" t="s">
        <v>2263</v>
      </c>
      <c r="I140" s="3928" t="s">
        <v>811</v>
      </c>
    </row>
    <row r="141" spans="1:9" ht="11.25" customHeight="1">
      <c r="A141" s="3928" t="s">
        <v>2258</v>
      </c>
      <c r="B141" s="3928" t="s">
        <v>14</v>
      </c>
      <c r="C141" s="3928" t="s">
        <v>2835</v>
      </c>
      <c r="D141" s="3928" t="s">
        <v>2836</v>
      </c>
      <c r="E141" s="3928" t="s">
        <v>2837</v>
      </c>
      <c r="F141" s="3928" t="s">
        <v>2375</v>
      </c>
      <c r="G141" s="3928" t="s">
        <v>24</v>
      </c>
      <c r="H141" s="3928" t="s">
        <v>2263</v>
      </c>
      <c r="I141" s="3928" t="s">
        <v>811</v>
      </c>
    </row>
    <row r="142" spans="1:9" ht="11.25" customHeight="1">
      <c r="A142" s="3928" t="s">
        <v>2258</v>
      </c>
      <c r="B142" s="3928" t="s">
        <v>14</v>
      </c>
      <c r="C142" s="3928" t="s">
        <v>2838</v>
      </c>
      <c r="D142" s="3928" t="s">
        <v>2839</v>
      </c>
      <c r="E142" s="3928" t="s">
        <v>2840</v>
      </c>
      <c r="F142" s="3928" t="s">
        <v>2289</v>
      </c>
      <c r="G142" s="3928" t="s">
        <v>24</v>
      </c>
      <c r="H142" s="3928" t="s">
        <v>2263</v>
      </c>
      <c r="I142" s="3928" t="s">
        <v>811</v>
      </c>
    </row>
    <row r="143" spans="1:9" ht="11.25" customHeight="1">
      <c r="A143" s="3928" t="s">
        <v>2258</v>
      </c>
      <c r="B143" s="3928" t="s">
        <v>14</v>
      </c>
      <c r="C143" s="3928" t="s">
        <v>2841</v>
      </c>
      <c r="D143" s="3928" t="s">
        <v>2842</v>
      </c>
      <c r="E143" s="3928" t="s">
        <v>2843</v>
      </c>
      <c r="F143" s="3928" t="s">
        <v>2309</v>
      </c>
      <c r="G143" s="3928" t="s">
        <v>24</v>
      </c>
      <c r="H143" s="3928" t="s">
        <v>2263</v>
      </c>
      <c r="I143" s="3928" t="s">
        <v>811</v>
      </c>
    </row>
    <row r="144" spans="1:9" ht="11.25" customHeight="1">
      <c r="A144" s="3928" t="s">
        <v>2258</v>
      </c>
      <c r="B144" s="3928" t="s">
        <v>14</v>
      </c>
      <c r="C144" s="3928" t="s">
        <v>2844</v>
      </c>
      <c r="D144" s="3928" t="s">
        <v>2845</v>
      </c>
      <c r="E144" s="3928" t="s">
        <v>2846</v>
      </c>
      <c r="F144" s="3928" t="s">
        <v>2847</v>
      </c>
      <c r="G144" s="3928" t="s">
        <v>24</v>
      </c>
      <c r="H144" s="3928" t="s">
        <v>2848</v>
      </c>
      <c r="I144" s="3928" t="s">
        <v>811</v>
      </c>
    </row>
    <row r="145" spans="1:9" ht="11.25" customHeight="1">
      <c r="A145" s="3928" t="s">
        <v>2258</v>
      </c>
      <c r="B145" s="3928" t="s">
        <v>14</v>
      </c>
      <c r="C145" s="3928" t="s">
        <v>2849</v>
      </c>
      <c r="D145" s="3928" t="s">
        <v>2845</v>
      </c>
      <c r="E145" s="3928" t="s">
        <v>2850</v>
      </c>
      <c r="F145" s="3928" t="s">
        <v>2262</v>
      </c>
      <c r="G145" s="3928" t="s">
        <v>24</v>
      </c>
      <c r="H145" s="3928" t="s">
        <v>2263</v>
      </c>
      <c r="I145" s="3928" t="s">
        <v>811</v>
      </c>
    </row>
    <row r="146" spans="1:9" ht="11.25" customHeight="1">
      <c r="A146" s="3928" t="s">
        <v>2258</v>
      </c>
      <c r="B146" s="3928" t="s">
        <v>14</v>
      </c>
      <c r="C146" s="3928" t="s">
        <v>2851</v>
      </c>
      <c r="D146" s="3928" t="s">
        <v>2852</v>
      </c>
      <c r="E146" s="3928" t="s">
        <v>2853</v>
      </c>
      <c r="F146" s="3928" t="s">
        <v>2642</v>
      </c>
      <c r="G146" s="3928" t="s">
        <v>24</v>
      </c>
      <c r="H146" s="3928" t="s">
        <v>2263</v>
      </c>
      <c r="I146" s="3928" t="s">
        <v>811</v>
      </c>
    </row>
    <row r="147" spans="1:9" ht="11.25" customHeight="1">
      <c r="A147" s="3928" t="s">
        <v>2258</v>
      </c>
      <c r="B147" s="3928" t="s">
        <v>14</v>
      </c>
      <c r="C147" s="3928" t="s">
        <v>2854</v>
      </c>
      <c r="D147" s="3928" t="s">
        <v>2855</v>
      </c>
      <c r="E147" s="3928" t="s">
        <v>2856</v>
      </c>
      <c r="F147" s="3928" t="s">
        <v>2289</v>
      </c>
      <c r="G147" s="3928" t="s">
        <v>24</v>
      </c>
      <c r="H147" s="3928" t="s">
        <v>2263</v>
      </c>
      <c r="I147" s="3928" t="s">
        <v>811</v>
      </c>
    </row>
    <row r="148" spans="1:9" ht="11.25" customHeight="1">
      <c r="A148" s="3928" t="s">
        <v>2258</v>
      </c>
      <c r="B148" s="3928" t="s">
        <v>14</v>
      </c>
      <c r="C148" s="3928" t="s">
        <v>2857</v>
      </c>
      <c r="D148" s="3928" t="s">
        <v>2858</v>
      </c>
      <c r="E148" s="3928" t="s">
        <v>2859</v>
      </c>
      <c r="F148" s="3928" t="s">
        <v>2397</v>
      </c>
      <c r="G148" s="3928" t="s">
        <v>24</v>
      </c>
      <c r="H148" s="3928" t="s">
        <v>2263</v>
      </c>
      <c r="I148" s="3928" t="s">
        <v>811</v>
      </c>
    </row>
    <row r="149" spans="1:9" ht="11.25" customHeight="1">
      <c r="A149" s="3928" t="s">
        <v>2258</v>
      </c>
      <c r="B149" s="3928" t="s">
        <v>14</v>
      </c>
      <c r="C149" s="3928" t="s">
        <v>2860</v>
      </c>
      <c r="D149" s="3928" t="s">
        <v>2861</v>
      </c>
      <c r="E149" s="3928" t="s">
        <v>2862</v>
      </c>
      <c r="F149" s="3928" t="s">
        <v>2863</v>
      </c>
      <c r="G149" s="3928" t="s">
        <v>24</v>
      </c>
      <c r="H149" s="3928" t="s">
        <v>2263</v>
      </c>
      <c r="I149" s="3928" t="s">
        <v>811</v>
      </c>
    </row>
    <row r="150" spans="1:9" ht="11.25" customHeight="1">
      <c r="A150" s="3928" t="s">
        <v>2258</v>
      </c>
      <c r="B150" s="3928" t="s">
        <v>14</v>
      </c>
      <c r="C150" s="3928" t="s">
        <v>2864</v>
      </c>
      <c r="D150" s="3928" t="s">
        <v>2865</v>
      </c>
      <c r="E150" s="3928" t="s">
        <v>2866</v>
      </c>
      <c r="F150" s="3928" t="s">
        <v>2309</v>
      </c>
      <c r="G150" s="3928" t="s">
        <v>2867</v>
      </c>
      <c r="H150" s="3928" t="s">
        <v>24</v>
      </c>
      <c r="I150" s="3928" t="s">
        <v>811</v>
      </c>
    </row>
    <row r="151" spans="1:9" ht="11.25" customHeight="1">
      <c r="A151" s="3928" t="s">
        <v>2258</v>
      </c>
      <c r="B151" s="3928" t="s">
        <v>14</v>
      </c>
      <c r="C151" s="3928" t="s">
        <v>2868</v>
      </c>
      <c r="D151" s="3928" t="s">
        <v>2869</v>
      </c>
      <c r="E151" s="3928" t="s">
        <v>2870</v>
      </c>
      <c r="F151" s="3928" t="s">
        <v>2587</v>
      </c>
      <c r="G151" s="3928" t="s">
        <v>2871</v>
      </c>
      <c r="H151" s="3928" t="s">
        <v>24</v>
      </c>
      <c r="I151" s="3928" t="s">
        <v>811</v>
      </c>
    </row>
    <row r="152" spans="1:9" ht="11.25" customHeight="1">
      <c r="A152" s="3928" t="s">
        <v>2258</v>
      </c>
      <c r="B152" s="3928" t="s">
        <v>14</v>
      </c>
      <c r="C152" s="3928" t="s">
        <v>2872</v>
      </c>
      <c r="D152" s="3928" t="s">
        <v>2873</v>
      </c>
      <c r="E152" s="3928" t="s">
        <v>2874</v>
      </c>
      <c r="F152" s="3928" t="s">
        <v>2289</v>
      </c>
      <c r="G152" s="3928" t="s">
        <v>24</v>
      </c>
      <c r="H152" s="3928" t="s">
        <v>2263</v>
      </c>
      <c r="I152" s="3928" t="s">
        <v>811</v>
      </c>
    </row>
    <row r="153" spans="1:9" ht="11.25" customHeight="1">
      <c r="A153" s="3928" t="s">
        <v>2258</v>
      </c>
      <c r="B153" s="3928" t="s">
        <v>14</v>
      </c>
      <c r="C153" s="3928" t="s">
        <v>2875</v>
      </c>
      <c r="D153" s="3928" t="s">
        <v>2876</v>
      </c>
      <c r="E153" s="3928" t="s">
        <v>2877</v>
      </c>
      <c r="F153" s="3928" t="s">
        <v>2642</v>
      </c>
      <c r="G153" s="3928" t="s">
        <v>24</v>
      </c>
      <c r="H153" s="3928" t="s">
        <v>2263</v>
      </c>
      <c r="I153" s="3928" t="s">
        <v>811</v>
      </c>
    </row>
    <row r="154" spans="1:9" ht="11.25" customHeight="1">
      <c r="A154" s="3928" t="s">
        <v>2258</v>
      </c>
      <c r="B154" s="3928" t="s">
        <v>14</v>
      </c>
      <c r="C154" s="3928" t="s">
        <v>2878</v>
      </c>
      <c r="D154" s="3928" t="s">
        <v>2879</v>
      </c>
      <c r="E154" s="3928" t="s">
        <v>2880</v>
      </c>
      <c r="F154" s="3928" t="s">
        <v>2309</v>
      </c>
      <c r="G154" s="3928" t="s">
        <v>24</v>
      </c>
      <c r="H154" s="3928" t="s">
        <v>2263</v>
      </c>
      <c r="I154" s="3928" t="s">
        <v>811</v>
      </c>
    </row>
    <row r="155" spans="1:9" ht="11.25" customHeight="1">
      <c r="A155" s="3928" t="s">
        <v>2258</v>
      </c>
      <c r="B155" s="3928" t="s">
        <v>14</v>
      </c>
      <c r="C155" s="3928" t="s">
        <v>2881</v>
      </c>
      <c r="D155" s="3928" t="s">
        <v>2882</v>
      </c>
      <c r="E155" s="3928" t="s">
        <v>2883</v>
      </c>
      <c r="F155" s="3928" t="s">
        <v>2414</v>
      </c>
      <c r="G155" s="3928" t="s">
        <v>24</v>
      </c>
      <c r="H155" s="3928" t="s">
        <v>2263</v>
      </c>
      <c r="I155" s="3928" t="s">
        <v>811</v>
      </c>
    </row>
    <row r="156" spans="1:9" ht="11.25" customHeight="1">
      <c r="A156" s="3928" t="s">
        <v>2258</v>
      </c>
      <c r="B156" s="3928" t="s">
        <v>14</v>
      </c>
      <c r="C156" s="3928" t="s">
        <v>2884</v>
      </c>
      <c r="D156" s="3928" t="s">
        <v>2885</v>
      </c>
      <c r="E156" s="3928" t="s">
        <v>2886</v>
      </c>
      <c r="F156" s="3928" t="s">
        <v>2289</v>
      </c>
      <c r="G156" s="3928" t="s">
        <v>24</v>
      </c>
      <c r="H156" s="3928" t="s">
        <v>2263</v>
      </c>
      <c r="I156" s="3928" t="s">
        <v>811</v>
      </c>
    </row>
    <row r="157" spans="1:9" ht="11.25" customHeight="1">
      <c r="A157" s="3928" t="s">
        <v>2258</v>
      </c>
      <c r="B157" s="3928" t="s">
        <v>14</v>
      </c>
      <c r="C157" s="3928" t="s">
        <v>2887</v>
      </c>
      <c r="D157" s="3928" t="s">
        <v>2888</v>
      </c>
      <c r="E157" s="3928" t="s">
        <v>2889</v>
      </c>
      <c r="F157" s="3928" t="s">
        <v>2587</v>
      </c>
      <c r="G157" s="3928" t="s">
        <v>2890</v>
      </c>
      <c r="H157" s="3928" t="s">
        <v>24</v>
      </c>
      <c r="I157" s="3928" t="s">
        <v>811</v>
      </c>
    </row>
    <row r="158" spans="1:9" ht="11.25" customHeight="1">
      <c r="A158" s="3928" t="s">
        <v>2258</v>
      </c>
      <c r="B158" s="3928" t="s">
        <v>14</v>
      </c>
      <c r="C158" s="3928" t="s">
        <v>2891</v>
      </c>
      <c r="D158" s="3928" t="s">
        <v>2892</v>
      </c>
      <c r="E158" s="3928" t="s">
        <v>2893</v>
      </c>
      <c r="F158" s="3928" t="s">
        <v>2535</v>
      </c>
      <c r="G158" s="3928" t="s">
        <v>2894</v>
      </c>
      <c r="H158" s="3928" t="s">
        <v>24</v>
      </c>
      <c r="I158" s="3928" t="s">
        <v>811</v>
      </c>
    </row>
    <row r="159" spans="1:9" ht="11.25" customHeight="1">
      <c r="A159" s="3928" t="s">
        <v>2258</v>
      </c>
      <c r="B159" s="3928" t="s">
        <v>14</v>
      </c>
      <c r="C159" s="3928" t="s">
        <v>2895</v>
      </c>
      <c r="D159" s="3928" t="s">
        <v>2896</v>
      </c>
      <c r="E159" s="3928" t="s">
        <v>2897</v>
      </c>
      <c r="F159" s="3928" t="s">
        <v>2898</v>
      </c>
      <c r="G159" s="3928" t="s">
        <v>2899</v>
      </c>
      <c r="H159" s="3928" t="s">
        <v>24</v>
      </c>
      <c r="I159" s="3928" t="s">
        <v>811</v>
      </c>
    </row>
    <row r="160" spans="1:9" ht="11.25" customHeight="1">
      <c r="A160" s="3928" t="s">
        <v>2258</v>
      </c>
      <c r="B160" s="3928" t="s">
        <v>14</v>
      </c>
      <c r="C160" s="3928" t="s">
        <v>2900</v>
      </c>
      <c r="D160" s="3928" t="s">
        <v>2901</v>
      </c>
      <c r="E160" s="3928" t="s">
        <v>2902</v>
      </c>
      <c r="F160" s="3928" t="s">
        <v>2429</v>
      </c>
      <c r="G160" s="3928" t="s">
        <v>2903</v>
      </c>
      <c r="H160" s="3928" t="s">
        <v>24</v>
      </c>
      <c r="I160" s="3928" t="s">
        <v>811</v>
      </c>
    </row>
    <row r="161" spans="1:9" ht="11.25" customHeight="1">
      <c r="A161" s="3928" t="s">
        <v>2258</v>
      </c>
      <c r="B161" s="3928" t="s">
        <v>14</v>
      </c>
      <c r="C161" s="3928" t="s">
        <v>2904</v>
      </c>
      <c r="D161" s="3928" t="s">
        <v>2905</v>
      </c>
      <c r="E161" s="3928" t="s">
        <v>2906</v>
      </c>
      <c r="F161" s="3928" t="s">
        <v>2907</v>
      </c>
      <c r="G161" s="3928" t="s">
        <v>2908</v>
      </c>
      <c r="H161" s="3928" t="s">
        <v>2909</v>
      </c>
      <c r="I161" s="3928" t="s">
        <v>811</v>
      </c>
    </row>
    <row r="162" spans="1:9" ht="11.25" customHeight="1">
      <c r="A162" s="3928" t="s">
        <v>2258</v>
      </c>
      <c r="B162" s="3928" t="s">
        <v>14</v>
      </c>
      <c r="C162" s="3928" t="s">
        <v>2910</v>
      </c>
      <c r="D162" s="3928" t="s">
        <v>2911</v>
      </c>
      <c r="E162" s="3928" t="s">
        <v>2912</v>
      </c>
      <c r="F162" s="3928" t="s">
        <v>2424</v>
      </c>
      <c r="G162" s="3928" t="s">
        <v>2913</v>
      </c>
      <c r="H162" s="3928" t="s">
        <v>24</v>
      </c>
      <c r="I162" s="3928" t="s">
        <v>811</v>
      </c>
    </row>
    <row r="163" spans="1:9" ht="11.25" customHeight="1">
      <c r="A163" s="3928" t="s">
        <v>2258</v>
      </c>
      <c r="B163" s="3928" t="s">
        <v>14</v>
      </c>
      <c r="C163" s="3928" t="s">
        <v>2914</v>
      </c>
      <c r="D163" s="3928" t="s">
        <v>2915</v>
      </c>
      <c r="E163" s="3928" t="s">
        <v>2916</v>
      </c>
      <c r="F163" s="3928" t="s">
        <v>2424</v>
      </c>
      <c r="G163" s="3928" t="s">
        <v>24</v>
      </c>
      <c r="H163" s="3928" t="s">
        <v>2917</v>
      </c>
      <c r="I163" s="3928" t="s">
        <v>811</v>
      </c>
    </row>
    <row r="164" spans="1:9" ht="11.25" customHeight="1">
      <c r="A164" s="3928" t="s">
        <v>2258</v>
      </c>
      <c r="B164" s="3928" t="s">
        <v>14</v>
      </c>
      <c r="C164" s="3928" t="s">
        <v>2918</v>
      </c>
      <c r="D164" s="3928" t="s">
        <v>2919</v>
      </c>
      <c r="E164" s="3928" t="s">
        <v>2920</v>
      </c>
      <c r="F164" s="3928" t="s">
        <v>2375</v>
      </c>
      <c r="G164" s="3928" t="s">
        <v>2921</v>
      </c>
      <c r="H164" s="3928" t="s">
        <v>24</v>
      </c>
      <c r="I164" s="3928" t="s">
        <v>811</v>
      </c>
    </row>
    <row r="165" spans="1:9" ht="11.25" customHeight="1">
      <c r="A165" s="3928" t="s">
        <v>2258</v>
      </c>
      <c r="B165" s="3928" t="s">
        <v>14</v>
      </c>
      <c r="C165" s="3928" t="s">
        <v>2922</v>
      </c>
      <c r="D165" s="3928" t="s">
        <v>2923</v>
      </c>
      <c r="E165" s="3928" t="s">
        <v>2924</v>
      </c>
      <c r="F165" s="3928" t="s">
        <v>2535</v>
      </c>
      <c r="G165" s="3928" t="s">
        <v>2925</v>
      </c>
      <c r="H165" s="3928" t="s">
        <v>24</v>
      </c>
      <c r="I165" s="3928" t="s">
        <v>811</v>
      </c>
    </row>
    <row r="166" spans="1:9" ht="11.25" customHeight="1">
      <c r="A166" s="3928" t="s">
        <v>2258</v>
      </c>
      <c r="B166" s="3928" t="s">
        <v>14</v>
      </c>
      <c r="C166" s="3928" t="s">
        <v>2926</v>
      </c>
      <c r="D166" s="3928" t="s">
        <v>2927</v>
      </c>
      <c r="E166" s="3928" t="s">
        <v>2928</v>
      </c>
      <c r="F166" s="3928" t="s">
        <v>2929</v>
      </c>
      <c r="G166" s="3928" t="s">
        <v>24</v>
      </c>
      <c r="H166" s="3928" t="s">
        <v>24</v>
      </c>
      <c r="I166" s="3928" t="s">
        <v>811</v>
      </c>
    </row>
    <row r="167" spans="1:9" ht="11.25" customHeight="1">
      <c r="A167" s="3928" t="s">
        <v>2258</v>
      </c>
      <c r="B167" s="3928" t="s">
        <v>14</v>
      </c>
      <c r="C167" s="3928" t="s">
        <v>2930</v>
      </c>
      <c r="D167" s="3928" t="s">
        <v>2931</v>
      </c>
      <c r="E167" s="3928" t="s">
        <v>2932</v>
      </c>
      <c r="F167" s="3928" t="s">
        <v>2796</v>
      </c>
      <c r="G167" s="3928" t="s">
        <v>2933</v>
      </c>
      <c r="H167" s="3928" t="s">
        <v>2263</v>
      </c>
      <c r="I167" s="3928" t="s">
        <v>811</v>
      </c>
    </row>
    <row r="168" spans="1:9" ht="11.25" customHeight="1">
      <c r="A168" s="3928" t="s">
        <v>2258</v>
      </c>
      <c r="B168" s="3928" t="s">
        <v>14</v>
      </c>
      <c r="C168" s="3928" t="s">
        <v>2934</v>
      </c>
      <c r="D168" s="3928" t="s">
        <v>2931</v>
      </c>
      <c r="E168" s="3928" t="s">
        <v>2935</v>
      </c>
      <c r="F168" s="3928" t="s">
        <v>2796</v>
      </c>
      <c r="G168" s="3928" t="s">
        <v>2936</v>
      </c>
      <c r="H168" s="3928" t="s">
        <v>24</v>
      </c>
      <c r="I168" s="3928" t="s">
        <v>811</v>
      </c>
    </row>
    <row r="169" spans="1:9" ht="11.25" customHeight="1">
      <c r="A169" s="3928" t="s">
        <v>2258</v>
      </c>
      <c r="B169" s="3928" t="s">
        <v>14</v>
      </c>
      <c r="C169" s="3928" t="s">
        <v>2937</v>
      </c>
      <c r="D169" s="3928" t="s">
        <v>2938</v>
      </c>
      <c r="E169" s="3928" t="s">
        <v>2939</v>
      </c>
      <c r="F169" s="3928" t="s">
        <v>2414</v>
      </c>
      <c r="G169" s="3928" t="s">
        <v>2940</v>
      </c>
      <c r="H169" s="3928" t="s">
        <v>2941</v>
      </c>
      <c r="I169" s="3928" t="s">
        <v>811</v>
      </c>
    </row>
    <row r="170" spans="1:9" ht="11.25" customHeight="1">
      <c r="A170" s="3928" t="s">
        <v>2258</v>
      </c>
      <c r="B170" s="3928" t="s">
        <v>14</v>
      </c>
      <c r="C170" s="3928" t="s">
        <v>2942</v>
      </c>
      <c r="D170" s="3928" t="s">
        <v>2943</v>
      </c>
      <c r="E170" s="3928" t="s">
        <v>2944</v>
      </c>
      <c r="F170" s="3928" t="s">
        <v>2929</v>
      </c>
      <c r="G170" s="3928" t="s">
        <v>24</v>
      </c>
      <c r="H170" s="3928" t="s">
        <v>2945</v>
      </c>
      <c r="I170" s="3928" t="s">
        <v>811</v>
      </c>
    </row>
    <row r="171" spans="1:9" ht="11.25" customHeight="1">
      <c r="A171" s="3928" t="s">
        <v>2258</v>
      </c>
      <c r="B171" s="3928" t="s">
        <v>14</v>
      </c>
      <c r="C171" s="3928" t="s">
        <v>2946</v>
      </c>
      <c r="D171" s="3928" t="s">
        <v>2947</v>
      </c>
      <c r="E171" s="3928" t="s">
        <v>2948</v>
      </c>
      <c r="F171" s="3928" t="s">
        <v>2464</v>
      </c>
      <c r="G171" s="3928" t="s">
        <v>2949</v>
      </c>
      <c r="H171" s="3928" t="s">
        <v>24</v>
      </c>
      <c r="I171" s="3928" t="s">
        <v>811</v>
      </c>
    </row>
    <row r="172" spans="1:9" ht="11.25" customHeight="1">
      <c r="A172" s="3928" t="s">
        <v>2258</v>
      </c>
      <c r="B172" s="3928" t="s">
        <v>14</v>
      </c>
      <c r="C172" s="3928" t="s">
        <v>2950</v>
      </c>
      <c r="D172" s="3928" t="s">
        <v>2951</v>
      </c>
      <c r="E172" s="3928" t="s">
        <v>2952</v>
      </c>
      <c r="F172" s="3928" t="s">
        <v>2424</v>
      </c>
      <c r="G172" s="3928" t="s">
        <v>24</v>
      </c>
      <c r="H172" s="3928" t="s">
        <v>2953</v>
      </c>
      <c r="I172" s="3928" t="s">
        <v>811</v>
      </c>
    </row>
    <row r="173" spans="1:9" ht="11.25" customHeight="1">
      <c r="A173" s="3928" t="s">
        <v>2258</v>
      </c>
      <c r="B173" s="3928" t="s">
        <v>14</v>
      </c>
      <c r="C173" s="3928" t="s">
        <v>2954</v>
      </c>
      <c r="D173" s="3928" t="s">
        <v>2955</v>
      </c>
      <c r="E173" s="3928" t="s">
        <v>2956</v>
      </c>
      <c r="F173" s="3928" t="s">
        <v>2424</v>
      </c>
      <c r="G173" s="3928" t="s">
        <v>24</v>
      </c>
      <c r="H173" s="3928" t="s">
        <v>2957</v>
      </c>
      <c r="I173" s="3928" t="s">
        <v>811</v>
      </c>
    </row>
    <row r="174" spans="1:9" ht="11.25" customHeight="1">
      <c r="A174" s="3928" t="s">
        <v>2258</v>
      </c>
      <c r="B174" s="3928" t="s">
        <v>14</v>
      </c>
      <c r="C174" s="3928" t="s">
        <v>2958</v>
      </c>
      <c r="D174" s="3928" t="s">
        <v>2959</v>
      </c>
      <c r="E174" s="3928" t="s">
        <v>2960</v>
      </c>
      <c r="F174" s="3928" t="s">
        <v>2424</v>
      </c>
      <c r="G174" s="3928" t="s">
        <v>2961</v>
      </c>
      <c r="H174" s="3928" t="s">
        <v>24</v>
      </c>
      <c r="I174" s="3928" t="s">
        <v>811</v>
      </c>
    </row>
    <row r="175" spans="1:9" ht="11.25" customHeight="1">
      <c r="A175" s="3928" t="s">
        <v>2258</v>
      </c>
      <c r="B175" s="3928" t="s">
        <v>14</v>
      </c>
      <c r="C175" s="3928" t="s">
        <v>2962</v>
      </c>
      <c r="D175" s="3928" t="s">
        <v>2963</v>
      </c>
      <c r="E175" s="3928" t="s">
        <v>2964</v>
      </c>
      <c r="F175" s="3928" t="s">
        <v>2965</v>
      </c>
      <c r="G175" s="3928" t="s">
        <v>2966</v>
      </c>
      <c r="H175" s="3928" t="s">
        <v>24</v>
      </c>
      <c r="I175" s="3928" t="s">
        <v>811</v>
      </c>
    </row>
    <row r="176" spans="1:9" ht="11.25" customHeight="1">
      <c r="A176" s="3928" t="s">
        <v>2258</v>
      </c>
      <c r="B176" s="3928" t="s">
        <v>14</v>
      </c>
      <c r="C176" s="3928" t="s">
        <v>2967</v>
      </c>
      <c r="D176" s="3928" t="s">
        <v>2968</v>
      </c>
      <c r="E176" s="3928" t="s">
        <v>2969</v>
      </c>
      <c r="F176" s="3928" t="s">
        <v>2638</v>
      </c>
      <c r="G176" s="3928" t="s">
        <v>2970</v>
      </c>
      <c r="H176" s="3928" t="s">
        <v>24</v>
      </c>
      <c r="I176" s="3928" t="s">
        <v>811</v>
      </c>
    </row>
    <row r="177" spans="1:9" ht="11.25" customHeight="1">
      <c r="A177" s="3928" t="s">
        <v>2258</v>
      </c>
      <c r="B177" s="3928" t="s">
        <v>14</v>
      </c>
      <c r="C177" s="3928" t="s">
        <v>2971</v>
      </c>
      <c r="D177" s="3928" t="s">
        <v>2972</v>
      </c>
      <c r="E177" s="3928" t="s">
        <v>2973</v>
      </c>
      <c r="F177" s="3928" t="s">
        <v>2974</v>
      </c>
      <c r="G177" s="3928" t="s">
        <v>24</v>
      </c>
      <c r="H177" s="3928" t="s">
        <v>2263</v>
      </c>
      <c r="I177" s="3928" t="s">
        <v>811</v>
      </c>
    </row>
    <row r="178" spans="1:9" ht="11.25" customHeight="1">
      <c r="A178" s="3928" t="s">
        <v>2258</v>
      </c>
      <c r="B178" s="3928" t="s">
        <v>14</v>
      </c>
      <c r="C178" s="3928" t="s">
        <v>2975</v>
      </c>
      <c r="D178" s="3928" t="s">
        <v>2976</v>
      </c>
      <c r="E178" s="3928" t="s">
        <v>2977</v>
      </c>
      <c r="F178" s="3928" t="s">
        <v>2701</v>
      </c>
      <c r="G178" s="3928" t="s">
        <v>2978</v>
      </c>
      <c r="H178" s="3928" t="s">
        <v>24</v>
      </c>
      <c r="I178" s="3928" t="s">
        <v>811</v>
      </c>
    </row>
    <row r="179" spans="1:9" ht="11.25" customHeight="1">
      <c r="A179" s="3928" t="s">
        <v>2258</v>
      </c>
      <c r="B179" s="3928" t="s">
        <v>14</v>
      </c>
      <c r="C179" s="3928" t="s">
        <v>2979</v>
      </c>
      <c r="D179" s="3928" t="s">
        <v>2980</v>
      </c>
      <c r="E179" s="3928" t="s">
        <v>2981</v>
      </c>
      <c r="F179" s="3928" t="s">
        <v>49</v>
      </c>
      <c r="G179" s="3928" t="s">
        <v>2982</v>
      </c>
      <c r="H179" s="3928" t="s">
        <v>24</v>
      </c>
      <c r="I179" s="3928" t="s">
        <v>811</v>
      </c>
    </row>
    <row r="180" spans="1:9" ht="11.25" customHeight="1">
      <c r="A180" s="3928" t="s">
        <v>2258</v>
      </c>
      <c r="B180" s="3928" t="s">
        <v>14</v>
      </c>
      <c r="C180" s="3928" t="s">
        <v>2983</v>
      </c>
      <c r="D180" s="3928" t="s">
        <v>2984</v>
      </c>
      <c r="E180" s="3928" t="s">
        <v>2985</v>
      </c>
      <c r="F180" s="3928" t="s">
        <v>2780</v>
      </c>
      <c r="G180" s="3928" t="s">
        <v>24</v>
      </c>
      <c r="H180" s="3928" t="s">
        <v>24</v>
      </c>
      <c r="I180" s="3928" t="s">
        <v>811</v>
      </c>
    </row>
    <row r="181" spans="1:9" ht="11.25" customHeight="1">
      <c r="A181" s="3928" t="s">
        <v>2258</v>
      </c>
      <c r="B181" s="3928" t="s">
        <v>14</v>
      </c>
      <c r="C181" s="3928" t="s">
        <v>2986</v>
      </c>
      <c r="D181" s="3928" t="s">
        <v>2987</v>
      </c>
      <c r="E181" s="3928" t="s">
        <v>2988</v>
      </c>
      <c r="F181" s="3928" t="s">
        <v>2701</v>
      </c>
      <c r="G181" s="3928" t="s">
        <v>2989</v>
      </c>
      <c r="H181" s="3928" t="s">
        <v>2990</v>
      </c>
      <c r="I181" s="3928" t="s">
        <v>811</v>
      </c>
    </row>
    <row r="182" spans="1:9" ht="11.25" customHeight="1">
      <c r="A182" s="3928" t="s">
        <v>2258</v>
      </c>
      <c r="B182" s="3928" t="s">
        <v>14</v>
      </c>
      <c r="C182" s="3928" t="s">
        <v>2991</v>
      </c>
      <c r="D182" s="3928" t="s">
        <v>2992</v>
      </c>
      <c r="E182" s="3928" t="s">
        <v>2973</v>
      </c>
      <c r="F182" s="3928" t="s">
        <v>2642</v>
      </c>
      <c r="G182" s="3928" t="s">
        <v>2993</v>
      </c>
      <c r="H182" s="3928" t="s">
        <v>24</v>
      </c>
      <c r="I182" s="3928" t="s">
        <v>811</v>
      </c>
    </row>
    <row r="183" spans="1:9" ht="11.25" customHeight="1">
      <c r="A183" s="3928" t="s">
        <v>2258</v>
      </c>
      <c r="B183" s="3928" t="s">
        <v>14</v>
      </c>
      <c r="C183" s="3928" t="s">
        <v>2994</v>
      </c>
      <c r="D183" s="3928" t="s">
        <v>2995</v>
      </c>
      <c r="E183" s="3928" t="s">
        <v>2996</v>
      </c>
      <c r="F183" s="3928" t="s">
        <v>2701</v>
      </c>
      <c r="G183" s="3928" t="s">
        <v>2997</v>
      </c>
      <c r="H183" s="3928" t="s">
        <v>24</v>
      </c>
      <c r="I183" s="3928" t="s">
        <v>811</v>
      </c>
    </row>
    <row r="184" spans="1:9" ht="11.25" customHeight="1">
      <c r="A184" s="3928" t="s">
        <v>2258</v>
      </c>
      <c r="B184" s="3928" t="s">
        <v>14</v>
      </c>
      <c r="C184" s="3928" t="s">
        <v>2998</v>
      </c>
      <c r="D184" s="3928" t="s">
        <v>2999</v>
      </c>
      <c r="E184" s="3928" t="s">
        <v>3000</v>
      </c>
      <c r="F184" s="3928" t="s">
        <v>2419</v>
      </c>
      <c r="G184" s="3928" t="s">
        <v>3001</v>
      </c>
      <c r="H184" s="3928" t="s">
        <v>24</v>
      </c>
      <c r="I184" s="3928" t="s">
        <v>811</v>
      </c>
    </row>
    <row r="185" spans="1:9" ht="11.25" customHeight="1">
      <c r="A185" s="3928" t="s">
        <v>2258</v>
      </c>
      <c r="B185" s="3928" t="s">
        <v>14</v>
      </c>
      <c r="C185" s="3928" t="s">
        <v>3002</v>
      </c>
      <c r="D185" s="3928" t="s">
        <v>3003</v>
      </c>
      <c r="E185" s="3928" t="s">
        <v>3004</v>
      </c>
      <c r="F185" s="3928" t="s">
        <v>2469</v>
      </c>
      <c r="G185" s="3928" t="s">
        <v>24</v>
      </c>
      <c r="H185" s="3928" t="s">
        <v>24</v>
      </c>
      <c r="I185" s="3928" t="s">
        <v>811</v>
      </c>
    </row>
    <row r="186" spans="1:9" ht="11.25" customHeight="1">
      <c r="A186" s="3928" t="s">
        <v>2258</v>
      </c>
      <c r="B186" s="3928" t="s">
        <v>14</v>
      </c>
      <c r="C186" s="3928" t="s">
        <v>3005</v>
      </c>
      <c r="D186" s="3928" t="s">
        <v>3006</v>
      </c>
      <c r="E186" s="3928" t="s">
        <v>3007</v>
      </c>
      <c r="F186" s="3928" t="s">
        <v>2469</v>
      </c>
      <c r="G186" s="3928" t="s">
        <v>24</v>
      </c>
      <c r="H186" s="3928" t="s">
        <v>24</v>
      </c>
      <c r="I186" s="3928" t="s">
        <v>811</v>
      </c>
    </row>
    <row r="187" spans="1:9" ht="11.25" customHeight="1">
      <c r="A187" s="3928" t="s">
        <v>2258</v>
      </c>
      <c r="B187" s="3928" t="s">
        <v>14</v>
      </c>
      <c r="C187" s="3928" t="s">
        <v>3008</v>
      </c>
      <c r="D187" s="3928" t="s">
        <v>3009</v>
      </c>
      <c r="E187" s="3928" t="s">
        <v>3010</v>
      </c>
      <c r="F187" s="3928" t="s">
        <v>2429</v>
      </c>
      <c r="G187" s="3928" t="s">
        <v>3011</v>
      </c>
      <c r="H187" s="3928" t="s">
        <v>3012</v>
      </c>
      <c r="I187" s="3928" t="s">
        <v>811</v>
      </c>
    </row>
    <row r="188" spans="1:9" ht="11.25" customHeight="1">
      <c r="A188" s="3928" t="s">
        <v>2258</v>
      </c>
      <c r="B188" s="3928" t="s">
        <v>14</v>
      </c>
      <c r="C188" s="3928" t="s">
        <v>3013</v>
      </c>
      <c r="D188" s="3928" t="s">
        <v>3014</v>
      </c>
      <c r="E188" s="3928" t="s">
        <v>3015</v>
      </c>
      <c r="F188" s="3928" t="s">
        <v>2294</v>
      </c>
      <c r="G188" s="3928" t="s">
        <v>24</v>
      </c>
      <c r="H188" s="3928" t="s">
        <v>24</v>
      </c>
      <c r="I188" s="3928" t="s">
        <v>811</v>
      </c>
    </row>
    <row r="189" spans="1:9" ht="11.25" customHeight="1">
      <c r="A189" s="3928" t="s">
        <v>2258</v>
      </c>
      <c r="B189" s="3928" t="s">
        <v>14</v>
      </c>
      <c r="C189" s="3928" t="s">
        <v>3016</v>
      </c>
      <c r="D189" s="3928" t="s">
        <v>3017</v>
      </c>
      <c r="E189" s="3928" t="s">
        <v>3018</v>
      </c>
      <c r="F189" s="3928" t="s">
        <v>2965</v>
      </c>
      <c r="G189" s="3928" t="s">
        <v>3019</v>
      </c>
      <c r="H189" s="3928" t="s">
        <v>24</v>
      </c>
      <c r="I189" s="3928" t="s">
        <v>811</v>
      </c>
    </row>
    <row r="190" spans="1:9" ht="11.25" customHeight="1">
      <c r="A190" s="3928" t="s">
        <v>2258</v>
      </c>
      <c r="B190" s="3928" t="s">
        <v>14</v>
      </c>
      <c r="C190" s="3928" t="s">
        <v>3020</v>
      </c>
      <c r="D190" s="3928" t="s">
        <v>3021</v>
      </c>
      <c r="E190" s="3928" t="s">
        <v>3022</v>
      </c>
      <c r="F190" s="3928" t="s">
        <v>3023</v>
      </c>
      <c r="G190" s="3928" t="s">
        <v>3024</v>
      </c>
      <c r="H190" s="3928" t="s">
        <v>2263</v>
      </c>
      <c r="I190" s="3928" t="s">
        <v>811</v>
      </c>
    </row>
    <row r="191" spans="1:9" ht="11.25" customHeight="1">
      <c r="A191" s="3928" t="s">
        <v>2258</v>
      </c>
      <c r="B191" s="3928" t="s">
        <v>14</v>
      </c>
      <c r="C191" s="3928" t="s">
        <v>3025</v>
      </c>
      <c r="D191" s="3928" t="s">
        <v>3026</v>
      </c>
      <c r="E191" s="3928" t="s">
        <v>3027</v>
      </c>
      <c r="F191" s="3928" t="s">
        <v>2464</v>
      </c>
      <c r="G191" s="3928" t="s">
        <v>3028</v>
      </c>
      <c r="H191" s="3928" t="s">
        <v>24</v>
      </c>
      <c r="I191" s="3928" t="s">
        <v>811</v>
      </c>
    </row>
    <row r="192" spans="1:9" ht="11.25" customHeight="1">
      <c r="A192" s="3928" t="s">
        <v>2258</v>
      </c>
      <c r="B192" s="3928" t="s">
        <v>14</v>
      </c>
      <c r="C192" s="3928" t="s">
        <v>3029</v>
      </c>
      <c r="D192" s="3928" t="s">
        <v>3030</v>
      </c>
      <c r="E192" s="3928" t="s">
        <v>3031</v>
      </c>
      <c r="F192" s="3928" t="s">
        <v>2414</v>
      </c>
      <c r="G192" s="3928" t="s">
        <v>2420</v>
      </c>
      <c r="H192" s="3928" t="s">
        <v>24</v>
      </c>
      <c r="I192" s="3928" t="s">
        <v>811</v>
      </c>
    </row>
    <row r="193" spans="1:9" ht="11.25" customHeight="1">
      <c r="A193" s="3928" t="s">
        <v>2258</v>
      </c>
      <c r="B193" s="3928" t="s">
        <v>14</v>
      </c>
      <c r="C193" s="3928" t="s">
        <v>3032</v>
      </c>
      <c r="D193" s="3928" t="s">
        <v>3033</v>
      </c>
      <c r="E193" s="3928" t="s">
        <v>3034</v>
      </c>
      <c r="F193" s="3928" t="s">
        <v>2796</v>
      </c>
      <c r="G193" s="3928" t="s">
        <v>3035</v>
      </c>
      <c r="H193" s="3928" t="s">
        <v>2263</v>
      </c>
      <c r="I193" s="3928" t="s">
        <v>811</v>
      </c>
    </row>
    <row r="194" spans="1:9" ht="11.25" customHeight="1">
      <c r="A194" s="3928" t="s">
        <v>2258</v>
      </c>
      <c r="B194" s="3928" t="s">
        <v>14</v>
      </c>
      <c r="C194" s="3928" t="s">
        <v>3036</v>
      </c>
      <c r="D194" s="3928" t="s">
        <v>3037</v>
      </c>
      <c r="E194" s="3928" t="s">
        <v>3038</v>
      </c>
      <c r="F194" s="3928" t="s">
        <v>3039</v>
      </c>
      <c r="G194" s="3928" t="s">
        <v>3040</v>
      </c>
      <c r="H194" s="3928" t="s">
        <v>24</v>
      </c>
      <c r="I194" s="3928" t="s">
        <v>811</v>
      </c>
    </row>
    <row r="195" spans="1:9" ht="11.25" customHeight="1">
      <c r="A195" s="3928" t="s">
        <v>2258</v>
      </c>
      <c r="B195" s="3928" t="s">
        <v>14</v>
      </c>
      <c r="C195" s="3928" t="s">
        <v>3041</v>
      </c>
      <c r="D195" s="3928" t="s">
        <v>3042</v>
      </c>
      <c r="E195" s="3928" t="s">
        <v>3043</v>
      </c>
      <c r="F195" s="3928" t="s">
        <v>2486</v>
      </c>
      <c r="G195" s="3928" t="s">
        <v>24</v>
      </c>
      <c r="H195" s="3928" t="s">
        <v>24</v>
      </c>
      <c r="I195" s="3928" t="s">
        <v>811</v>
      </c>
    </row>
    <row r="196" spans="1:9" ht="11.25" customHeight="1">
      <c r="A196" s="3928" t="s">
        <v>2258</v>
      </c>
      <c r="B196" s="3928" t="s">
        <v>14</v>
      </c>
      <c r="C196" s="3928" t="s">
        <v>3044</v>
      </c>
      <c r="D196" s="3928" t="s">
        <v>3045</v>
      </c>
      <c r="E196" s="3928" t="s">
        <v>3046</v>
      </c>
      <c r="F196" s="3928" t="s">
        <v>2451</v>
      </c>
      <c r="G196" s="3928" t="s">
        <v>3047</v>
      </c>
      <c r="H196" s="3928" t="s">
        <v>24</v>
      </c>
      <c r="I196" s="3928" t="s">
        <v>811</v>
      </c>
    </row>
    <row r="197" spans="1:9" ht="11.25" customHeight="1">
      <c r="A197" s="3928" t="s">
        <v>2258</v>
      </c>
      <c r="B197" s="3928" t="s">
        <v>14</v>
      </c>
      <c r="C197" s="3928" t="s">
        <v>3048</v>
      </c>
      <c r="D197" s="3928" t="s">
        <v>3049</v>
      </c>
      <c r="E197" s="3928" t="s">
        <v>3050</v>
      </c>
      <c r="F197" s="3928" t="s">
        <v>3051</v>
      </c>
      <c r="G197" s="3928" t="s">
        <v>3052</v>
      </c>
      <c r="H197" s="3928" t="s">
        <v>24</v>
      </c>
      <c r="I197" s="3928" t="s">
        <v>811</v>
      </c>
    </row>
    <row r="198" spans="1:9" ht="11.25" customHeight="1">
      <c r="A198" s="3928" t="s">
        <v>2258</v>
      </c>
      <c r="B198" s="3928" t="s">
        <v>14</v>
      </c>
      <c r="C198" s="3928" t="s">
        <v>3053</v>
      </c>
      <c r="D198" s="3928" t="s">
        <v>3054</v>
      </c>
      <c r="E198" s="3928" t="s">
        <v>3055</v>
      </c>
      <c r="F198" s="3928" t="s">
        <v>2429</v>
      </c>
      <c r="G198" s="3928" t="s">
        <v>24</v>
      </c>
      <c r="H198" s="3928" t="s">
        <v>3056</v>
      </c>
      <c r="I198" s="3928" t="s">
        <v>811</v>
      </c>
    </row>
    <row r="199" spans="1:9" ht="11.25" customHeight="1">
      <c r="A199" s="3928" t="s">
        <v>2258</v>
      </c>
      <c r="B199" s="3928" t="s">
        <v>14</v>
      </c>
      <c r="C199" s="3928" t="s">
        <v>3057</v>
      </c>
      <c r="D199" s="3928" t="s">
        <v>3058</v>
      </c>
      <c r="E199" s="3928" t="s">
        <v>3059</v>
      </c>
      <c r="F199" s="3928" t="s">
        <v>2289</v>
      </c>
      <c r="G199" s="3928" t="s">
        <v>24</v>
      </c>
      <c r="H199" s="3928" t="s">
        <v>2263</v>
      </c>
      <c r="I199" s="3928" t="s">
        <v>811</v>
      </c>
    </row>
    <row r="200" spans="1:9" ht="11.25" customHeight="1">
      <c r="A200" s="3928" t="s">
        <v>2258</v>
      </c>
      <c r="B200" s="3928" t="s">
        <v>14</v>
      </c>
      <c r="C200" s="3928" t="s">
        <v>3060</v>
      </c>
      <c r="D200" s="3928" t="s">
        <v>3061</v>
      </c>
      <c r="E200" s="3928" t="s">
        <v>3062</v>
      </c>
      <c r="F200" s="3928" t="s">
        <v>3063</v>
      </c>
      <c r="G200" s="3928" t="s">
        <v>24</v>
      </c>
      <c r="H200" s="3928" t="s">
        <v>3064</v>
      </c>
      <c r="I200" s="3928" t="s">
        <v>811</v>
      </c>
    </row>
    <row r="201" spans="1:9" ht="11.25" customHeight="1">
      <c r="A201" s="3928" t="s">
        <v>2258</v>
      </c>
      <c r="B201" s="3928" t="s">
        <v>14</v>
      </c>
      <c r="C201" s="3928" t="s">
        <v>3065</v>
      </c>
      <c r="D201" s="3928" t="s">
        <v>3066</v>
      </c>
      <c r="E201" s="3928" t="s">
        <v>3067</v>
      </c>
      <c r="F201" s="3928" t="s">
        <v>2397</v>
      </c>
      <c r="G201" s="3928" t="s">
        <v>24</v>
      </c>
      <c r="H201" s="3928" t="s">
        <v>3068</v>
      </c>
      <c r="I201" s="3928" t="s">
        <v>811</v>
      </c>
    </row>
    <row r="202" spans="1:9" ht="11.25" customHeight="1">
      <c r="A202" s="3928" t="s">
        <v>2258</v>
      </c>
      <c r="B202" s="3928" t="s">
        <v>14</v>
      </c>
      <c r="C202" s="3928" t="s">
        <v>3069</v>
      </c>
      <c r="D202" s="3928" t="s">
        <v>3070</v>
      </c>
      <c r="E202" s="3928" t="s">
        <v>3071</v>
      </c>
      <c r="F202" s="3928" t="s">
        <v>2309</v>
      </c>
      <c r="G202" s="3928" t="s">
        <v>24</v>
      </c>
      <c r="H202" s="3928" t="s">
        <v>2263</v>
      </c>
      <c r="I202" s="3928" t="s">
        <v>811</v>
      </c>
    </row>
    <row r="203" spans="1:9" ht="11.25" customHeight="1">
      <c r="A203" s="3928" t="s">
        <v>2258</v>
      </c>
      <c r="B203" s="3928" t="s">
        <v>14</v>
      </c>
      <c r="C203" s="3928" t="s">
        <v>3072</v>
      </c>
      <c r="D203" s="3928" t="s">
        <v>3073</v>
      </c>
      <c r="E203" s="3928" t="s">
        <v>3074</v>
      </c>
      <c r="F203" s="3928" t="s">
        <v>2397</v>
      </c>
      <c r="G203" s="3928" t="s">
        <v>24</v>
      </c>
      <c r="H203" s="3928" t="s">
        <v>3075</v>
      </c>
      <c r="I203" s="3928" t="s">
        <v>811</v>
      </c>
    </row>
    <row r="204" spans="1:9" ht="11.25" customHeight="1">
      <c r="A204" s="3928" t="s">
        <v>2258</v>
      </c>
      <c r="B204" s="3928" t="s">
        <v>14</v>
      </c>
      <c r="C204" s="3928" t="s">
        <v>3076</v>
      </c>
      <c r="D204" s="3928" t="s">
        <v>3077</v>
      </c>
      <c r="E204" s="3928" t="s">
        <v>3078</v>
      </c>
      <c r="F204" s="3928" t="s">
        <v>2344</v>
      </c>
      <c r="G204" s="3928" t="s">
        <v>24</v>
      </c>
      <c r="H204" s="3928" t="s">
        <v>2263</v>
      </c>
      <c r="I204" s="3928" t="s">
        <v>811</v>
      </c>
    </row>
    <row r="205" spans="1:9" ht="11.25" customHeight="1">
      <c r="A205" s="3928" t="s">
        <v>2258</v>
      </c>
      <c r="B205" s="3928" t="s">
        <v>14</v>
      </c>
      <c r="C205" s="3928" t="s">
        <v>3079</v>
      </c>
      <c r="D205" s="3928" t="s">
        <v>3080</v>
      </c>
      <c r="E205" s="3928" t="s">
        <v>3081</v>
      </c>
      <c r="F205" s="3928" t="s">
        <v>3082</v>
      </c>
      <c r="G205" s="3928" t="s">
        <v>24</v>
      </c>
      <c r="H205" s="3928" t="s">
        <v>2263</v>
      </c>
      <c r="I205" s="3928" t="s">
        <v>811</v>
      </c>
    </row>
    <row r="206" spans="1:9" ht="11.25" customHeight="1">
      <c r="A206" s="3928" t="s">
        <v>2258</v>
      </c>
      <c r="B206" s="3928" t="s">
        <v>14</v>
      </c>
      <c r="C206" s="3928" t="s">
        <v>3083</v>
      </c>
      <c r="D206" s="3928" t="s">
        <v>3084</v>
      </c>
      <c r="E206" s="3928" t="s">
        <v>3085</v>
      </c>
      <c r="F206" s="3928" t="s">
        <v>3086</v>
      </c>
      <c r="G206" s="3928" t="s">
        <v>3087</v>
      </c>
      <c r="H206" s="3928" t="s">
        <v>24</v>
      </c>
      <c r="I206" s="3928" t="s">
        <v>811</v>
      </c>
    </row>
    <row r="207" spans="1:9" ht="11.25" customHeight="1">
      <c r="A207" s="3928" t="s">
        <v>2258</v>
      </c>
      <c r="B207" s="3928" t="s">
        <v>14</v>
      </c>
      <c r="C207" s="3928" t="s">
        <v>3088</v>
      </c>
      <c r="D207" s="3928" t="s">
        <v>3089</v>
      </c>
      <c r="E207" s="3928" t="s">
        <v>3090</v>
      </c>
      <c r="F207" s="3928" t="s">
        <v>2409</v>
      </c>
      <c r="G207" s="3928" t="s">
        <v>3091</v>
      </c>
      <c r="H207" s="3928" t="s">
        <v>3092</v>
      </c>
      <c r="I207" s="3928" t="s">
        <v>811</v>
      </c>
    </row>
    <row r="208" spans="1:9" ht="11.25" customHeight="1">
      <c r="A208" s="3928" t="s">
        <v>2258</v>
      </c>
      <c r="B208" s="3928" t="s">
        <v>14</v>
      </c>
      <c r="C208" s="3928" t="s">
        <v>3093</v>
      </c>
      <c r="D208" s="3928" t="s">
        <v>3094</v>
      </c>
      <c r="E208" s="3928" t="s">
        <v>3095</v>
      </c>
      <c r="F208" s="3928" t="s">
        <v>2464</v>
      </c>
      <c r="G208" s="3928" t="s">
        <v>3096</v>
      </c>
      <c r="H208" s="3928" t="s">
        <v>24</v>
      </c>
      <c r="I208" s="3928" t="s">
        <v>811</v>
      </c>
    </row>
    <row r="209" spans="1:9" ht="11.25" customHeight="1">
      <c r="A209" s="3928" t="s">
        <v>2258</v>
      </c>
      <c r="B209" s="3928" t="s">
        <v>14</v>
      </c>
      <c r="C209" s="3928" t="s">
        <v>3097</v>
      </c>
      <c r="D209" s="3928" t="s">
        <v>3098</v>
      </c>
      <c r="E209" s="3928" t="s">
        <v>3099</v>
      </c>
      <c r="F209" s="3928" t="s">
        <v>2929</v>
      </c>
      <c r="G209" s="3928" t="s">
        <v>3100</v>
      </c>
      <c r="H209" s="3928" t="s">
        <v>24</v>
      </c>
      <c r="I209" s="3928" t="s">
        <v>811</v>
      </c>
    </row>
    <row r="210" spans="1:9" ht="11.25" customHeight="1">
      <c r="A210" s="3928" t="s">
        <v>2258</v>
      </c>
      <c r="B210" s="3928" t="s">
        <v>14</v>
      </c>
      <c r="C210" s="3928" t="s">
        <v>3101</v>
      </c>
      <c r="D210" s="3928" t="s">
        <v>3102</v>
      </c>
      <c r="E210" s="3928" t="s">
        <v>2821</v>
      </c>
      <c r="F210" s="3928" t="s">
        <v>3103</v>
      </c>
      <c r="G210" s="3928" t="s">
        <v>24</v>
      </c>
      <c r="H210" s="3928" t="s">
        <v>24</v>
      </c>
      <c r="I210" s="3928" t="s">
        <v>811</v>
      </c>
    </row>
    <row r="211" spans="1:9" ht="11.25" customHeight="1">
      <c r="A211" s="3928" t="s">
        <v>2258</v>
      </c>
      <c r="B211" s="3928" t="s">
        <v>14</v>
      </c>
      <c r="C211" s="3928" t="s">
        <v>3104</v>
      </c>
      <c r="D211" s="3928" t="s">
        <v>3105</v>
      </c>
      <c r="E211" s="3928" t="s">
        <v>3106</v>
      </c>
      <c r="F211" s="3928" t="s">
        <v>2419</v>
      </c>
      <c r="G211" s="3928" t="s">
        <v>3107</v>
      </c>
      <c r="H211" s="3928" t="s">
        <v>24</v>
      </c>
      <c r="I211" s="3928" t="s">
        <v>811</v>
      </c>
    </row>
    <row r="212" spans="1:9" ht="11.25" customHeight="1">
      <c r="A212" s="3928" t="s">
        <v>2258</v>
      </c>
      <c r="B212" s="3928" t="s">
        <v>14</v>
      </c>
      <c r="C212" s="3928" t="s">
        <v>3108</v>
      </c>
      <c r="D212" s="3928" t="s">
        <v>3109</v>
      </c>
      <c r="E212" s="3928" t="s">
        <v>3110</v>
      </c>
      <c r="F212" s="3928" t="s">
        <v>2473</v>
      </c>
      <c r="G212" s="3928" t="s">
        <v>3111</v>
      </c>
      <c r="H212" s="3928" t="s">
        <v>24</v>
      </c>
      <c r="I212" s="3928" t="s">
        <v>811</v>
      </c>
    </row>
    <row r="213" spans="1:9" ht="11.25" customHeight="1">
      <c r="A213" s="3928" t="s">
        <v>2258</v>
      </c>
      <c r="B213" s="3928" t="s">
        <v>14</v>
      </c>
      <c r="C213" s="3928" t="s">
        <v>3112</v>
      </c>
      <c r="D213" s="3928" t="s">
        <v>3113</v>
      </c>
      <c r="E213" s="3928" t="s">
        <v>3114</v>
      </c>
      <c r="F213" s="3928" t="s">
        <v>3115</v>
      </c>
      <c r="G213" s="3928" t="s">
        <v>3116</v>
      </c>
      <c r="H213" s="3928" t="s">
        <v>24</v>
      </c>
      <c r="I213" s="3928" t="s">
        <v>811</v>
      </c>
    </row>
    <row r="214" spans="1:9" ht="11.25" customHeight="1">
      <c r="A214" s="3928" t="s">
        <v>2258</v>
      </c>
      <c r="B214" s="3928" t="s">
        <v>14</v>
      </c>
      <c r="C214" s="3928" t="s">
        <v>3117</v>
      </c>
      <c r="D214" s="3928" t="s">
        <v>3118</v>
      </c>
      <c r="E214" s="3928" t="s">
        <v>3114</v>
      </c>
      <c r="F214" s="3928" t="s">
        <v>2451</v>
      </c>
      <c r="G214" s="3928" t="s">
        <v>24</v>
      </c>
      <c r="H214" s="3928" t="s">
        <v>24</v>
      </c>
      <c r="I214" s="3928" t="s">
        <v>811</v>
      </c>
    </row>
    <row r="215" spans="1:9" ht="11.25" customHeight="1">
      <c r="A215" s="3928" t="s">
        <v>2258</v>
      </c>
      <c r="B215" s="3928" t="s">
        <v>14</v>
      </c>
      <c r="C215" s="3928" t="s">
        <v>3119</v>
      </c>
      <c r="D215" s="3928" t="s">
        <v>3120</v>
      </c>
      <c r="E215" s="3928" t="s">
        <v>2270</v>
      </c>
      <c r="F215" s="3928" t="s">
        <v>3121</v>
      </c>
      <c r="G215" s="3928" t="s">
        <v>24</v>
      </c>
      <c r="H215" s="3928" t="s">
        <v>2772</v>
      </c>
      <c r="I215" s="3928" t="s">
        <v>811</v>
      </c>
    </row>
    <row r="216" spans="1:9" ht="11.25" customHeight="1">
      <c r="A216" s="3928" t="s">
        <v>2258</v>
      </c>
      <c r="B216" s="3928" t="s">
        <v>14</v>
      </c>
      <c r="C216" s="3928" t="s">
        <v>3122</v>
      </c>
      <c r="D216" s="3928" t="s">
        <v>3123</v>
      </c>
      <c r="E216" s="3928" t="s">
        <v>3124</v>
      </c>
      <c r="F216" s="3928" t="s">
        <v>3125</v>
      </c>
      <c r="G216" s="3928" t="s">
        <v>3126</v>
      </c>
      <c r="H216" s="3928" t="s">
        <v>24</v>
      </c>
      <c r="I216" s="3928" t="s">
        <v>811</v>
      </c>
    </row>
    <row r="217" spans="1:9" ht="11.25" customHeight="1">
      <c r="A217" s="3928" t="s">
        <v>2258</v>
      </c>
      <c r="B217" s="3928" t="s">
        <v>14</v>
      </c>
      <c r="C217" s="3928" t="s">
        <v>3127</v>
      </c>
      <c r="D217" s="3928" t="s">
        <v>3128</v>
      </c>
      <c r="E217" s="3928" t="s">
        <v>3129</v>
      </c>
      <c r="F217" s="3928" t="s">
        <v>2688</v>
      </c>
      <c r="G217" s="3928" t="s">
        <v>24</v>
      </c>
      <c r="H217" s="3928" t="s">
        <v>2263</v>
      </c>
      <c r="I217" s="3928" t="s">
        <v>811</v>
      </c>
    </row>
    <row r="218" spans="1:9" ht="11.25" customHeight="1">
      <c r="A218" s="3928" t="s">
        <v>2258</v>
      </c>
      <c r="B218" s="3928" t="s">
        <v>14</v>
      </c>
      <c r="C218" s="3928" t="s">
        <v>3130</v>
      </c>
      <c r="D218" s="3928" t="s">
        <v>3131</v>
      </c>
      <c r="E218" s="3928" t="s">
        <v>3132</v>
      </c>
      <c r="F218" s="3928" t="s">
        <v>2469</v>
      </c>
      <c r="G218" s="3928" t="s">
        <v>24</v>
      </c>
      <c r="H218" s="3928" t="s">
        <v>24</v>
      </c>
      <c r="I218" s="3928" t="s">
        <v>811</v>
      </c>
    </row>
    <row r="219" spans="1:9" ht="11.25" customHeight="1">
      <c r="A219" s="3928" t="s">
        <v>2258</v>
      </c>
      <c r="B219" s="3928" t="s">
        <v>14</v>
      </c>
      <c r="C219" s="3928" t="s">
        <v>3133</v>
      </c>
      <c r="D219" s="3928" t="s">
        <v>3134</v>
      </c>
      <c r="E219" s="3928" t="s">
        <v>3135</v>
      </c>
      <c r="F219" s="3928" t="s">
        <v>2688</v>
      </c>
      <c r="G219" s="3928" t="s">
        <v>3136</v>
      </c>
      <c r="H219" s="3928" t="s">
        <v>2263</v>
      </c>
      <c r="I219" s="3928" t="s">
        <v>811</v>
      </c>
    </row>
    <row r="220" spans="1:9" ht="11.25" customHeight="1">
      <c r="A220" s="3928" t="s">
        <v>2258</v>
      </c>
      <c r="B220" s="3928" t="s">
        <v>14</v>
      </c>
      <c r="C220" s="3928" t="s">
        <v>3137</v>
      </c>
      <c r="D220" s="3928" t="s">
        <v>3138</v>
      </c>
      <c r="E220" s="3928" t="s">
        <v>3139</v>
      </c>
      <c r="F220" s="3928" t="s">
        <v>2473</v>
      </c>
      <c r="G220" s="3928" t="s">
        <v>3140</v>
      </c>
      <c r="H220" s="3928" t="s">
        <v>24</v>
      </c>
      <c r="I220" s="3928" t="s">
        <v>811</v>
      </c>
    </row>
    <row r="221" spans="1:9" ht="11.25" customHeight="1">
      <c r="A221" s="3928" t="s">
        <v>2258</v>
      </c>
      <c r="B221" s="3928" t="s">
        <v>14</v>
      </c>
      <c r="C221" s="3928" t="s">
        <v>3141</v>
      </c>
      <c r="D221" s="3928" t="s">
        <v>3142</v>
      </c>
      <c r="E221" s="3928" t="s">
        <v>3143</v>
      </c>
      <c r="F221" s="3928" t="s">
        <v>3144</v>
      </c>
      <c r="G221" s="3928" t="s">
        <v>24</v>
      </c>
      <c r="H221" s="3928" t="s">
        <v>2263</v>
      </c>
      <c r="I221" s="3928" t="s">
        <v>811</v>
      </c>
    </row>
    <row r="222" spans="1:9" ht="11.25" customHeight="1">
      <c r="A222" s="3928" t="s">
        <v>2258</v>
      </c>
      <c r="B222" s="3928" t="s">
        <v>14</v>
      </c>
      <c r="C222" s="3928" t="s">
        <v>3145</v>
      </c>
      <c r="D222" s="3928" t="s">
        <v>3142</v>
      </c>
      <c r="E222" s="3928" t="s">
        <v>3143</v>
      </c>
      <c r="F222" s="3928" t="s">
        <v>2688</v>
      </c>
      <c r="G222" s="3928" t="s">
        <v>24</v>
      </c>
      <c r="H222" s="3928" t="s">
        <v>2263</v>
      </c>
      <c r="I222" s="3928" t="s">
        <v>811</v>
      </c>
    </row>
    <row r="223" spans="1:9" ht="11.25" customHeight="1">
      <c r="A223" s="3928" t="s">
        <v>2258</v>
      </c>
      <c r="B223" s="3928" t="s">
        <v>14</v>
      </c>
      <c r="C223" s="3928" t="s">
        <v>3146</v>
      </c>
      <c r="D223" s="3928" t="s">
        <v>3147</v>
      </c>
      <c r="E223" s="3928" t="s">
        <v>3148</v>
      </c>
      <c r="F223" s="3928" t="s">
        <v>2325</v>
      </c>
      <c r="G223" s="3928" t="s">
        <v>24</v>
      </c>
      <c r="H223" s="3928" t="s">
        <v>24</v>
      </c>
      <c r="I223" s="3928" t="s">
        <v>811</v>
      </c>
    </row>
    <row r="224" spans="1:9" ht="11.25" customHeight="1">
      <c r="A224" s="3928" t="s">
        <v>2258</v>
      </c>
      <c r="B224" s="3928" t="s">
        <v>14</v>
      </c>
      <c r="C224" s="3928" t="s">
        <v>3149</v>
      </c>
      <c r="D224" s="3928" t="s">
        <v>3150</v>
      </c>
      <c r="E224" s="3928" t="s">
        <v>3151</v>
      </c>
      <c r="F224" s="3928" t="s">
        <v>2289</v>
      </c>
      <c r="G224" s="3928" t="s">
        <v>24</v>
      </c>
      <c r="H224" s="3928" t="s">
        <v>2263</v>
      </c>
      <c r="I224" s="3928" t="s">
        <v>811</v>
      </c>
    </row>
    <row r="225" spans="1:9" ht="11.25" customHeight="1">
      <c r="A225" s="3928" t="s">
        <v>2258</v>
      </c>
      <c r="B225" s="3928" t="s">
        <v>14</v>
      </c>
      <c r="C225" s="3928" t="s">
        <v>3152</v>
      </c>
      <c r="D225" s="3928" t="s">
        <v>3150</v>
      </c>
      <c r="E225" s="3928" t="s">
        <v>3151</v>
      </c>
      <c r="F225" s="3928" t="s">
        <v>3153</v>
      </c>
      <c r="G225" s="3928" t="s">
        <v>24</v>
      </c>
      <c r="H225" s="3928" t="s">
        <v>3154</v>
      </c>
      <c r="I225" s="3928" t="s">
        <v>811</v>
      </c>
    </row>
    <row r="226" spans="1:9" ht="11.25" customHeight="1">
      <c r="A226" s="3928" t="s">
        <v>2258</v>
      </c>
      <c r="B226" s="3928" t="s">
        <v>14</v>
      </c>
      <c r="C226" s="3928" t="s">
        <v>3155</v>
      </c>
      <c r="D226" s="3928" t="s">
        <v>3156</v>
      </c>
      <c r="E226" s="3928" t="s">
        <v>3157</v>
      </c>
      <c r="F226" s="3928" t="s">
        <v>2802</v>
      </c>
      <c r="G226" s="3928" t="s">
        <v>3158</v>
      </c>
      <c r="H226" s="3928" t="s">
        <v>2263</v>
      </c>
      <c r="I226" s="3928" t="s">
        <v>811</v>
      </c>
    </row>
    <row r="227" spans="1:9" ht="11.25" customHeight="1">
      <c r="A227" s="3928" t="s">
        <v>2258</v>
      </c>
      <c r="B227" s="3928" t="s">
        <v>14</v>
      </c>
      <c r="C227" s="3928" t="s">
        <v>3159</v>
      </c>
      <c r="D227" s="3928" t="s">
        <v>3160</v>
      </c>
      <c r="E227" s="3928" t="s">
        <v>3161</v>
      </c>
      <c r="F227" s="3928" t="s">
        <v>49</v>
      </c>
      <c r="G227" s="3928" t="s">
        <v>24</v>
      </c>
      <c r="H227" s="3928" t="s">
        <v>2263</v>
      </c>
      <c r="I227" s="3928" t="s">
        <v>811</v>
      </c>
    </row>
    <row r="228" spans="1:9" ht="11.25" customHeight="1">
      <c r="A228" s="3928" t="s">
        <v>2258</v>
      </c>
      <c r="B228" s="3928" t="s">
        <v>14</v>
      </c>
      <c r="C228" s="3928" t="s">
        <v>3162</v>
      </c>
      <c r="D228" s="3928" t="s">
        <v>3163</v>
      </c>
      <c r="E228" s="3928" t="s">
        <v>3164</v>
      </c>
      <c r="F228" s="3928" t="s">
        <v>49</v>
      </c>
      <c r="G228" s="3928" t="s">
        <v>24</v>
      </c>
      <c r="H228" s="3928" t="s">
        <v>24</v>
      </c>
      <c r="I228" s="3928" t="s">
        <v>811</v>
      </c>
    </row>
    <row r="229" spans="1:9" ht="11.25" customHeight="1">
      <c r="A229" s="3928" t="s">
        <v>2258</v>
      </c>
      <c r="B229" s="3928" t="s">
        <v>14</v>
      </c>
      <c r="C229" s="3928" t="s">
        <v>3165</v>
      </c>
      <c r="D229" s="3928" t="s">
        <v>3166</v>
      </c>
      <c r="E229" s="3928" t="s">
        <v>3167</v>
      </c>
      <c r="F229" s="3928" t="s">
        <v>49</v>
      </c>
      <c r="G229" s="3928" t="s">
        <v>24</v>
      </c>
      <c r="H229" s="3928" t="s">
        <v>3168</v>
      </c>
      <c r="I229" s="3928" t="s">
        <v>811</v>
      </c>
    </row>
    <row r="230" spans="1:9" ht="11.25" customHeight="1">
      <c r="A230" s="3928" t="s">
        <v>2258</v>
      </c>
      <c r="B230" s="3928" t="s">
        <v>14</v>
      </c>
      <c r="C230" s="3928" t="s">
        <v>3169</v>
      </c>
      <c r="D230" s="3928" t="s">
        <v>3170</v>
      </c>
      <c r="E230" s="3928" t="s">
        <v>3171</v>
      </c>
      <c r="F230" s="3928" t="s">
        <v>2289</v>
      </c>
      <c r="G230" s="3928" t="s">
        <v>24</v>
      </c>
      <c r="H230" s="3928" t="s">
        <v>2263</v>
      </c>
      <c r="I230" s="3928" t="s">
        <v>811</v>
      </c>
    </row>
    <row r="231" spans="1:9" ht="11.25" customHeight="1">
      <c r="A231" s="3928" t="s">
        <v>2258</v>
      </c>
      <c r="B231" s="3928" t="s">
        <v>14</v>
      </c>
      <c r="C231" s="3928" t="s">
        <v>3172</v>
      </c>
      <c r="D231" s="3928" t="s">
        <v>3173</v>
      </c>
      <c r="E231" s="3928" t="s">
        <v>3174</v>
      </c>
      <c r="F231" s="3928" t="s">
        <v>3175</v>
      </c>
      <c r="G231" s="3928" t="s">
        <v>24</v>
      </c>
      <c r="H231" s="3928" t="s">
        <v>2263</v>
      </c>
      <c r="I231" s="3928" t="s">
        <v>811</v>
      </c>
    </row>
    <row r="232" spans="1:9" ht="11.25" customHeight="1">
      <c r="A232" s="3928" t="s">
        <v>2258</v>
      </c>
      <c r="B232" s="3928" t="s">
        <v>14</v>
      </c>
      <c r="C232" s="3928" t="s">
        <v>3176</v>
      </c>
      <c r="D232" s="3928" t="s">
        <v>3177</v>
      </c>
      <c r="E232" s="3928" t="s">
        <v>3178</v>
      </c>
      <c r="F232" s="3928" t="s">
        <v>2675</v>
      </c>
      <c r="G232" s="3928" t="s">
        <v>3179</v>
      </c>
      <c r="H232" s="3928" t="s">
        <v>24</v>
      </c>
      <c r="I232" s="3928" t="s">
        <v>811</v>
      </c>
    </row>
    <row r="233" spans="1:9" ht="11.25" customHeight="1">
      <c r="A233" s="3928" t="s">
        <v>2258</v>
      </c>
      <c r="B233" s="3928" t="s">
        <v>14</v>
      </c>
      <c r="C233" s="3928" t="s">
        <v>3180</v>
      </c>
      <c r="D233" s="3928" t="s">
        <v>3181</v>
      </c>
      <c r="E233" s="3928" t="s">
        <v>3182</v>
      </c>
      <c r="F233" s="3928" t="s">
        <v>2289</v>
      </c>
      <c r="G233" s="3928" t="s">
        <v>24</v>
      </c>
      <c r="H233" s="3928" t="s">
        <v>3183</v>
      </c>
      <c r="I233" s="3928" t="s">
        <v>811</v>
      </c>
    </row>
    <row r="234" spans="1:9" ht="11.25" customHeight="1">
      <c r="A234" s="3928" t="s">
        <v>2258</v>
      </c>
      <c r="B234" s="3928" t="s">
        <v>14</v>
      </c>
      <c r="C234" s="3928" t="s">
        <v>3184</v>
      </c>
      <c r="D234" s="3928" t="s">
        <v>3185</v>
      </c>
      <c r="E234" s="3928" t="s">
        <v>3186</v>
      </c>
      <c r="F234" s="3928" t="s">
        <v>3082</v>
      </c>
      <c r="G234" s="3928" t="s">
        <v>24</v>
      </c>
      <c r="H234" s="3928" t="s">
        <v>2263</v>
      </c>
      <c r="I234" s="3928" t="s">
        <v>811</v>
      </c>
    </row>
    <row r="235" spans="1:9" ht="11.25" customHeight="1">
      <c r="A235" s="3928" t="s">
        <v>2258</v>
      </c>
      <c r="B235" s="3928" t="s">
        <v>14</v>
      </c>
      <c r="C235" s="3928" t="s">
        <v>3187</v>
      </c>
      <c r="D235" s="3928" t="s">
        <v>3188</v>
      </c>
      <c r="E235" s="3928" t="s">
        <v>3189</v>
      </c>
      <c r="F235" s="3928" t="s">
        <v>2438</v>
      </c>
      <c r="G235" s="3928" t="s">
        <v>3190</v>
      </c>
      <c r="H235" s="3928" t="s">
        <v>24</v>
      </c>
      <c r="I235" s="3928" t="s">
        <v>811</v>
      </c>
    </row>
    <row r="236" spans="1:9" ht="11.25" customHeight="1">
      <c r="A236" s="3928" t="s">
        <v>2258</v>
      </c>
      <c r="B236" s="3928" t="s">
        <v>14</v>
      </c>
      <c r="C236" s="3928" t="s">
        <v>3191</v>
      </c>
      <c r="D236" s="3928" t="s">
        <v>3192</v>
      </c>
      <c r="E236" s="3928" t="s">
        <v>3193</v>
      </c>
      <c r="F236" s="3928" t="s">
        <v>3194</v>
      </c>
      <c r="G236" s="3928" t="s">
        <v>24</v>
      </c>
      <c r="H236" s="3928" t="s">
        <v>24</v>
      </c>
      <c r="I236" s="3928" t="s">
        <v>811</v>
      </c>
    </row>
    <row r="237" spans="1:9" ht="11.25" customHeight="1">
      <c r="A237" s="3928" t="s">
        <v>2258</v>
      </c>
      <c r="B237" s="3928" t="s">
        <v>14</v>
      </c>
      <c r="C237" s="3928" t="s">
        <v>3195</v>
      </c>
      <c r="D237" s="3928" t="s">
        <v>3196</v>
      </c>
      <c r="E237" s="3928" t="s">
        <v>3193</v>
      </c>
      <c r="F237" s="3928" t="s">
        <v>3197</v>
      </c>
      <c r="G237" s="3928" t="s">
        <v>24</v>
      </c>
      <c r="H237" s="3928" t="s">
        <v>24</v>
      </c>
      <c r="I237" s="3928" t="s">
        <v>811</v>
      </c>
    </row>
    <row r="238" spans="1:9" ht="11.25" customHeight="1">
      <c r="A238" s="3928" t="s">
        <v>2258</v>
      </c>
      <c r="B238" s="3928" t="s">
        <v>14</v>
      </c>
      <c r="C238" s="3928" t="s">
        <v>3198</v>
      </c>
      <c r="D238" s="3928" t="s">
        <v>3199</v>
      </c>
      <c r="E238" s="3928" t="s">
        <v>3200</v>
      </c>
      <c r="F238" s="3928" t="s">
        <v>3201</v>
      </c>
      <c r="G238" s="3928" t="s">
        <v>24</v>
      </c>
      <c r="H238" s="3928" t="s">
        <v>24</v>
      </c>
      <c r="I238" s="3928" t="s">
        <v>811</v>
      </c>
    </row>
    <row r="239" spans="1:9" ht="11.25" customHeight="1">
      <c r="A239" s="3928" t="s">
        <v>2258</v>
      </c>
      <c r="B239" s="3928" t="s">
        <v>14</v>
      </c>
      <c r="C239" s="3928" t="s">
        <v>3202</v>
      </c>
      <c r="D239" s="3928" t="s">
        <v>3203</v>
      </c>
      <c r="E239" s="3928" t="s">
        <v>3204</v>
      </c>
      <c r="F239" s="3928" t="s">
        <v>3205</v>
      </c>
      <c r="G239" s="3928" t="s">
        <v>24</v>
      </c>
      <c r="H239" s="3928" t="s">
        <v>2263</v>
      </c>
      <c r="I239" s="3928" t="s">
        <v>811</v>
      </c>
    </row>
    <row r="240" spans="1:9" ht="11.25" customHeight="1">
      <c r="A240" s="3928" t="s">
        <v>2258</v>
      </c>
      <c r="B240" s="3928" t="s">
        <v>14</v>
      </c>
      <c r="C240" s="3928" t="s">
        <v>3206</v>
      </c>
      <c r="D240" s="3928" t="s">
        <v>3207</v>
      </c>
      <c r="E240" s="3928" t="s">
        <v>3208</v>
      </c>
      <c r="F240" s="3928" t="s">
        <v>2309</v>
      </c>
      <c r="G240" s="3928" t="s">
        <v>3209</v>
      </c>
      <c r="H240" s="3928" t="s">
        <v>24</v>
      </c>
      <c r="I240" s="3928" t="s">
        <v>811</v>
      </c>
    </row>
    <row r="241" spans="1:9" ht="11.25" customHeight="1">
      <c r="A241" s="3928" t="s">
        <v>2258</v>
      </c>
      <c r="B241" s="3928" t="s">
        <v>14</v>
      </c>
      <c r="C241" s="3928" t="s">
        <v>3210</v>
      </c>
      <c r="D241" s="3928" t="s">
        <v>3211</v>
      </c>
      <c r="E241" s="3928" t="s">
        <v>3212</v>
      </c>
      <c r="F241" s="3928" t="s">
        <v>2262</v>
      </c>
      <c r="G241" s="3928" t="s">
        <v>3213</v>
      </c>
      <c r="H241" s="3928" t="s">
        <v>2314</v>
      </c>
      <c r="I241" s="3928" t="s">
        <v>811</v>
      </c>
    </row>
    <row r="242" spans="1:9" ht="11.25" customHeight="1">
      <c r="A242" s="3928" t="s">
        <v>2258</v>
      </c>
      <c r="B242" s="3928" t="s">
        <v>14</v>
      </c>
      <c r="C242" s="3928" t="s">
        <v>3214</v>
      </c>
      <c r="D242" s="3928" t="s">
        <v>3215</v>
      </c>
      <c r="E242" s="3928" t="s">
        <v>3216</v>
      </c>
      <c r="F242" s="3928" t="s">
        <v>2419</v>
      </c>
      <c r="G242" s="3928" t="s">
        <v>24</v>
      </c>
      <c r="H242" s="3928" t="s">
        <v>3217</v>
      </c>
      <c r="I242" s="3928" t="s">
        <v>811</v>
      </c>
    </row>
    <row r="243" spans="1:9" ht="11.25" customHeight="1">
      <c r="A243" s="3928" t="s">
        <v>2258</v>
      </c>
      <c r="B243" s="3928" t="s">
        <v>14</v>
      </c>
      <c r="C243" s="3928" t="s">
        <v>3218</v>
      </c>
      <c r="D243" s="3928" t="s">
        <v>3219</v>
      </c>
      <c r="E243" s="3928" t="s">
        <v>3220</v>
      </c>
      <c r="F243" s="3928" t="s">
        <v>2701</v>
      </c>
      <c r="G243" s="3928" t="s">
        <v>24</v>
      </c>
      <c r="H243" s="3928" t="s">
        <v>2263</v>
      </c>
      <c r="I243" s="3928" t="s">
        <v>811</v>
      </c>
    </row>
    <row r="244" spans="1:9" ht="11.25" customHeight="1">
      <c r="A244" s="3928" t="s">
        <v>2258</v>
      </c>
      <c r="B244" s="3928" t="s">
        <v>14</v>
      </c>
      <c r="C244" s="3928" t="s">
        <v>3221</v>
      </c>
      <c r="D244" s="3928" t="s">
        <v>3222</v>
      </c>
      <c r="E244" s="3928" t="s">
        <v>3124</v>
      </c>
      <c r="F244" s="3928" t="s">
        <v>2746</v>
      </c>
      <c r="G244" s="3928" t="s">
        <v>24</v>
      </c>
      <c r="H244" s="3928" t="s">
        <v>2263</v>
      </c>
      <c r="I244" s="3928" t="s">
        <v>811</v>
      </c>
    </row>
    <row r="245" spans="1:9" ht="11.25" customHeight="1">
      <c r="A245" s="3928" t="s">
        <v>2258</v>
      </c>
      <c r="B245" s="3928" t="s">
        <v>14</v>
      </c>
      <c r="C245" s="3928" t="s">
        <v>3223</v>
      </c>
      <c r="D245" s="3928" t="s">
        <v>3224</v>
      </c>
      <c r="E245" s="3928" t="s">
        <v>3225</v>
      </c>
      <c r="F245" s="3928" t="s">
        <v>2262</v>
      </c>
      <c r="G245" s="3928" t="s">
        <v>24</v>
      </c>
      <c r="H245" s="3928" t="s">
        <v>2263</v>
      </c>
      <c r="I245" s="3928" t="s">
        <v>811</v>
      </c>
    </row>
    <row r="246" spans="1:9" ht="11.25" customHeight="1">
      <c r="A246" s="3928" t="s">
        <v>2258</v>
      </c>
      <c r="B246" s="3928" t="s">
        <v>14</v>
      </c>
      <c r="C246" s="3928" t="s">
        <v>3226</v>
      </c>
      <c r="D246" s="3928" t="s">
        <v>3227</v>
      </c>
      <c r="E246" s="3928" t="s">
        <v>3228</v>
      </c>
      <c r="F246" s="3928" t="s">
        <v>2294</v>
      </c>
      <c r="G246" s="3928" t="s">
        <v>24</v>
      </c>
      <c r="H246" s="3928" t="s">
        <v>24</v>
      </c>
      <c r="I246" s="3928" t="s">
        <v>811</v>
      </c>
    </row>
    <row r="247" spans="1:9" ht="11.25" customHeight="1">
      <c r="A247" s="3928" t="s">
        <v>2258</v>
      </c>
      <c r="B247" s="3928" t="s">
        <v>14</v>
      </c>
      <c r="C247" s="3928" t="s">
        <v>3229</v>
      </c>
      <c r="D247" s="3928" t="s">
        <v>3230</v>
      </c>
      <c r="E247" s="3928" t="s">
        <v>3231</v>
      </c>
      <c r="F247" s="3928" t="s">
        <v>2929</v>
      </c>
      <c r="G247" s="3928" t="s">
        <v>3232</v>
      </c>
      <c r="H247" s="3928" t="s">
        <v>24</v>
      </c>
      <c r="I247" s="3928" t="s">
        <v>811</v>
      </c>
    </row>
    <row r="248" spans="1:9" ht="11.25" customHeight="1">
      <c r="A248" s="3928" t="s">
        <v>2258</v>
      </c>
      <c r="B248" s="3928" t="s">
        <v>14</v>
      </c>
      <c r="C248" s="3928" t="s">
        <v>3233</v>
      </c>
      <c r="D248" s="3928" t="s">
        <v>3234</v>
      </c>
      <c r="E248" s="3928" t="s">
        <v>3235</v>
      </c>
      <c r="F248" s="3928" t="s">
        <v>2289</v>
      </c>
      <c r="G248" s="3928" t="s">
        <v>3236</v>
      </c>
      <c r="H248" s="3928" t="s">
        <v>24</v>
      </c>
      <c r="I248" s="3928" t="s">
        <v>811</v>
      </c>
    </row>
    <row r="249" spans="1:9" ht="11.25" customHeight="1">
      <c r="A249" s="3928" t="s">
        <v>2258</v>
      </c>
      <c r="B249" s="3928" t="s">
        <v>14</v>
      </c>
      <c r="C249" s="3928" t="s">
        <v>3237</v>
      </c>
      <c r="D249" s="3928" t="s">
        <v>3238</v>
      </c>
      <c r="E249" s="3928" t="s">
        <v>3239</v>
      </c>
      <c r="F249" s="3928" t="s">
        <v>2675</v>
      </c>
      <c r="G249" s="3928" t="s">
        <v>24</v>
      </c>
      <c r="H249" s="3928" t="s">
        <v>2263</v>
      </c>
      <c r="I249" s="3928" t="s">
        <v>811</v>
      </c>
    </row>
    <row r="250" spans="1:9" ht="11.25" customHeight="1">
      <c r="A250" s="3928" t="s">
        <v>2258</v>
      </c>
      <c r="B250" s="3928" t="s">
        <v>14</v>
      </c>
      <c r="C250" s="3928" t="s">
        <v>3240</v>
      </c>
      <c r="D250" s="3928" t="s">
        <v>3241</v>
      </c>
      <c r="E250" s="3928" t="s">
        <v>3242</v>
      </c>
      <c r="F250" s="3928" t="s">
        <v>2419</v>
      </c>
      <c r="G250" s="3928" t="s">
        <v>24</v>
      </c>
      <c r="H250" s="3928" t="s">
        <v>2263</v>
      </c>
      <c r="I250" s="3928" t="s">
        <v>811</v>
      </c>
    </row>
    <row r="251" spans="1:9" ht="11.25" customHeight="1">
      <c r="A251" s="3928" t="s">
        <v>2258</v>
      </c>
      <c r="B251" s="3928" t="s">
        <v>14</v>
      </c>
      <c r="C251" s="3928" t="s">
        <v>3243</v>
      </c>
      <c r="D251" s="3928" t="s">
        <v>3244</v>
      </c>
      <c r="E251" s="3928" t="s">
        <v>3245</v>
      </c>
      <c r="F251" s="3928" t="s">
        <v>2929</v>
      </c>
      <c r="G251" s="3928" t="s">
        <v>24</v>
      </c>
      <c r="H251" s="3928" t="s">
        <v>24</v>
      </c>
      <c r="I251" s="3928" t="s">
        <v>811</v>
      </c>
    </row>
    <row r="252" spans="1:9" ht="11.25" customHeight="1">
      <c r="A252" s="3928" t="s">
        <v>2258</v>
      </c>
      <c r="B252" s="3928" t="s">
        <v>14</v>
      </c>
      <c r="C252" s="3928" t="s">
        <v>3246</v>
      </c>
      <c r="D252" s="3928" t="s">
        <v>3247</v>
      </c>
      <c r="E252" s="3928" t="s">
        <v>3248</v>
      </c>
      <c r="F252" s="3928" t="s">
        <v>2675</v>
      </c>
      <c r="G252" s="3928" t="s">
        <v>3249</v>
      </c>
      <c r="H252" s="3928" t="s">
        <v>24</v>
      </c>
      <c r="I252" s="3928" t="s">
        <v>811</v>
      </c>
    </row>
    <row r="253" spans="1:9" ht="11.25" customHeight="1">
      <c r="A253" s="3928" t="s">
        <v>2258</v>
      </c>
      <c r="B253" s="3928" t="s">
        <v>14</v>
      </c>
      <c r="C253" s="3928" t="s">
        <v>3250</v>
      </c>
      <c r="D253" s="3928" t="s">
        <v>3251</v>
      </c>
      <c r="E253" s="3928" t="s">
        <v>3252</v>
      </c>
      <c r="F253" s="3928" t="s">
        <v>2746</v>
      </c>
      <c r="G253" s="3928" t="s">
        <v>24</v>
      </c>
      <c r="H253" s="3928" t="s">
        <v>2263</v>
      </c>
      <c r="I253" s="3928" t="s">
        <v>811</v>
      </c>
    </row>
    <row r="254" spans="1:9" ht="11.25" customHeight="1">
      <c r="A254" s="3928" t="s">
        <v>2258</v>
      </c>
      <c r="B254" s="3928" t="s">
        <v>14</v>
      </c>
      <c r="C254" s="3928" t="s">
        <v>3253</v>
      </c>
      <c r="D254" s="3928" t="s">
        <v>3254</v>
      </c>
      <c r="E254" s="3928" t="s">
        <v>3255</v>
      </c>
      <c r="F254" s="3928" t="s">
        <v>2409</v>
      </c>
      <c r="G254" s="3928" t="s">
        <v>24</v>
      </c>
      <c r="H254" s="3928" t="s">
        <v>2263</v>
      </c>
      <c r="I254" s="3928" t="s">
        <v>811</v>
      </c>
    </row>
    <row r="255" spans="1:9" ht="11.25" customHeight="1">
      <c r="A255" s="3928" t="s">
        <v>2258</v>
      </c>
      <c r="B255" s="3928" t="s">
        <v>14</v>
      </c>
      <c r="C255" s="3928" t="s">
        <v>3256</v>
      </c>
      <c r="D255" s="3928" t="s">
        <v>3257</v>
      </c>
      <c r="E255" s="3928" t="s">
        <v>3258</v>
      </c>
      <c r="F255" s="3928" t="s">
        <v>2262</v>
      </c>
      <c r="G255" s="3928" t="s">
        <v>24</v>
      </c>
      <c r="H255" s="3928" t="s">
        <v>24</v>
      </c>
      <c r="I255" s="3928" t="s">
        <v>811</v>
      </c>
    </row>
    <row r="256" spans="1:9" ht="11.25" customHeight="1">
      <c r="A256" s="3928" t="s">
        <v>2258</v>
      </c>
      <c r="B256" s="3928" t="s">
        <v>14</v>
      </c>
      <c r="C256" s="3928" t="s">
        <v>3259</v>
      </c>
      <c r="D256" s="3928" t="s">
        <v>3260</v>
      </c>
      <c r="E256" s="3928" t="s">
        <v>3261</v>
      </c>
      <c r="F256" s="3928" t="s">
        <v>3082</v>
      </c>
      <c r="G256" s="3928" t="s">
        <v>24</v>
      </c>
      <c r="H256" s="3928" t="s">
        <v>24</v>
      </c>
      <c r="I256" s="3928" t="s">
        <v>811</v>
      </c>
    </row>
    <row r="257" spans="1:9" ht="11.25" customHeight="1">
      <c r="A257" s="3928" t="s">
        <v>2258</v>
      </c>
      <c r="B257" s="3928" t="s">
        <v>14</v>
      </c>
      <c r="C257" s="3928" t="s">
        <v>3262</v>
      </c>
      <c r="D257" s="3928" t="s">
        <v>3263</v>
      </c>
      <c r="E257" s="3928" t="s">
        <v>3264</v>
      </c>
      <c r="F257" s="3928" t="s">
        <v>2397</v>
      </c>
      <c r="G257" s="3928" t="s">
        <v>24</v>
      </c>
      <c r="H257" s="3928" t="s">
        <v>2263</v>
      </c>
      <c r="I257" s="3928" t="s">
        <v>811</v>
      </c>
    </row>
    <row r="258" spans="1:9" ht="11.25" customHeight="1">
      <c r="A258" s="3928" t="s">
        <v>2258</v>
      </c>
      <c r="B258" s="3928" t="s">
        <v>14</v>
      </c>
      <c r="C258" s="3928" t="s">
        <v>3265</v>
      </c>
      <c r="D258" s="3928" t="s">
        <v>3266</v>
      </c>
      <c r="E258" s="3928" t="s">
        <v>3267</v>
      </c>
      <c r="F258" s="3928" t="s">
        <v>2424</v>
      </c>
      <c r="G258" s="3928" t="s">
        <v>24</v>
      </c>
      <c r="H258" s="3928" t="s">
        <v>24</v>
      </c>
      <c r="I258" s="3928" t="s">
        <v>811</v>
      </c>
    </row>
    <row r="259" spans="1:9" ht="11.25" customHeight="1">
      <c r="A259" s="3928" t="s">
        <v>2258</v>
      </c>
      <c r="B259" s="3928" t="s">
        <v>14</v>
      </c>
      <c r="C259" s="3928" t="s">
        <v>3268</v>
      </c>
      <c r="D259" s="3928" t="s">
        <v>3269</v>
      </c>
      <c r="E259" s="3928" t="s">
        <v>3270</v>
      </c>
      <c r="F259" s="3928" t="s">
        <v>2473</v>
      </c>
      <c r="G259" s="3928" t="s">
        <v>3271</v>
      </c>
      <c r="H259" s="3928" t="s">
        <v>2263</v>
      </c>
      <c r="I259" s="3928" t="s">
        <v>811</v>
      </c>
    </row>
    <row r="260" spans="1:9" ht="11.25" customHeight="1">
      <c r="A260" s="3928" t="s">
        <v>2258</v>
      </c>
      <c r="B260" s="3928" t="s">
        <v>14</v>
      </c>
      <c r="C260" s="3928" t="s">
        <v>3272</v>
      </c>
      <c r="D260" s="3928" t="s">
        <v>3273</v>
      </c>
      <c r="E260" s="3928" t="s">
        <v>3274</v>
      </c>
      <c r="F260" s="3928" t="s">
        <v>3275</v>
      </c>
      <c r="G260" s="3928" t="s">
        <v>3276</v>
      </c>
      <c r="H260" s="3928" t="s">
        <v>24</v>
      </c>
      <c r="I260" s="3928" t="s">
        <v>811</v>
      </c>
    </row>
    <row r="261" spans="1:9" ht="11.25" customHeight="1">
      <c r="A261" s="3928" t="s">
        <v>2258</v>
      </c>
      <c r="B261" s="3928" t="s">
        <v>14</v>
      </c>
      <c r="C261" s="3928" t="s">
        <v>3277</v>
      </c>
      <c r="D261" s="3928" t="s">
        <v>3278</v>
      </c>
      <c r="E261" s="3928" t="s">
        <v>3279</v>
      </c>
      <c r="F261" s="3928" t="s">
        <v>2397</v>
      </c>
      <c r="G261" s="3928" t="s">
        <v>24</v>
      </c>
      <c r="H261" s="3928" t="s">
        <v>2263</v>
      </c>
      <c r="I261" s="3928" t="s">
        <v>811</v>
      </c>
    </row>
    <row r="262" spans="1:9" ht="11.25" customHeight="1">
      <c r="A262" s="3928" t="s">
        <v>2258</v>
      </c>
      <c r="B262" s="3928" t="s">
        <v>14</v>
      </c>
      <c r="C262" s="3928" t="s">
        <v>3280</v>
      </c>
      <c r="D262" s="3928" t="s">
        <v>3281</v>
      </c>
      <c r="E262" s="3928" t="s">
        <v>3282</v>
      </c>
      <c r="F262" s="3928" t="s">
        <v>2409</v>
      </c>
      <c r="G262" s="3928" t="s">
        <v>3283</v>
      </c>
      <c r="H262" s="3928" t="s">
        <v>24</v>
      </c>
      <c r="I262" s="3928" t="s">
        <v>811</v>
      </c>
    </row>
    <row r="263" spans="1:9" ht="11.25" customHeight="1">
      <c r="A263" s="3928" t="s">
        <v>2258</v>
      </c>
      <c r="B263" s="3928" t="s">
        <v>14</v>
      </c>
      <c r="C263" s="3928" t="s">
        <v>3284</v>
      </c>
      <c r="D263" s="3928" t="s">
        <v>3285</v>
      </c>
      <c r="E263" s="3928" t="s">
        <v>3286</v>
      </c>
      <c r="F263" s="3928" t="s">
        <v>3287</v>
      </c>
      <c r="G263" s="3928" t="s">
        <v>24</v>
      </c>
      <c r="H263" s="3928" t="s">
        <v>2263</v>
      </c>
      <c r="I263" s="3928" t="s">
        <v>811</v>
      </c>
    </row>
    <row r="264" spans="1:9" ht="11.25" customHeight="1">
      <c r="A264" s="3928" t="s">
        <v>2258</v>
      </c>
      <c r="B264" s="3928" t="s">
        <v>14</v>
      </c>
      <c r="C264" s="3928" t="s">
        <v>3288</v>
      </c>
      <c r="D264" s="3928" t="s">
        <v>3289</v>
      </c>
      <c r="E264" s="3928" t="s">
        <v>3290</v>
      </c>
      <c r="F264" s="3928" t="s">
        <v>2675</v>
      </c>
      <c r="G264" s="3928" t="s">
        <v>24</v>
      </c>
      <c r="H264" s="3928" t="s">
        <v>24</v>
      </c>
      <c r="I264" s="3928" t="s">
        <v>811</v>
      </c>
    </row>
    <row r="265" spans="1:9" ht="11.25" customHeight="1">
      <c r="A265" s="3928" t="s">
        <v>2258</v>
      </c>
      <c r="B265" s="3928" t="s">
        <v>14</v>
      </c>
      <c r="C265" s="3928" t="s">
        <v>3291</v>
      </c>
      <c r="D265" s="3928" t="s">
        <v>3292</v>
      </c>
      <c r="E265" s="3928" t="s">
        <v>3293</v>
      </c>
      <c r="F265" s="3928" t="s">
        <v>2419</v>
      </c>
      <c r="G265" s="3928" t="s">
        <v>24</v>
      </c>
      <c r="H265" s="3928" t="s">
        <v>2263</v>
      </c>
      <c r="I265" s="3928" t="s">
        <v>811</v>
      </c>
    </row>
    <row r="266" spans="1:9" ht="11.25" customHeight="1">
      <c r="A266" s="3928" t="s">
        <v>2258</v>
      </c>
      <c r="B266" s="3928" t="s">
        <v>14</v>
      </c>
      <c r="C266" s="3928" t="s">
        <v>3294</v>
      </c>
      <c r="D266" s="3928" t="s">
        <v>3295</v>
      </c>
      <c r="E266" s="3928" t="s">
        <v>3296</v>
      </c>
      <c r="F266" s="3928" t="s">
        <v>2397</v>
      </c>
      <c r="G266" s="3928" t="s">
        <v>24</v>
      </c>
      <c r="H266" s="3928" t="s">
        <v>3297</v>
      </c>
      <c r="I266" s="3928" t="s">
        <v>811</v>
      </c>
    </row>
    <row r="267" spans="1:9" ht="11.25" customHeight="1">
      <c r="A267" s="3928" t="s">
        <v>2258</v>
      </c>
      <c r="B267" s="3928" t="s">
        <v>14</v>
      </c>
      <c r="C267" s="3928" t="s">
        <v>3298</v>
      </c>
      <c r="D267" s="3928" t="s">
        <v>3299</v>
      </c>
      <c r="E267" s="3928" t="s">
        <v>3300</v>
      </c>
      <c r="F267" s="3928" t="s">
        <v>2299</v>
      </c>
      <c r="G267" s="3928" t="s">
        <v>24</v>
      </c>
      <c r="H267" s="3928" t="s">
        <v>2263</v>
      </c>
      <c r="I267" s="3928" t="s">
        <v>811</v>
      </c>
    </row>
    <row r="268" spans="1:9" ht="11.25" customHeight="1">
      <c r="A268" s="3928" t="s">
        <v>2258</v>
      </c>
      <c r="B268" s="3928" t="s">
        <v>14</v>
      </c>
      <c r="C268" s="3928" t="s">
        <v>3301</v>
      </c>
      <c r="D268" s="3928" t="s">
        <v>3302</v>
      </c>
      <c r="E268" s="3928" t="s">
        <v>3303</v>
      </c>
      <c r="F268" s="3928" t="s">
        <v>2701</v>
      </c>
      <c r="G268" s="3928" t="s">
        <v>24</v>
      </c>
      <c r="H268" s="3928" t="s">
        <v>2263</v>
      </c>
      <c r="I268" s="3928" t="s">
        <v>811</v>
      </c>
    </row>
    <row r="269" spans="1:9" ht="11.25" customHeight="1">
      <c r="A269" s="3928" t="s">
        <v>2258</v>
      </c>
      <c r="B269" s="3928" t="s">
        <v>14</v>
      </c>
      <c r="C269" s="3928" t="s">
        <v>3304</v>
      </c>
      <c r="D269" s="3928" t="s">
        <v>3305</v>
      </c>
      <c r="E269" s="3928" t="s">
        <v>3306</v>
      </c>
      <c r="F269" s="3928" t="s">
        <v>2429</v>
      </c>
      <c r="G269" s="3928" t="s">
        <v>24</v>
      </c>
      <c r="H269" s="3928" t="s">
        <v>2263</v>
      </c>
      <c r="I269" s="3928" t="s">
        <v>811</v>
      </c>
    </row>
    <row r="270" spans="1:9" ht="11.25" customHeight="1">
      <c r="A270" s="3928" t="s">
        <v>2258</v>
      </c>
      <c r="B270" s="3928" t="s">
        <v>14</v>
      </c>
      <c r="C270" s="3928" t="s">
        <v>3307</v>
      </c>
      <c r="D270" s="3928" t="s">
        <v>3308</v>
      </c>
      <c r="E270" s="3928" t="s">
        <v>3309</v>
      </c>
      <c r="F270" s="3928" t="s">
        <v>3310</v>
      </c>
      <c r="G270" s="3928" t="s">
        <v>24</v>
      </c>
      <c r="H270" s="3928" t="s">
        <v>2263</v>
      </c>
      <c r="I270" s="3928" t="s">
        <v>811</v>
      </c>
    </row>
    <row r="271" spans="1:9" ht="11.25" customHeight="1">
      <c r="A271" s="3928" t="s">
        <v>2258</v>
      </c>
      <c r="B271" s="3928" t="s">
        <v>14</v>
      </c>
      <c r="C271" s="3928" t="s">
        <v>3311</v>
      </c>
      <c r="D271" s="3928" t="s">
        <v>3312</v>
      </c>
      <c r="E271" s="3928" t="s">
        <v>2334</v>
      </c>
      <c r="F271" s="3928" t="s">
        <v>2513</v>
      </c>
      <c r="G271" s="3928" t="s">
        <v>24</v>
      </c>
      <c r="H271" s="3928" t="s">
        <v>24</v>
      </c>
      <c r="I271" s="3928" t="s">
        <v>811</v>
      </c>
    </row>
    <row r="272" spans="1:9" ht="11.25" customHeight="1">
      <c r="A272" s="3928" t="s">
        <v>2258</v>
      </c>
      <c r="B272" s="3928" t="s">
        <v>14</v>
      </c>
      <c r="C272" s="3928" t="s">
        <v>3313</v>
      </c>
      <c r="D272" s="3928" t="s">
        <v>3314</v>
      </c>
      <c r="E272" s="3928" t="s">
        <v>3315</v>
      </c>
      <c r="F272" s="3928" t="s">
        <v>2473</v>
      </c>
      <c r="G272" s="3928" t="s">
        <v>24</v>
      </c>
      <c r="H272" s="3928" t="s">
        <v>2475</v>
      </c>
      <c r="I272" s="3928" t="s">
        <v>811</v>
      </c>
    </row>
    <row r="273" spans="1:9" ht="11.25" customHeight="1">
      <c r="A273" s="3928" t="s">
        <v>2258</v>
      </c>
      <c r="B273" s="3928" t="s">
        <v>14</v>
      </c>
      <c r="C273" s="3928" t="s">
        <v>3316</v>
      </c>
      <c r="D273" s="3928" t="s">
        <v>3317</v>
      </c>
      <c r="E273" s="3928" t="s">
        <v>3318</v>
      </c>
      <c r="F273" s="3928" t="s">
        <v>3319</v>
      </c>
      <c r="G273" s="3928" t="s">
        <v>24</v>
      </c>
      <c r="H273" s="3928" t="s">
        <v>2263</v>
      </c>
      <c r="I273" s="3928" t="s">
        <v>811</v>
      </c>
    </row>
    <row r="274" spans="1:9" ht="11.25" customHeight="1">
      <c r="A274" s="3928" t="s">
        <v>2258</v>
      </c>
      <c r="B274" s="3928" t="s">
        <v>14</v>
      </c>
      <c r="C274" s="3928" t="s">
        <v>3320</v>
      </c>
      <c r="D274" s="3928" t="s">
        <v>3321</v>
      </c>
      <c r="E274" s="3928" t="s">
        <v>3322</v>
      </c>
      <c r="F274" s="3928" t="s">
        <v>3323</v>
      </c>
      <c r="G274" s="3928" t="s">
        <v>3324</v>
      </c>
      <c r="H274" s="3928" t="s">
        <v>3325</v>
      </c>
      <c r="I274" s="3928" t="s">
        <v>811</v>
      </c>
    </row>
    <row r="275" spans="1:9" ht="11.25" customHeight="1">
      <c r="A275" s="3928" t="s">
        <v>2258</v>
      </c>
      <c r="B275" s="3928" t="s">
        <v>14</v>
      </c>
      <c r="C275" s="3928" t="s">
        <v>3326</v>
      </c>
      <c r="D275" s="3928" t="s">
        <v>3327</v>
      </c>
      <c r="E275" s="3928" t="s">
        <v>3328</v>
      </c>
      <c r="F275" s="3928" t="s">
        <v>664</v>
      </c>
      <c r="G275" s="3928" t="s">
        <v>3329</v>
      </c>
      <c r="H275" s="3928" t="s">
        <v>24</v>
      </c>
      <c r="I275" s="3928" t="s">
        <v>811</v>
      </c>
    </row>
    <row r="276" spans="1:9" ht="11.25" customHeight="1">
      <c r="A276" s="3928" t="s">
        <v>2258</v>
      </c>
      <c r="B276" s="3928" t="s">
        <v>14</v>
      </c>
      <c r="C276" s="3928" t="s">
        <v>3330</v>
      </c>
      <c r="D276" s="3928" t="s">
        <v>3331</v>
      </c>
      <c r="E276" s="3928" t="s">
        <v>3332</v>
      </c>
      <c r="F276" s="3928" t="s">
        <v>664</v>
      </c>
      <c r="G276" s="3928" t="s">
        <v>3333</v>
      </c>
      <c r="H276" s="3928" t="s">
        <v>24</v>
      </c>
      <c r="I276" s="3928" t="s">
        <v>811</v>
      </c>
    </row>
    <row r="277" spans="1:9" ht="11.25" customHeight="1">
      <c r="A277" s="3928" t="s">
        <v>2258</v>
      </c>
      <c r="B277" s="3928" t="s">
        <v>14</v>
      </c>
      <c r="C277" s="3928" t="s">
        <v>3334</v>
      </c>
      <c r="D277" s="3928" t="s">
        <v>3335</v>
      </c>
      <c r="E277" s="3928" t="s">
        <v>3336</v>
      </c>
      <c r="F277" s="3928" t="s">
        <v>664</v>
      </c>
      <c r="G277" s="3928" t="s">
        <v>3337</v>
      </c>
      <c r="H277" s="3928" t="s">
        <v>24</v>
      </c>
      <c r="I277" s="3928" t="s">
        <v>811</v>
      </c>
    </row>
    <row r="278" spans="1:9" ht="11.25" customHeight="1">
      <c r="A278" s="3928" t="s">
        <v>2258</v>
      </c>
      <c r="B278" s="3928" t="s">
        <v>14</v>
      </c>
      <c r="C278" s="3928" t="s">
        <v>24</v>
      </c>
      <c r="D278" s="3928" t="s">
        <v>3338</v>
      </c>
      <c r="E278" s="3928" t="s">
        <v>3339</v>
      </c>
      <c r="F278" s="3928" t="s">
        <v>2294</v>
      </c>
      <c r="G278" s="3928" t="s">
        <v>24</v>
      </c>
      <c r="H278" s="3928" t="s">
        <v>24</v>
      </c>
      <c r="I278" s="3928" t="s">
        <v>811</v>
      </c>
    </row>
    <row r="279" spans="1:9" ht="11.25" customHeight="1">
      <c r="A279" s="3928" t="s">
        <v>2258</v>
      </c>
      <c r="B279" s="3928" t="s">
        <v>14</v>
      </c>
      <c r="C279" s="3928" t="s">
        <v>3340</v>
      </c>
      <c r="D279" s="3928" t="s">
        <v>3341</v>
      </c>
      <c r="E279" s="3928" t="s">
        <v>3342</v>
      </c>
      <c r="F279" s="3928" t="s">
        <v>2796</v>
      </c>
      <c r="G279" s="3928" t="s">
        <v>24</v>
      </c>
      <c r="H279" s="3928" t="s">
        <v>3068</v>
      </c>
      <c r="I279" s="3928" t="s">
        <v>811</v>
      </c>
    </row>
    <row r="280" spans="1:9" ht="11.25" customHeight="1">
      <c r="A280" s="3928" t="s">
        <v>2258</v>
      </c>
      <c r="B280" s="3928" t="s">
        <v>14</v>
      </c>
      <c r="C280" s="3928" t="s">
        <v>3343</v>
      </c>
      <c r="D280" s="3928" t="s">
        <v>3344</v>
      </c>
      <c r="E280" s="3928" t="s">
        <v>3345</v>
      </c>
      <c r="F280" s="3928" t="s">
        <v>2289</v>
      </c>
      <c r="G280" s="3928" t="s">
        <v>24</v>
      </c>
      <c r="H280" s="3928" t="s">
        <v>2263</v>
      </c>
      <c r="I280" s="3928" t="s">
        <v>811</v>
      </c>
    </row>
    <row r="281" spans="1:9" ht="11.25" customHeight="1">
      <c r="A281" s="3928" t="s">
        <v>2258</v>
      </c>
      <c r="B281" s="3928" t="s">
        <v>14</v>
      </c>
      <c r="C281" s="3928" t="s">
        <v>3346</v>
      </c>
      <c r="D281" s="3928" t="s">
        <v>3347</v>
      </c>
      <c r="E281" s="3928" t="s">
        <v>3348</v>
      </c>
      <c r="F281" s="3928" t="s">
        <v>2397</v>
      </c>
      <c r="G281" s="3928" t="s">
        <v>24</v>
      </c>
      <c r="H281" s="3928" t="s">
        <v>3349</v>
      </c>
      <c r="I281" s="3928" t="s">
        <v>811</v>
      </c>
    </row>
    <row r="282" spans="1:9" ht="11.25" customHeight="1">
      <c r="A282" s="3928" t="s">
        <v>2258</v>
      </c>
      <c r="B282" s="3928" t="s">
        <v>14</v>
      </c>
      <c r="C282" s="3928" t="s">
        <v>3350</v>
      </c>
      <c r="D282" s="3928" t="s">
        <v>3351</v>
      </c>
      <c r="E282" s="3928" t="s">
        <v>3352</v>
      </c>
      <c r="F282" s="3928" t="s">
        <v>3353</v>
      </c>
      <c r="G282" s="3928" t="s">
        <v>3354</v>
      </c>
      <c r="H282" s="3928" t="s">
        <v>24</v>
      </c>
      <c r="I282" s="3928" t="s">
        <v>811</v>
      </c>
    </row>
    <row r="283" spans="1:9" ht="11.25" customHeight="1">
      <c r="A283" s="3928" t="s">
        <v>2258</v>
      </c>
      <c r="B283" s="3928" t="s">
        <v>14</v>
      </c>
      <c r="C283" s="3928" t="s">
        <v>3355</v>
      </c>
      <c r="D283" s="3928" t="s">
        <v>3356</v>
      </c>
      <c r="E283" s="3928" t="s">
        <v>3357</v>
      </c>
      <c r="F283" s="3928" t="s">
        <v>2414</v>
      </c>
      <c r="G283" s="3928" t="s">
        <v>24</v>
      </c>
      <c r="H283" s="3928" t="s">
        <v>24</v>
      </c>
      <c r="I283" s="3928" t="s">
        <v>811</v>
      </c>
    </row>
    <row r="284" spans="1:9" ht="11.25" customHeight="1">
      <c r="A284" s="3928" t="s">
        <v>2258</v>
      </c>
      <c r="B284" s="3928" t="s">
        <v>14</v>
      </c>
      <c r="C284" s="3928" t="s">
        <v>3358</v>
      </c>
      <c r="D284" s="3928" t="s">
        <v>3359</v>
      </c>
      <c r="E284" s="3928" t="s">
        <v>3114</v>
      </c>
      <c r="F284" s="3928" t="s">
        <v>3360</v>
      </c>
      <c r="G284" s="3928" t="s">
        <v>24</v>
      </c>
      <c r="H284" s="3928" t="s">
        <v>2263</v>
      </c>
      <c r="I284" s="3928" t="s">
        <v>811</v>
      </c>
    </row>
    <row r="285" spans="1:9" ht="11.25" customHeight="1">
      <c r="A285" s="3928" t="s">
        <v>2258</v>
      </c>
      <c r="B285" s="3928" t="s">
        <v>14</v>
      </c>
      <c r="C285" s="3928" t="s">
        <v>3361</v>
      </c>
      <c r="D285" s="3928" t="s">
        <v>3362</v>
      </c>
      <c r="E285" s="3928" t="s">
        <v>2270</v>
      </c>
      <c r="F285" s="3928" t="s">
        <v>3363</v>
      </c>
      <c r="G285" s="3928" t="s">
        <v>24</v>
      </c>
      <c r="H285" s="3928" t="s">
        <v>2272</v>
      </c>
      <c r="I285" s="3928" t="s">
        <v>811</v>
      </c>
    </row>
    <row r="286" spans="1:9" ht="11.25" customHeight="1">
      <c r="A286" s="3928" t="s">
        <v>2258</v>
      </c>
      <c r="B286" s="3928" t="s">
        <v>14</v>
      </c>
      <c r="C286" s="3928" t="s">
        <v>3364</v>
      </c>
      <c r="D286" s="3928" t="s">
        <v>3365</v>
      </c>
      <c r="E286" s="3928" t="s">
        <v>3366</v>
      </c>
      <c r="F286" s="3928" t="s">
        <v>2464</v>
      </c>
      <c r="G286" s="3928" t="s">
        <v>24</v>
      </c>
      <c r="H286" s="3928" t="s">
        <v>24</v>
      </c>
      <c r="I286" s="3928" t="s">
        <v>811</v>
      </c>
    </row>
    <row r="287" spans="1:9" ht="11.25" customHeight="1">
      <c r="A287" s="3928" t="s">
        <v>2258</v>
      </c>
      <c r="B287" s="3928" t="s">
        <v>14</v>
      </c>
      <c r="C287" s="3928" t="s">
        <v>3367</v>
      </c>
      <c r="D287" s="3928" t="s">
        <v>3368</v>
      </c>
      <c r="E287" s="3928" t="s">
        <v>3369</v>
      </c>
      <c r="F287" s="3928" t="s">
        <v>3370</v>
      </c>
      <c r="G287" s="3928" t="s">
        <v>3371</v>
      </c>
      <c r="H287" s="3928" t="s">
        <v>24</v>
      </c>
      <c r="I287" s="3928" t="s">
        <v>811</v>
      </c>
    </row>
    <row r="288" spans="1:9" ht="11.25" customHeight="1">
      <c r="A288" s="3928" t="s">
        <v>2258</v>
      </c>
      <c r="B288" s="3928" t="s">
        <v>14</v>
      </c>
      <c r="C288" s="3928" t="s">
        <v>3372</v>
      </c>
      <c r="D288" s="3928" t="s">
        <v>3373</v>
      </c>
      <c r="E288" s="3928" t="s">
        <v>3374</v>
      </c>
      <c r="F288" s="3928" t="s">
        <v>3370</v>
      </c>
      <c r="G288" s="3928" t="s">
        <v>24</v>
      </c>
      <c r="H288" s="3928" t="s">
        <v>2263</v>
      </c>
      <c r="I288" s="3928" t="s">
        <v>811</v>
      </c>
    </row>
    <row r="289" spans="1:9" ht="11.25" customHeight="1">
      <c r="A289" s="3928" t="s">
        <v>2258</v>
      </c>
      <c r="B289" s="3928" t="s">
        <v>14</v>
      </c>
      <c r="C289" s="3928" t="s">
        <v>3375</v>
      </c>
      <c r="D289" s="3928" t="s">
        <v>629</v>
      </c>
      <c r="E289" s="3928" t="s">
        <v>3376</v>
      </c>
      <c r="F289" s="3928" t="s">
        <v>2486</v>
      </c>
      <c r="G289" s="3928" t="s">
        <v>3377</v>
      </c>
      <c r="H289" s="3928" t="s">
        <v>24</v>
      </c>
      <c r="I289" s="3928" t="s">
        <v>811</v>
      </c>
    </row>
    <row r="290" spans="1:9" ht="11.25" customHeight="1">
      <c r="A290" s="3928" t="s">
        <v>2258</v>
      </c>
      <c r="B290" s="3928" t="s">
        <v>14</v>
      </c>
      <c r="C290" s="3928" t="s">
        <v>3378</v>
      </c>
      <c r="D290" s="3928" t="s">
        <v>3379</v>
      </c>
      <c r="E290" s="3928" t="s">
        <v>3380</v>
      </c>
      <c r="F290" s="3928" t="s">
        <v>2486</v>
      </c>
      <c r="G290" s="3928" t="s">
        <v>3381</v>
      </c>
      <c r="H290" s="3928" t="s">
        <v>2475</v>
      </c>
      <c r="I290" s="3928" t="s">
        <v>811</v>
      </c>
    </row>
    <row r="291" spans="1:9" ht="11.25" customHeight="1">
      <c r="A291" s="3928" t="s">
        <v>2258</v>
      </c>
      <c r="B291" s="3928" t="s">
        <v>14</v>
      </c>
      <c r="C291" s="3928" t="s">
        <v>3382</v>
      </c>
      <c r="D291" s="3928" t="s">
        <v>3383</v>
      </c>
      <c r="E291" s="3928" t="s">
        <v>3384</v>
      </c>
      <c r="F291" s="3928" t="s">
        <v>2486</v>
      </c>
      <c r="G291" s="3928" t="s">
        <v>3385</v>
      </c>
      <c r="H291" s="3928" t="s">
        <v>2475</v>
      </c>
      <c r="I291" s="3928" t="s">
        <v>811</v>
      </c>
    </row>
    <row r="292" spans="1:9" ht="11.25" customHeight="1">
      <c r="A292" s="3928" t="s">
        <v>2258</v>
      </c>
      <c r="B292" s="3928" t="s">
        <v>14</v>
      </c>
      <c r="C292" s="3928" t="s">
        <v>3386</v>
      </c>
      <c r="D292" s="3928" t="s">
        <v>3387</v>
      </c>
      <c r="E292" s="3928" t="s">
        <v>3388</v>
      </c>
      <c r="F292" s="3928" t="s">
        <v>2409</v>
      </c>
      <c r="G292" s="3928" t="s">
        <v>24</v>
      </c>
      <c r="H292" s="3928" t="s">
        <v>2263</v>
      </c>
      <c r="I292" s="3928" t="s">
        <v>811</v>
      </c>
    </row>
    <row r="293" spans="1:9" ht="11.25" customHeight="1">
      <c r="A293" s="3928" t="s">
        <v>2258</v>
      </c>
      <c r="B293" s="3928" t="s">
        <v>14</v>
      </c>
      <c r="C293" s="3928" t="s">
        <v>3389</v>
      </c>
      <c r="D293" s="3928" t="s">
        <v>3390</v>
      </c>
      <c r="E293" s="3928" t="s">
        <v>3391</v>
      </c>
      <c r="F293" s="3928" t="s">
        <v>2409</v>
      </c>
      <c r="G293" s="3928" t="s">
        <v>24</v>
      </c>
      <c r="H293" s="3928" t="s">
        <v>2263</v>
      </c>
      <c r="I293" s="3928" t="s">
        <v>811</v>
      </c>
    </row>
    <row r="294" spans="1:9" ht="11.25" customHeight="1">
      <c r="A294" s="3928" t="s">
        <v>2258</v>
      </c>
      <c r="B294" s="3928" t="s">
        <v>14</v>
      </c>
      <c r="C294" s="3928" t="s">
        <v>3392</v>
      </c>
      <c r="D294" s="3928" t="s">
        <v>3393</v>
      </c>
      <c r="E294" s="3928" t="s">
        <v>3394</v>
      </c>
      <c r="F294" s="3928" t="s">
        <v>3353</v>
      </c>
      <c r="G294" s="3928" t="s">
        <v>24</v>
      </c>
      <c r="H294" s="3928" t="s">
        <v>3395</v>
      </c>
      <c r="I294" s="3928" t="s">
        <v>811</v>
      </c>
    </row>
    <row r="295" spans="1:9" ht="11.25" customHeight="1">
      <c r="A295" s="3928" t="s">
        <v>2258</v>
      </c>
      <c r="B295" s="3928" t="s">
        <v>14</v>
      </c>
      <c r="C295" s="3928" t="s">
        <v>3396</v>
      </c>
      <c r="D295" s="3928" t="s">
        <v>3397</v>
      </c>
      <c r="E295" s="3928" t="s">
        <v>3398</v>
      </c>
      <c r="F295" s="3928" t="s">
        <v>3082</v>
      </c>
      <c r="G295" s="3928" t="s">
        <v>24</v>
      </c>
      <c r="H295" s="3928" t="s">
        <v>2263</v>
      </c>
      <c r="I295" s="3928" t="s">
        <v>811</v>
      </c>
    </row>
    <row r="296" spans="1:9" ht="11.25" customHeight="1">
      <c r="A296" s="3928" t="s">
        <v>2258</v>
      </c>
      <c r="B296" s="3928" t="s">
        <v>14</v>
      </c>
      <c r="C296" s="3928" t="s">
        <v>3399</v>
      </c>
      <c r="D296" s="3928" t="s">
        <v>3400</v>
      </c>
      <c r="E296" s="3928" t="s">
        <v>3401</v>
      </c>
      <c r="F296" s="3928" t="s">
        <v>2965</v>
      </c>
      <c r="G296" s="3928" t="s">
        <v>3402</v>
      </c>
      <c r="H296" s="3928" t="s">
        <v>24</v>
      </c>
      <c r="I296" s="3928" t="s">
        <v>811</v>
      </c>
    </row>
    <row r="297" spans="1:9" ht="11.25" customHeight="1">
      <c r="A297" s="3928" t="s">
        <v>2258</v>
      </c>
      <c r="B297" s="3928" t="s">
        <v>14</v>
      </c>
      <c r="C297" s="3928" t="s">
        <v>3403</v>
      </c>
      <c r="D297" s="3928" t="s">
        <v>3404</v>
      </c>
      <c r="E297" s="3928" t="s">
        <v>3405</v>
      </c>
      <c r="F297" s="3928" t="s">
        <v>3406</v>
      </c>
      <c r="G297" s="3928" t="s">
        <v>24</v>
      </c>
      <c r="H297" s="3928" t="s">
        <v>2263</v>
      </c>
      <c r="I297" s="3928" t="s">
        <v>811</v>
      </c>
    </row>
    <row r="298" spans="1:9" ht="11.25" customHeight="1">
      <c r="A298" s="3928" t="s">
        <v>2258</v>
      </c>
      <c r="B298" s="3928" t="s">
        <v>14</v>
      </c>
      <c r="C298" s="3928" t="s">
        <v>3407</v>
      </c>
      <c r="D298" s="3928" t="s">
        <v>3408</v>
      </c>
      <c r="E298" s="3928" t="s">
        <v>3409</v>
      </c>
      <c r="F298" s="3928" t="s">
        <v>3082</v>
      </c>
      <c r="G298" s="3928" t="s">
        <v>24</v>
      </c>
      <c r="H298" s="3928" t="s">
        <v>24</v>
      </c>
      <c r="I298" s="3928" t="s">
        <v>811</v>
      </c>
    </row>
    <row r="299" spans="1:9" ht="11.25" customHeight="1">
      <c r="A299" s="3928" t="s">
        <v>2258</v>
      </c>
      <c r="B299" s="3928" t="s">
        <v>14</v>
      </c>
      <c r="C299" s="3928" t="s">
        <v>3410</v>
      </c>
      <c r="D299" s="3928" t="s">
        <v>3411</v>
      </c>
      <c r="E299" s="3928" t="s">
        <v>3412</v>
      </c>
      <c r="F299" s="3928" t="s">
        <v>2397</v>
      </c>
      <c r="G299" s="3928" t="s">
        <v>3413</v>
      </c>
      <c r="H299" s="3928" t="s">
        <v>24</v>
      </c>
      <c r="I299" s="3928" t="s">
        <v>811</v>
      </c>
    </row>
    <row r="300" spans="1:9" ht="11.25" customHeight="1">
      <c r="A300" s="3928" t="s">
        <v>2258</v>
      </c>
      <c r="B300" s="3928" t="s">
        <v>14</v>
      </c>
      <c r="C300" s="3928" t="s">
        <v>3414</v>
      </c>
      <c r="D300" s="3928" t="s">
        <v>3415</v>
      </c>
      <c r="E300" s="3928" t="s">
        <v>3416</v>
      </c>
      <c r="F300" s="3928" t="s">
        <v>3406</v>
      </c>
      <c r="G300" s="3928" t="s">
        <v>24</v>
      </c>
      <c r="H300" s="3928" t="s">
        <v>24</v>
      </c>
      <c r="I300" s="3928" t="s">
        <v>811</v>
      </c>
    </row>
    <row r="301" spans="1:9" ht="11.25" customHeight="1">
      <c r="A301" s="3928" t="s">
        <v>2258</v>
      </c>
      <c r="B301" s="3928" t="s">
        <v>14</v>
      </c>
      <c r="C301" s="3928" t="s">
        <v>3417</v>
      </c>
      <c r="D301" s="3928" t="s">
        <v>3418</v>
      </c>
      <c r="E301" s="3928" t="s">
        <v>3419</v>
      </c>
      <c r="F301" s="3928" t="s">
        <v>3420</v>
      </c>
      <c r="G301" s="3928" t="s">
        <v>3421</v>
      </c>
      <c r="H301" s="3928" t="s">
        <v>24</v>
      </c>
      <c r="I301" s="3928" t="s">
        <v>811</v>
      </c>
    </row>
    <row r="302" spans="1:9" ht="11.25" customHeight="1">
      <c r="A302" s="3928" t="s">
        <v>2258</v>
      </c>
      <c r="B302" s="3928" t="s">
        <v>14</v>
      </c>
      <c r="C302" s="3928" t="s">
        <v>3422</v>
      </c>
      <c r="D302" s="3928" t="s">
        <v>3423</v>
      </c>
      <c r="E302" s="3928" t="s">
        <v>3424</v>
      </c>
      <c r="F302" s="3928" t="s">
        <v>3353</v>
      </c>
      <c r="G302" s="3928" t="s">
        <v>3425</v>
      </c>
      <c r="H302" s="3928" t="s">
        <v>24</v>
      </c>
      <c r="I302" s="3928" t="s">
        <v>811</v>
      </c>
    </row>
    <row r="303" spans="1:9" ht="11.25" customHeight="1">
      <c r="A303" s="3928" t="s">
        <v>2258</v>
      </c>
      <c r="B303" s="3928" t="s">
        <v>14</v>
      </c>
      <c r="C303" s="3928" t="s">
        <v>3426</v>
      </c>
      <c r="D303" s="3928" t="s">
        <v>3427</v>
      </c>
      <c r="E303" s="3928" t="s">
        <v>3428</v>
      </c>
      <c r="F303" s="3928" t="s">
        <v>2375</v>
      </c>
      <c r="G303" s="3928" t="s">
        <v>24</v>
      </c>
      <c r="H303" s="3928" t="s">
        <v>2263</v>
      </c>
      <c r="I303" s="3928" t="s">
        <v>811</v>
      </c>
    </row>
    <row r="304" spans="1:9" ht="11.25" customHeight="1">
      <c r="A304" s="3928" t="s">
        <v>2258</v>
      </c>
      <c r="B304" s="3928" t="s">
        <v>14</v>
      </c>
      <c r="C304" s="3928" t="s">
        <v>3429</v>
      </c>
      <c r="D304" s="3928" t="s">
        <v>3430</v>
      </c>
      <c r="E304" s="3928" t="s">
        <v>3431</v>
      </c>
      <c r="F304" s="3928" t="s">
        <v>2638</v>
      </c>
      <c r="G304" s="3928" t="s">
        <v>3432</v>
      </c>
      <c r="H304" s="3928" t="s">
        <v>24</v>
      </c>
      <c r="I304" s="3928" t="s">
        <v>811</v>
      </c>
    </row>
    <row r="305" spans="1:9" ht="11.25" customHeight="1">
      <c r="A305" s="3928" t="s">
        <v>2258</v>
      </c>
      <c r="B305" s="3928" t="s">
        <v>14</v>
      </c>
      <c r="C305" s="3928" t="s">
        <v>3433</v>
      </c>
      <c r="D305" s="3928" t="s">
        <v>3434</v>
      </c>
      <c r="E305" s="3928" t="s">
        <v>3435</v>
      </c>
      <c r="F305" s="3928" t="s">
        <v>2344</v>
      </c>
      <c r="G305" s="3928" t="s">
        <v>24</v>
      </c>
      <c r="H305" s="3928" t="s">
        <v>2263</v>
      </c>
      <c r="I305" s="3928" t="s">
        <v>811</v>
      </c>
    </row>
    <row r="306" spans="1:9" ht="11.25" customHeight="1">
      <c r="A306" s="3928" t="s">
        <v>2258</v>
      </c>
      <c r="B306" s="3928" t="s">
        <v>14</v>
      </c>
      <c r="C306" s="3928" t="s">
        <v>3436</v>
      </c>
      <c r="D306" s="3928" t="s">
        <v>3437</v>
      </c>
      <c r="E306" s="3928" t="s">
        <v>3438</v>
      </c>
      <c r="F306" s="3928" t="s">
        <v>3439</v>
      </c>
      <c r="G306" s="3928" t="s">
        <v>24</v>
      </c>
      <c r="H306" s="3928" t="s">
        <v>3440</v>
      </c>
      <c r="I306" s="3928" t="s">
        <v>811</v>
      </c>
    </row>
    <row r="307" spans="1:9" ht="11.25" customHeight="1">
      <c r="A307" s="3928" t="s">
        <v>2258</v>
      </c>
      <c r="B307" s="3928" t="s">
        <v>14</v>
      </c>
      <c r="C307" s="3928" t="s">
        <v>3441</v>
      </c>
      <c r="D307" s="3928" t="s">
        <v>3442</v>
      </c>
      <c r="E307" s="3928" t="s">
        <v>3443</v>
      </c>
      <c r="F307" s="3928" t="s">
        <v>2397</v>
      </c>
      <c r="G307" s="3928" t="s">
        <v>24</v>
      </c>
      <c r="H307" s="3928" t="s">
        <v>24</v>
      </c>
      <c r="I307" s="3928" t="s">
        <v>811</v>
      </c>
    </row>
    <row r="308" spans="1:9" ht="11.25" customHeight="1">
      <c r="A308" s="3928" t="s">
        <v>2258</v>
      </c>
      <c r="B308" s="3928" t="s">
        <v>14</v>
      </c>
      <c r="C308" s="3928" t="s">
        <v>3444</v>
      </c>
      <c r="D308" s="3928" t="s">
        <v>3445</v>
      </c>
      <c r="E308" s="3928" t="s">
        <v>3446</v>
      </c>
      <c r="F308" s="3928" t="s">
        <v>2397</v>
      </c>
      <c r="G308" s="3928" t="s">
        <v>3447</v>
      </c>
      <c r="H308" s="3928" t="s">
        <v>24</v>
      </c>
      <c r="I308" s="3928" t="s">
        <v>811</v>
      </c>
    </row>
    <row r="309" spans="1:9" ht="11.25" customHeight="1">
      <c r="A309" s="3928" t="s">
        <v>2258</v>
      </c>
      <c r="B309" s="3928" t="s">
        <v>14</v>
      </c>
      <c r="C309" s="3928" t="s">
        <v>3448</v>
      </c>
      <c r="D309" s="3928" t="s">
        <v>3449</v>
      </c>
      <c r="E309" s="3928" t="s">
        <v>3450</v>
      </c>
      <c r="F309" s="3928" t="s">
        <v>2638</v>
      </c>
      <c r="G309" s="3928" t="s">
        <v>24</v>
      </c>
      <c r="H309" s="3928" t="s">
        <v>2263</v>
      </c>
      <c r="I309" s="3928" t="s">
        <v>811</v>
      </c>
    </row>
    <row r="310" spans="1:9" ht="11.25" customHeight="1">
      <c r="A310" s="3928" t="s">
        <v>2258</v>
      </c>
      <c r="B310" s="3928" t="s">
        <v>14</v>
      </c>
      <c r="C310" s="3928" t="s">
        <v>3451</v>
      </c>
      <c r="D310" s="3928" t="s">
        <v>3452</v>
      </c>
      <c r="E310" s="3928" t="s">
        <v>3453</v>
      </c>
      <c r="F310" s="3928" t="s">
        <v>2397</v>
      </c>
      <c r="G310" s="3928" t="s">
        <v>24</v>
      </c>
      <c r="H310" s="3928" t="s">
        <v>3075</v>
      </c>
      <c r="I310" s="3928" t="s">
        <v>811</v>
      </c>
    </row>
    <row r="311" spans="1:9" ht="11.25" customHeight="1">
      <c r="A311" s="3928" t="s">
        <v>2258</v>
      </c>
      <c r="B311" s="3928" t="s">
        <v>14</v>
      </c>
      <c r="C311" s="3928" t="s">
        <v>3454</v>
      </c>
      <c r="D311" s="3928" t="s">
        <v>3455</v>
      </c>
      <c r="E311" s="3928" t="s">
        <v>3456</v>
      </c>
      <c r="F311" s="3928" t="s">
        <v>3457</v>
      </c>
      <c r="G311" s="3928" t="s">
        <v>24</v>
      </c>
      <c r="H311" s="3928" t="s">
        <v>24</v>
      </c>
      <c r="I311" s="3928" t="s">
        <v>811</v>
      </c>
    </row>
    <row r="312" spans="1:9" ht="11.25" customHeight="1">
      <c r="A312" s="3928" t="s">
        <v>2258</v>
      </c>
      <c r="B312" s="3928" t="s">
        <v>14</v>
      </c>
      <c r="C312" s="3928" t="s">
        <v>3458</v>
      </c>
      <c r="D312" s="3928" t="s">
        <v>3459</v>
      </c>
      <c r="E312" s="3928" t="s">
        <v>3460</v>
      </c>
      <c r="F312" s="3928" t="s">
        <v>2473</v>
      </c>
      <c r="G312" s="3928" t="s">
        <v>2961</v>
      </c>
      <c r="H312" s="3928" t="s">
        <v>24</v>
      </c>
      <c r="I312" s="3928" t="s">
        <v>811</v>
      </c>
    </row>
    <row r="313" spans="1:9" ht="11.25" customHeight="1">
      <c r="A313" s="3928" t="s">
        <v>2258</v>
      </c>
      <c r="B313" s="3928" t="s">
        <v>14</v>
      </c>
      <c r="C313" s="3928" t="s">
        <v>3461</v>
      </c>
      <c r="D313" s="3928" t="s">
        <v>3462</v>
      </c>
      <c r="E313" s="3928" t="s">
        <v>3463</v>
      </c>
      <c r="F313" s="3928" t="s">
        <v>2438</v>
      </c>
      <c r="G313" s="3928" t="s">
        <v>24</v>
      </c>
      <c r="H313" s="3928" t="s">
        <v>2263</v>
      </c>
      <c r="I313" s="3928" t="s">
        <v>811</v>
      </c>
    </row>
    <row r="314" spans="1:9" ht="11.25" customHeight="1">
      <c r="A314" s="3928" t="s">
        <v>2258</v>
      </c>
      <c r="B314" s="3928" t="s">
        <v>14</v>
      </c>
      <c r="C314" s="3928" t="s">
        <v>3464</v>
      </c>
      <c r="D314" s="3928" t="s">
        <v>3465</v>
      </c>
      <c r="E314" s="3928" t="s">
        <v>3466</v>
      </c>
      <c r="F314" s="3928" t="s">
        <v>2513</v>
      </c>
      <c r="G314" s="3928" t="s">
        <v>24</v>
      </c>
      <c r="H314" s="3928" t="s">
        <v>2263</v>
      </c>
      <c r="I314" s="3928" t="s">
        <v>811</v>
      </c>
    </row>
    <row r="315" spans="1:9" ht="11.25" customHeight="1">
      <c r="A315" s="3928" t="s">
        <v>2258</v>
      </c>
      <c r="B315" s="3928" t="s">
        <v>14</v>
      </c>
      <c r="C315" s="3928" t="s">
        <v>3467</v>
      </c>
      <c r="D315" s="3928" t="s">
        <v>3468</v>
      </c>
      <c r="E315" s="3928" t="s">
        <v>3469</v>
      </c>
      <c r="F315" s="3928" t="s">
        <v>2424</v>
      </c>
      <c r="G315" s="3928" t="s">
        <v>3470</v>
      </c>
      <c r="H315" s="3928" t="s">
        <v>24</v>
      </c>
      <c r="I315" s="3928" t="s">
        <v>811</v>
      </c>
    </row>
    <row r="316" spans="1:9" ht="11.25" customHeight="1">
      <c r="A316" s="3928" t="s">
        <v>2258</v>
      </c>
      <c r="B316" s="3928" t="s">
        <v>14</v>
      </c>
      <c r="C316" s="3928" t="s">
        <v>3471</v>
      </c>
      <c r="D316" s="3928" t="s">
        <v>3472</v>
      </c>
      <c r="E316" s="3928" t="s">
        <v>3473</v>
      </c>
      <c r="F316" s="3928" t="s">
        <v>2522</v>
      </c>
      <c r="G316" s="3928" t="s">
        <v>3474</v>
      </c>
      <c r="H316" s="3928" t="s">
        <v>24</v>
      </c>
      <c r="I316" s="3928" t="s">
        <v>811</v>
      </c>
    </row>
    <row r="317" spans="1:9" ht="11.25" customHeight="1">
      <c r="A317" s="3928" t="s">
        <v>2258</v>
      </c>
      <c r="B317" s="3928" t="s">
        <v>14</v>
      </c>
      <c r="C317" s="3928" t="s">
        <v>3475</v>
      </c>
      <c r="D317" s="3928" t="s">
        <v>620</v>
      </c>
      <c r="E317" s="3928" t="s">
        <v>3476</v>
      </c>
      <c r="F317" s="3928" t="s">
        <v>2359</v>
      </c>
      <c r="G317" s="3928" t="s">
        <v>3477</v>
      </c>
      <c r="H317" s="3928" t="s">
        <v>24</v>
      </c>
      <c r="I317" s="3928" t="s">
        <v>811</v>
      </c>
    </row>
    <row r="318" spans="1:9" ht="11.25" customHeight="1">
      <c r="A318" s="3928" t="s">
        <v>2258</v>
      </c>
      <c r="B318" s="3928" t="s">
        <v>14</v>
      </c>
      <c r="C318" s="3928" t="s">
        <v>3478</v>
      </c>
      <c r="D318" s="3928" t="s">
        <v>3479</v>
      </c>
      <c r="E318" s="3928" t="s">
        <v>3480</v>
      </c>
      <c r="F318" s="3928" t="s">
        <v>2289</v>
      </c>
      <c r="G318" s="3928" t="s">
        <v>3481</v>
      </c>
      <c r="H318" s="3928" t="s">
        <v>24</v>
      </c>
      <c r="I318" s="3928" t="s">
        <v>811</v>
      </c>
    </row>
    <row r="319" spans="1:9" ht="11.25" customHeight="1">
      <c r="A319" s="3928" t="s">
        <v>2258</v>
      </c>
      <c r="B319" s="3928" t="s">
        <v>14</v>
      </c>
      <c r="C319" s="3928" t="s">
        <v>3482</v>
      </c>
      <c r="D319" s="3928" t="s">
        <v>3483</v>
      </c>
      <c r="E319" s="3928" t="s">
        <v>3484</v>
      </c>
      <c r="F319" s="3928" t="s">
        <v>2289</v>
      </c>
      <c r="G319" s="3928" t="s">
        <v>24</v>
      </c>
      <c r="H319" s="3928" t="s">
        <v>24</v>
      </c>
      <c r="I319" s="3928" t="s">
        <v>811</v>
      </c>
    </row>
    <row r="320" spans="1:9" ht="11.25" customHeight="1">
      <c r="A320" s="3928" t="s">
        <v>2258</v>
      </c>
      <c r="B320" s="3928" t="s">
        <v>14</v>
      </c>
      <c r="C320" s="3928" t="s">
        <v>3485</v>
      </c>
      <c r="D320" s="3928" t="s">
        <v>3486</v>
      </c>
      <c r="E320" s="3928" t="s">
        <v>3487</v>
      </c>
      <c r="F320" s="3928" t="s">
        <v>2409</v>
      </c>
      <c r="G320" s="3928" t="s">
        <v>24</v>
      </c>
      <c r="H320" s="3928" t="s">
        <v>2263</v>
      </c>
      <c r="I320" s="3928" t="s">
        <v>811</v>
      </c>
    </row>
    <row r="321" spans="1:9" ht="11.25" customHeight="1">
      <c r="A321" s="3928" t="s">
        <v>2258</v>
      </c>
      <c r="B321" s="3928" t="s">
        <v>14</v>
      </c>
      <c r="C321" s="3928" t="s">
        <v>3488</v>
      </c>
      <c r="D321" s="3928" t="s">
        <v>3489</v>
      </c>
      <c r="E321" s="3928" t="s">
        <v>3490</v>
      </c>
      <c r="F321" s="3928" t="s">
        <v>2262</v>
      </c>
      <c r="G321" s="3928" t="s">
        <v>3491</v>
      </c>
      <c r="H321" s="3928" t="s">
        <v>24</v>
      </c>
      <c r="I321" s="3928" t="s">
        <v>811</v>
      </c>
    </row>
    <row r="322" spans="1:9" ht="11.25" customHeight="1">
      <c r="A322" s="3928" t="s">
        <v>2258</v>
      </c>
      <c r="B322" s="3928" t="s">
        <v>14</v>
      </c>
      <c r="C322" s="3928" t="s">
        <v>3492</v>
      </c>
      <c r="D322" s="3928" t="s">
        <v>3493</v>
      </c>
      <c r="E322" s="3928" t="s">
        <v>3494</v>
      </c>
      <c r="F322" s="3928" t="s">
        <v>2464</v>
      </c>
      <c r="G322" s="3928" t="s">
        <v>3495</v>
      </c>
      <c r="H322" s="3928" t="s">
        <v>24</v>
      </c>
      <c r="I322" s="3928" t="s">
        <v>811</v>
      </c>
    </row>
    <row r="323" spans="1:9" ht="11.25" customHeight="1">
      <c r="A323" s="3928" t="s">
        <v>2258</v>
      </c>
      <c r="B323" s="3928" t="s">
        <v>14</v>
      </c>
      <c r="C323" s="3928" t="s">
        <v>3496</v>
      </c>
      <c r="D323" s="3928" t="s">
        <v>625</v>
      </c>
      <c r="E323" s="3928" t="s">
        <v>3497</v>
      </c>
      <c r="F323" s="3928" t="s">
        <v>2451</v>
      </c>
      <c r="G323" s="3928" t="s">
        <v>3498</v>
      </c>
      <c r="H323" s="3928" t="s">
        <v>24</v>
      </c>
      <c r="I323" s="3928" t="s">
        <v>811</v>
      </c>
    </row>
    <row r="324" spans="1:9" ht="11.25" customHeight="1">
      <c r="A324" s="3928" t="s">
        <v>2258</v>
      </c>
      <c r="B324" s="3928" t="s">
        <v>14</v>
      </c>
      <c r="C324" s="3928" t="s">
        <v>3499</v>
      </c>
      <c r="D324" s="3928" t="s">
        <v>3500</v>
      </c>
      <c r="E324" s="3928" t="s">
        <v>3501</v>
      </c>
      <c r="F324" s="3928" t="s">
        <v>2438</v>
      </c>
      <c r="G324" s="3928" t="s">
        <v>24</v>
      </c>
      <c r="H324" s="3928" t="s">
        <v>24</v>
      </c>
      <c r="I324" s="3928" t="s">
        <v>811</v>
      </c>
    </row>
    <row r="325" spans="1:9" ht="11.25" customHeight="1">
      <c r="A325" s="3928" t="s">
        <v>2258</v>
      </c>
      <c r="B325" s="3928" t="s">
        <v>14</v>
      </c>
      <c r="C325" s="3928" t="s">
        <v>3502</v>
      </c>
      <c r="D325" s="3928" t="s">
        <v>3503</v>
      </c>
      <c r="E325" s="3928" t="s">
        <v>3504</v>
      </c>
      <c r="F325" s="3928" t="s">
        <v>2409</v>
      </c>
      <c r="G325" s="3928" t="s">
        <v>3505</v>
      </c>
      <c r="H325" s="3928" t="s">
        <v>24</v>
      </c>
      <c r="I325" s="3928" t="s">
        <v>811</v>
      </c>
    </row>
    <row r="326" spans="1:9" ht="11.25" customHeight="1">
      <c r="A326" s="3928" t="s">
        <v>2258</v>
      </c>
      <c r="B326" s="3928" t="s">
        <v>14</v>
      </c>
      <c r="C326" s="3928" t="s">
        <v>3506</v>
      </c>
      <c r="D326" s="3928" t="s">
        <v>3507</v>
      </c>
      <c r="E326" s="3928" t="s">
        <v>3508</v>
      </c>
      <c r="F326" s="3928" t="s">
        <v>3509</v>
      </c>
      <c r="G326" s="3928" t="s">
        <v>24</v>
      </c>
      <c r="H326" s="3928" t="s">
        <v>3510</v>
      </c>
      <c r="I326" s="3928" t="s">
        <v>811</v>
      </c>
    </row>
    <row r="327" spans="1:9" ht="11.25" customHeight="1">
      <c r="A327" s="3928" t="s">
        <v>2258</v>
      </c>
      <c r="B327" s="3928" t="s">
        <v>14</v>
      </c>
      <c r="C327" s="3928" t="s">
        <v>3511</v>
      </c>
      <c r="D327" s="3928" t="s">
        <v>3512</v>
      </c>
      <c r="E327" s="3928" t="s">
        <v>3513</v>
      </c>
      <c r="F327" s="3928" t="s">
        <v>2262</v>
      </c>
      <c r="G327" s="3928" t="s">
        <v>24</v>
      </c>
      <c r="H327" s="3928" t="s">
        <v>2314</v>
      </c>
      <c r="I327" s="3928" t="s">
        <v>811</v>
      </c>
    </row>
    <row r="328" spans="1:9" ht="11.25" customHeight="1">
      <c r="A328" s="3928" t="s">
        <v>2258</v>
      </c>
      <c r="B328" s="3928" t="s">
        <v>14</v>
      </c>
      <c r="C328" s="3928" t="s">
        <v>3514</v>
      </c>
      <c r="D328" s="3928" t="s">
        <v>3515</v>
      </c>
      <c r="E328" s="3928" t="s">
        <v>3516</v>
      </c>
      <c r="F328" s="3928" t="s">
        <v>2451</v>
      </c>
      <c r="G328" s="3928" t="s">
        <v>3517</v>
      </c>
      <c r="H328" s="3928" t="s">
        <v>3518</v>
      </c>
      <c r="I328" s="3928" t="s">
        <v>811</v>
      </c>
    </row>
    <row r="329" spans="1:9" ht="11.25" customHeight="1">
      <c r="A329" s="3928" t="s">
        <v>2258</v>
      </c>
      <c r="B329" s="3928" t="s">
        <v>14</v>
      </c>
      <c r="C329" s="3928" t="s">
        <v>3519</v>
      </c>
      <c r="D329" s="3928" t="s">
        <v>3520</v>
      </c>
      <c r="E329" s="3928" t="s">
        <v>3521</v>
      </c>
      <c r="F329" s="3928" t="s">
        <v>49</v>
      </c>
      <c r="G329" s="3928" t="s">
        <v>3522</v>
      </c>
      <c r="H329" s="3928" t="s">
        <v>24</v>
      </c>
      <c r="I329" s="3928" t="s">
        <v>811</v>
      </c>
    </row>
    <row r="330" spans="1:9" ht="11.25" customHeight="1">
      <c r="A330" s="3928" t="s">
        <v>2258</v>
      </c>
      <c r="B330" s="3928" t="s">
        <v>14</v>
      </c>
      <c r="C330" s="3928" t="s">
        <v>3523</v>
      </c>
      <c r="D330" s="3928" t="s">
        <v>3524</v>
      </c>
      <c r="E330" s="3928" t="s">
        <v>3525</v>
      </c>
      <c r="F330" s="3928" t="s">
        <v>2438</v>
      </c>
      <c r="G330" s="3928" t="s">
        <v>24</v>
      </c>
      <c r="H330" s="3928" t="s">
        <v>2263</v>
      </c>
      <c r="I330" s="3928" t="s">
        <v>811</v>
      </c>
    </row>
    <row r="331" spans="1:9" ht="11.25" customHeight="1">
      <c r="A331" s="3928" t="s">
        <v>2258</v>
      </c>
      <c r="B331" s="3928" t="s">
        <v>14</v>
      </c>
      <c r="C331" s="3928" t="s">
        <v>3526</v>
      </c>
      <c r="D331" s="3928" t="s">
        <v>3527</v>
      </c>
      <c r="E331" s="3928" t="s">
        <v>3528</v>
      </c>
      <c r="F331" s="3928" t="s">
        <v>2701</v>
      </c>
      <c r="G331" s="3928" t="s">
        <v>24</v>
      </c>
      <c r="H331" s="3928" t="s">
        <v>2263</v>
      </c>
      <c r="I331" s="3928" t="s">
        <v>811</v>
      </c>
    </row>
    <row r="332" spans="1:9" ht="11.25" customHeight="1">
      <c r="A332" s="3928" t="s">
        <v>2258</v>
      </c>
      <c r="B332" s="3928" t="s">
        <v>14</v>
      </c>
      <c r="C332" s="3928" t="s">
        <v>3529</v>
      </c>
      <c r="D332" s="3928" t="s">
        <v>3530</v>
      </c>
      <c r="E332" s="3928" t="s">
        <v>3531</v>
      </c>
      <c r="F332" s="3928" t="s">
        <v>3532</v>
      </c>
      <c r="G332" s="3928" t="s">
        <v>3533</v>
      </c>
      <c r="H332" s="3928" t="s">
        <v>24</v>
      </c>
      <c r="I332" s="3928" t="s">
        <v>811</v>
      </c>
    </row>
    <row r="333" spans="1:9" ht="11.25" customHeight="1">
      <c r="A333" s="3928" t="s">
        <v>2258</v>
      </c>
      <c r="B333" s="3928" t="s">
        <v>14</v>
      </c>
      <c r="C333" s="3928" t="s">
        <v>3534</v>
      </c>
      <c r="D333" s="3928" t="s">
        <v>3535</v>
      </c>
      <c r="E333" s="3928" t="s">
        <v>3536</v>
      </c>
      <c r="F333" s="3928" t="s">
        <v>2424</v>
      </c>
      <c r="G333" s="3928" t="s">
        <v>24</v>
      </c>
      <c r="H333" s="3928" t="s">
        <v>2263</v>
      </c>
      <c r="I333" s="3928" t="s">
        <v>811</v>
      </c>
    </row>
    <row r="334" spans="1:9" ht="11.25" customHeight="1">
      <c r="A334" s="3928" t="s">
        <v>2258</v>
      </c>
      <c r="B334" s="3928" t="s">
        <v>14</v>
      </c>
      <c r="C334" s="3928" t="s">
        <v>3537</v>
      </c>
      <c r="D334" s="3928" t="s">
        <v>3538</v>
      </c>
      <c r="E334" s="3928" t="s">
        <v>3539</v>
      </c>
      <c r="F334" s="3928" t="s">
        <v>2424</v>
      </c>
      <c r="G334" s="3928" t="s">
        <v>24</v>
      </c>
      <c r="H334" s="3928" t="s">
        <v>3540</v>
      </c>
      <c r="I334" s="3928" t="s">
        <v>811</v>
      </c>
    </row>
    <row r="335" spans="1:9" ht="11.25" customHeight="1">
      <c r="A335" s="3928" t="s">
        <v>2258</v>
      </c>
      <c r="B335" s="3928" t="s">
        <v>14</v>
      </c>
      <c r="C335" s="3928" t="s">
        <v>3541</v>
      </c>
      <c r="D335" s="3928" t="s">
        <v>3542</v>
      </c>
      <c r="E335" s="3928" t="s">
        <v>3543</v>
      </c>
      <c r="F335" s="3928" t="s">
        <v>2289</v>
      </c>
      <c r="G335" s="3928" t="s">
        <v>3544</v>
      </c>
      <c r="H335" s="3928" t="s">
        <v>3545</v>
      </c>
      <c r="I335" s="3928" t="s">
        <v>811</v>
      </c>
    </row>
    <row r="336" spans="1:9" ht="11.25" customHeight="1">
      <c r="A336" s="3928" t="s">
        <v>2258</v>
      </c>
      <c r="B336" s="3928" t="s">
        <v>14</v>
      </c>
      <c r="C336" s="3928" t="s">
        <v>3546</v>
      </c>
      <c r="D336" s="3928" t="s">
        <v>3547</v>
      </c>
      <c r="E336" s="3928" t="s">
        <v>3548</v>
      </c>
      <c r="F336" s="3928" t="s">
        <v>2289</v>
      </c>
      <c r="G336" s="3928" t="s">
        <v>3549</v>
      </c>
      <c r="H336" s="3928" t="s">
        <v>24</v>
      </c>
      <c r="I336" s="3928" t="s">
        <v>811</v>
      </c>
    </row>
    <row r="337" spans="1:9" ht="11.25" customHeight="1">
      <c r="A337" s="3928" t="s">
        <v>2258</v>
      </c>
      <c r="B337" s="3928" t="s">
        <v>14</v>
      </c>
      <c r="C337" s="3928" t="s">
        <v>3550</v>
      </c>
      <c r="D337" s="3928" t="s">
        <v>3551</v>
      </c>
      <c r="E337" s="3928" t="s">
        <v>3552</v>
      </c>
      <c r="F337" s="3928" t="s">
        <v>2299</v>
      </c>
      <c r="G337" s="3928" t="s">
        <v>24</v>
      </c>
      <c r="H337" s="3928" t="s">
        <v>2263</v>
      </c>
      <c r="I337" s="3928" t="s">
        <v>811</v>
      </c>
    </row>
    <row r="338" spans="1:9" ht="11.25" customHeight="1">
      <c r="A338" s="3928" t="s">
        <v>2258</v>
      </c>
      <c r="B338" s="3928" t="s">
        <v>14</v>
      </c>
      <c r="C338" s="3928" t="s">
        <v>3553</v>
      </c>
      <c r="D338" s="3928" t="s">
        <v>3554</v>
      </c>
      <c r="E338" s="3928" t="s">
        <v>3555</v>
      </c>
      <c r="F338" s="3928" t="s">
        <v>2313</v>
      </c>
      <c r="G338" s="3928" t="s">
        <v>24</v>
      </c>
      <c r="H338" s="3928" t="s">
        <v>3556</v>
      </c>
      <c r="I338" s="3928" t="s">
        <v>811</v>
      </c>
    </row>
    <row r="339" spans="1:9" ht="11.25" customHeight="1">
      <c r="A339" s="3928" t="s">
        <v>2258</v>
      </c>
      <c r="B339" s="3928" t="s">
        <v>14</v>
      </c>
      <c r="C339" s="3928" t="s">
        <v>3557</v>
      </c>
      <c r="D339" s="3928" t="s">
        <v>3558</v>
      </c>
      <c r="E339" s="3928" t="s">
        <v>3559</v>
      </c>
      <c r="F339" s="3928" t="s">
        <v>49</v>
      </c>
      <c r="G339" s="3928" t="s">
        <v>24</v>
      </c>
      <c r="H339" s="3928" t="s">
        <v>3560</v>
      </c>
      <c r="I339" s="3928" t="s">
        <v>811</v>
      </c>
    </row>
    <row r="340" spans="1:9" ht="11.25" customHeight="1">
      <c r="A340" s="3928" t="s">
        <v>2258</v>
      </c>
      <c r="B340" s="3928" t="s">
        <v>14</v>
      </c>
      <c r="C340" s="3928" t="s">
        <v>3561</v>
      </c>
      <c r="D340" s="3928" t="s">
        <v>3562</v>
      </c>
      <c r="E340" s="3928" t="s">
        <v>3563</v>
      </c>
      <c r="F340" s="3928" t="s">
        <v>2831</v>
      </c>
      <c r="G340" s="3928" t="s">
        <v>24</v>
      </c>
      <c r="H340" s="3928" t="s">
        <v>2475</v>
      </c>
      <c r="I340" s="3928" t="s">
        <v>811</v>
      </c>
    </row>
    <row r="341" spans="1:9" ht="11.25" customHeight="1">
      <c r="A341" s="3928" t="s">
        <v>2258</v>
      </c>
      <c r="B341" s="3928" t="s">
        <v>14</v>
      </c>
      <c r="C341" s="3928" t="s">
        <v>3564</v>
      </c>
      <c r="D341" s="3928" t="s">
        <v>3565</v>
      </c>
      <c r="E341" s="3928" t="s">
        <v>3566</v>
      </c>
      <c r="F341" s="3928" t="s">
        <v>2552</v>
      </c>
      <c r="G341" s="3928" t="s">
        <v>3567</v>
      </c>
      <c r="H341" s="3928" t="s">
        <v>3568</v>
      </c>
      <c r="I341" s="3928" t="s">
        <v>811</v>
      </c>
    </row>
    <row r="342" spans="1:9" ht="11.25" customHeight="1">
      <c r="A342" s="3928" t="s">
        <v>2258</v>
      </c>
      <c r="B342" s="3928" t="s">
        <v>14</v>
      </c>
      <c r="C342" s="3928" t="s">
        <v>3569</v>
      </c>
      <c r="D342" s="3928" t="s">
        <v>3570</v>
      </c>
      <c r="E342" s="3928" t="s">
        <v>3571</v>
      </c>
      <c r="F342" s="3928" t="s">
        <v>2451</v>
      </c>
      <c r="G342" s="3928" t="s">
        <v>24</v>
      </c>
      <c r="H342" s="3928" t="s">
        <v>3572</v>
      </c>
      <c r="I342" s="3928" t="s">
        <v>811</v>
      </c>
    </row>
    <row r="343" spans="1:9" ht="11.25" customHeight="1">
      <c r="A343" s="3928" t="s">
        <v>2258</v>
      </c>
      <c r="B343" s="3928" t="s">
        <v>14</v>
      </c>
      <c r="C343" s="3928" t="s">
        <v>3573</v>
      </c>
      <c r="D343" s="3928" t="s">
        <v>3574</v>
      </c>
      <c r="E343" s="3928" t="s">
        <v>3575</v>
      </c>
      <c r="F343" s="3928" t="s">
        <v>2746</v>
      </c>
      <c r="G343" s="3928" t="s">
        <v>3576</v>
      </c>
      <c r="H343" s="3928" t="s">
        <v>2314</v>
      </c>
      <c r="I343" s="3928" t="s">
        <v>811</v>
      </c>
    </row>
    <row r="344" spans="1:9" ht="11.25" customHeight="1">
      <c r="A344" s="3928" t="s">
        <v>2258</v>
      </c>
      <c r="B344" s="3928" t="s">
        <v>14</v>
      </c>
      <c r="C344" s="3928" t="s">
        <v>3577</v>
      </c>
      <c r="D344" s="3928" t="s">
        <v>3578</v>
      </c>
      <c r="E344" s="3928" t="s">
        <v>3579</v>
      </c>
      <c r="F344" s="3928" t="s">
        <v>3580</v>
      </c>
      <c r="G344" s="3928" t="s">
        <v>3581</v>
      </c>
      <c r="H344" s="3928" t="s">
        <v>24</v>
      </c>
      <c r="I344" s="3928" t="s">
        <v>811</v>
      </c>
    </row>
    <row r="345" spans="1:9" ht="11.25" customHeight="1">
      <c r="A345" s="3928" t="s">
        <v>2258</v>
      </c>
      <c r="B345" s="3928" t="s">
        <v>14</v>
      </c>
      <c r="C345" s="3928" t="s">
        <v>3582</v>
      </c>
      <c r="D345" s="3928" t="s">
        <v>3583</v>
      </c>
      <c r="E345" s="3928" t="s">
        <v>3584</v>
      </c>
      <c r="F345" s="3928" t="s">
        <v>2304</v>
      </c>
      <c r="G345" s="3928" t="s">
        <v>3585</v>
      </c>
      <c r="H345" s="3928" t="s">
        <v>2263</v>
      </c>
      <c r="I345" s="3928" t="s">
        <v>811</v>
      </c>
    </row>
    <row r="346" spans="1:9" ht="11.25" customHeight="1">
      <c r="A346" s="3928" t="s">
        <v>2258</v>
      </c>
      <c r="B346" s="3928" t="s">
        <v>14</v>
      </c>
      <c r="C346" s="3928" t="s">
        <v>3586</v>
      </c>
      <c r="D346" s="3928" t="s">
        <v>3587</v>
      </c>
      <c r="E346" s="3928" t="s">
        <v>3588</v>
      </c>
      <c r="F346" s="3928" t="s">
        <v>2675</v>
      </c>
      <c r="G346" s="3928" t="s">
        <v>3589</v>
      </c>
      <c r="H346" s="3928" t="s">
        <v>3590</v>
      </c>
      <c r="I346" s="3928" t="s">
        <v>811</v>
      </c>
    </row>
    <row r="347" spans="1:9" ht="11.25" customHeight="1">
      <c r="A347" s="3928" t="s">
        <v>2258</v>
      </c>
      <c r="B347" s="3928" t="s">
        <v>14</v>
      </c>
      <c r="C347" s="3928" t="s">
        <v>3591</v>
      </c>
      <c r="D347" s="3928" t="s">
        <v>3592</v>
      </c>
      <c r="E347" s="3928" t="s">
        <v>3593</v>
      </c>
      <c r="F347" s="3928" t="s">
        <v>3509</v>
      </c>
      <c r="G347" s="3928" t="s">
        <v>3594</v>
      </c>
      <c r="H347" s="3928" t="s">
        <v>24</v>
      </c>
      <c r="I347" s="3928" t="s">
        <v>811</v>
      </c>
    </row>
    <row r="348" spans="1:9" ht="11.25" customHeight="1">
      <c r="A348" s="3928" t="s">
        <v>2258</v>
      </c>
      <c r="B348" s="3928" t="s">
        <v>14</v>
      </c>
      <c r="C348" s="3928" t="s">
        <v>3595</v>
      </c>
      <c r="D348" s="3928" t="s">
        <v>3596</v>
      </c>
      <c r="E348" s="3928" t="s">
        <v>3597</v>
      </c>
      <c r="F348" s="3928" t="s">
        <v>2535</v>
      </c>
      <c r="G348" s="3928" t="s">
        <v>24</v>
      </c>
      <c r="H348" s="3928" t="s">
        <v>3598</v>
      </c>
      <c r="I348" s="3928" t="s">
        <v>811</v>
      </c>
    </row>
    <row r="349" spans="1:9" ht="11.25" customHeight="1">
      <c r="A349" s="3928" t="s">
        <v>2258</v>
      </c>
      <c r="B349" s="3928" t="s">
        <v>14</v>
      </c>
      <c r="C349" s="3928" t="s">
        <v>3599</v>
      </c>
      <c r="D349" s="3928" t="s">
        <v>3600</v>
      </c>
      <c r="E349" s="3928" t="s">
        <v>3601</v>
      </c>
      <c r="F349" s="3928" t="s">
        <v>2675</v>
      </c>
      <c r="G349" s="3928" t="s">
        <v>24</v>
      </c>
      <c r="H349" s="3928" t="s">
        <v>2263</v>
      </c>
      <c r="I349" s="3928" t="s">
        <v>811</v>
      </c>
    </row>
    <row r="350" spans="1:9" ht="11.25" customHeight="1">
      <c r="A350" s="3928" t="s">
        <v>2258</v>
      </c>
      <c r="B350" s="3928" t="s">
        <v>14</v>
      </c>
      <c r="C350" s="3928" t="s">
        <v>3602</v>
      </c>
      <c r="D350" s="3928" t="s">
        <v>3603</v>
      </c>
      <c r="E350" s="3928" t="s">
        <v>3604</v>
      </c>
      <c r="F350" s="3928" t="s">
        <v>2675</v>
      </c>
      <c r="G350" s="3928" t="s">
        <v>24</v>
      </c>
      <c r="H350" s="3928" t="s">
        <v>3068</v>
      </c>
      <c r="I350" s="3928" t="s">
        <v>811</v>
      </c>
    </row>
    <row r="351" spans="1:9" ht="11.25" customHeight="1">
      <c r="A351" s="3928" t="s">
        <v>2258</v>
      </c>
      <c r="B351" s="3928" t="s">
        <v>14</v>
      </c>
      <c r="C351" s="3928" t="s">
        <v>3605</v>
      </c>
      <c r="D351" s="3928" t="s">
        <v>3606</v>
      </c>
      <c r="E351" s="3928" t="s">
        <v>3607</v>
      </c>
      <c r="F351" s="3928" t="s">
        <v>2771</v>
      </c>
      <c r="G351" s="3928" t="s">
        <v>24</v>
      </c>
      <c r="H351" s="3928" t="s">
        <v>3608</v>
      </c>
      <c r="I351" s="3928" t="s">
        <v>811</v>
      </c>
    </row>
    <row r="352" spans="1:9" ht="11.25" customHeight="1">
      <c r="A352" s="3928" t="s">
        <v>2258</v>
      </c>
      <c r="B352" s="3928" t="s">
        <v>14</v>
      </c>
      <c r="C352" s="3928" t="s">
        <v>3609</v>
      </c>
      <c r="D352" s="3928" t="s">
        <v>3610</v>
      </c>
      <c r="E352" s="3928" t="s">
        <v>3611</v>
      </c>
      <c r="F352" s="3928" t="s">
        <v>3612</v>
      </c>
      <c r="G352" s="3928" t="s">
        <v>24</v>
      </c>
      <c r="H352" s="3928" t="s">
        <v>2263</v>
      </c>
      <c r="I352" s="3928" t="s">
        <v>811</v>
      </c>
    </row>
    <row r="353" spans="1:9" ht="11.25" customHeight="1">
      <c r="A353" s="3928" t="s">
        <v>2258</v>
      </c>
      <c r="B353" s="3928" t="s">
        <v>14</v>
      </c>
      <c r="C353" s="3928" t="s">
        <v>3613</v>
      </c>
      <c r="D353" s="3928" t="s">
        <v>3614</v>
      </c>
      <c r="E353" s="3928" t="s">
        <v>3615</v>
      </c>
      <c r="F353" s="3928" t="s">
        <v>2409</v>
      </c>
      <c r="G353" s="3928" t="s">
        <v>24</v>
      </c>
      <c r="H353" s="3928" t="s">
        <v>2263</v>
      </c>
      <c r="I353" s="3928" t="s">
        <v>811</v>
      </c>
    </row>
    <row r="354" spans="1:9" ht="11.25" customHeight="1">
      <c r="A354" s="3928" t="s">
        <v>2258</v>
      </c>
      <c r="B354" s="3928" t="s">
        <v>14</v>
      </c>
      <c r="C354" s="3928" t="s">
        <v>3616</v>
      </c>
      <c r="D354" s="3928" t="s">
        <v>3617</v>
      </c>
      <c r="E354" s="3928" t="s">
        <v>3618</v>
      </c>
      <c r="F354" s="3928" t="s">
        <v>2780</v>
      </c>
      <c r="G354" s="3928" t="s">
        <v>3619</v>
      </c>
      <c r="H354" s="3928" t="s">
        <v>2263</v>
      </c>
      <c r="I354" s="3928" t="s">
        <v>811</v>
      </c>
    </row>
    <row r="355" spans="1:9" ht="11.25" customHeight="1">
      <c r="A355" s="3928" t="s">
        <v>2258</v>
      </c>
      <c r="B355" s="3928" t="s">
        <v>14</v>
      </c>
      <c r="C355" s="3928" t="s">
        <v>3620</v>
      </c>
      <c r="D355" s="3928" t="s">
        <v>3621</v>
      </c>
      <c r="E355" s="3928" t="s">
        <v>3622</v>
      </c>
      <c r="F355" s="3928" t="s">
        <v>2701</v>
      </c>
      <c r="G355" s="3928" t="s">
        <v>3623</v>
      </c>
      <c r="H355" s="3928" t="s">
        <v>24</v>
      </c>
      <c r="I355" s="3928" t="s">
        <v>811</v>
      </c>
    </row>
    <row r="356" spans="1:9" ht="11.25" customHeight="1">
      <c r="A356" s="3928" t="s">
        <v>2258</v>
      </c>
      <c r="B356" s="3928" t="s">
        <v>14</v>
      </c>
      <c r="C356" s="3928" t="s">
        <v>3624</v>
      </c>
      <c r="D356" s="3928" t="s">
        <v>3625</v>
      </c>
      <c r="E356" s="3928" t="s">
        <v>3626</v>
      </c>
      <c r="F356" s="3928" t="s">
        <v>2414</v>
      </c>
      <c r="G356" s="3928" t="s">
        <v>3627</v>
      </c>
      <c r="H356" s="3928" t="s">
        <v>24</v>
      </c>
      <c r="I356" s="3928" t="s">
        <v>811</v>
      </c>
    </row>
    <row r="357" spans="1:9" ht="11.25" customHeight="1">
      <c r="A357" s="3928" t="s">
        <v>2258</v>
      </c>
      <c r="B357" s="3928" t="s">
        <v>14</v>
      </c>
      <c r="C357" s="3928" t="s">
        <v>3628</v>
      </c>
      <c r="D357" s="3928" t="s">
        <v>3629</v>
      </c>
      <c r="E357" s="3928" t="s">
        <v>3630</v>
      </c>
      <c r="F357" s="3928" t="s">
        <v>2486</v>
      </c>
      <c r="G357" s="3928" t="s">
        <v>24</v>
      </c>
      <c r="H357" s="3928" t="s">
        <v>3631</v>
      </c>
      <c r="I357" s="3928" t="s">
        <v>811</v>
      </c>
    </row>
    <row r="358" spans="1:9" ht="11.25" customHeight="1">
      <c r="A358" s="3928" t="s">
        <v>2258</v>
      </c>
      <c r="B358" s="3928" t="s">
        <v>14</v>
      </c>
      <c r="C358" s="3928" t="s">
        <v>3632</v>
      </c>
      <c r="D358" s="3928" t="s">
        <v>3633</v>
      </c>
      <c r="E358" s="3928" t="s">
        <v>3634</v>
      </c>
      <c r="F358" s="3928" t="s">
        <v>2294</v>
      </c>
      <c r="G358" s="3928" t="s">
        <v>3635</v>
      </c>
      <c r="H358" s="3928" t="s">
        <v>3636</v>
      </c>
      <c r="I358" s="3928" t="s">
        <v>811</v>
      </c>
    </row>
    <row r="359" spans="1:9" ht="11.25" customHeight="1">
      <c r="A359" s="3928" t="s">
        <v>2258</v>
      </c>
      <c r="B359" s="3928" t="s">
        <v>14</v>
      </c>
      <c r="C359" s="3928" t="s">
        <v>3637</v>
      </c>
      <c r="D359" s="3928" t="s">
        <v>3638</v>
      </c>
      <c r="E359" s="3928" t="s">
        <v>3639</v>
      </c>
      <c r="F359" s="3928" t="s">
        <v>3353</v>
      </c>
      <c r="G359" s="3928" t="s">
        <v>3640</v>
      </c>
      <c r="H359" s="3928" t="s">
        <v>2263</v>
      </c>
      <c r="I359" s="3928" t="s">
        <v>811</v>
      </c>
    </row>
    <row r="360" spans="1:9" ht="11.25" customHeight="1">
      <c r="A360" s="3928" t="s">
        <v>2258</v>
      </c>
      <c r="B360" s="3928" t="s">
        <v>14</v>
      </c>
      <c r="C360" s="3928" t="s">
        <v>3641</v>
      </c>
      <c r="D360" s="3928" t="s">
        <v>3642</v>
      </c>
      <c r="E360" s="3928" t="s">
        <v>3643</v>
      </c>
      <c r="F360" s="3928" t="s">
        <v>2473</v>
      </c>
      <c r="G360" s="3928" t="s">
        <v>3644</v>
      </c>
      <c r="H360" s="3928" t="s">
        <v>3645</v>
      </c>
      <c r="I360" s="3928" t="s">
        <v>811</v>
      </c>
    </row>
    <row r="361" spans="1:9" ht="11.25" customHeight="1">
      <c r="A361" s="3928" t="s">
        <v>2258</v>
      </c>
      <c r="B361" s="3928" t="s">
        <v>14</v>
      </c>
      <c r="C361" s="3928" t="s">
        <v>3646</v>
      </c>
      <c r="D361" s="3928" t="s">
        <v>3647</v>
      </c>
      <c r="E361" s="3928" t="s">
        <v>3648</v>
      </c>
      <c r="F361" s="3928" t="s">
        <v>2409</v>
      </c>
      <c r="G361" s="3928" t="s">
        <v>24</v>
      </c>
      <c r="H361" s="3928" t="s">
        <v>2263</v>
      </c>
      <c r="I361" s="3928" t="s">
        <v>811</v>
      </c>
    </row>
    <row r="362" spans="1:9" ht="11.25" customHeight="1">
      <c r="A362" s="3928" t="s">
        <v>2258</v>
      </c>
      <c r="B362" s="3928" t="s">
        <v>14</v>
      </c>
      <c r="C362" s="3928" t="s">
        <v>3649</v>
      </c>
      <c r="D362" s="3928" t="s">
        <v>3650</v>
      </c>
      <c r="E362" s="3928" t="s">
        <v>3651</v>
      </c>
      <c r="F362" s="3928" t="s">
        <v>2375</v>
      </c>
      <c r="G362" s="3928" t="s">
        <v>24</v>
      </c>
      <c r="H362" s="3928" t="s">
        <v>2263</v>
      </c>
      <c r="I362" s="3928" t="s">
        <v>811</v>
      </c>
    </row>
    <row r="363" spans="1:9" ht="11.25" customHeight="1">
      <c r="A363" s="3928" t="s">
        <v>2258</v>
      </c>
      <c r="B363" s="3928" t="s">
        <v>14</v>
      </c>
      <c r="C363" s="3928" t="s">
        <v>3652</v>
      </c>
      <c r="D363" s="3928" t="s">
        <v>3653</v>
      </c>
      <c r="E363" s="3928" t="s">
        <v>3654</v>
      </c>
      <c r="F363" s="3928" t="s">
        <v>2486</v>
      </c>
      <c r="G363" s="3928" t="s">
        <v>3655</v>
      </c>
      <c r="H363" s="3928" t="s">
        <v>2475</v>
      </c>
      <c r="I363" s="3928" t="s">
        <v>811</v>
      </c>
    </row>
    <row r="364" spans="1:9" ht="11.25" customHeight="1">
      <c r="A364" s="3928" t="s">
        <v>2258</v>
      </c>
      <c r="B364" s="3928" t="s">
        <v>14</v>
      </c>
      <c r="C364" s="3928" t="s">
        <v>3656</v>
      </c>
      <c r="D364" s="3928" t="s">
        <v>3657</v>
      </c>
      <c r="E364" s="3928" t="s">
        <v>3658</v>
      </c>
      <c r="F364" s="3928" t="s">
        <v>2701</v>
      </c>
      <c r="G364" s="3928" t="s">
        <v>3659</v>
      </c>
      <c r="H364" s="3928" t="s">
        <v>24</v>
      </c>
      <c r="I364" s="3928" t="s">
        <v>811</v>
      </c>
    </row>
    <row r="365" spans="1:9" ht="11.25" customHeight="1">
      <c r="A365" s="3928" t="s">
        <v>2258</v>
      </c>
      <c r="B365" s="3928" t="s">
        <v>14</v>
      </c>
      <c r="C365" s="3928" t="s">
        <v>3660</v>
      </c>
      <c r="D365" s="3928" t="s">
        <v>3661</v>
      </c>
      <c r="E365" s="3928" t="s">
        <v>3662</v>
      </c>
      <c r="F365" s="3928" t="s">
        <v>2349</v>
      </c>
      <c r="G365" s="3928" t="s">
        <v>24</v>
      </c>
      <c r="H365" s="3928" t="s">
        <v>24</v>
      </c>
      <c r="I365" s="3928" t="s">
        <v>811</v>
      </c>
    </row>
    <row r="366" spans="1:9" ht="11.25" customHeight="1">
      <c r="A366" s="3928" t="s">
        <v>2258</v>
      </c>
      <c r="B366" s="3928" t="s">
        <v>14</v>
      </c>
      <c r="C366" s="3928" t="s">
        <v>3663</v>
      </c>
      <c r="D366" s="3928" t="s">
        <v>3664</v>
      </c>
      <c r="E366" s="3928" t="s">
        <v>3665</v>
      </c>
      <c r="F366" s="3928" t="s">
        <v>2438</v>
      </c>
      <c r="G366" s="3928" t="s">
        <v>3666</v>
      </c>
      <c r="H366" s="3928" t="s">
        <v>24</v>
      </c>
      <c r="I366" s="3928" t="s">
        <v>811</v>
      </c>
    </row>
    <row r="367" spans="1:9" ht="11.25" customHeight="1">
      <c r="A367" s="3928" t="s">
        <v>2258</v>
      </c>
      <c r="B367" s="3928" t="s">
        <v>14</v>
      </c>
      <c r="C367" s="3928" t="s">
        <v>3667</v>
      </c>
      <c r="D367" s="3928" t="s">
        <v>3668</v>
      </c>
      <c r="E367" s="3928" t="s">
        <v>3669</v>
      </c>
      <c r="F367" s="3928" t="s">
        <v>2675</v>
      </c>
      <c r="G367" s="3928" t="s">
        <v>3670</v>
      </c>
      <c r="H367" s="3928" t="s">
        <v>24</v>
      </c>
      <c r="I367" s="3928" t="s">
        <v>811</v>
      </c>
    </row>
    <row r="368" spans="1:9" ht="11.25" customHeight="1">
      <c r="A368" s="3928" t="s">
        <v>2258</v>
      </c>
      <c r="B368" s="3928" t="s">
        <v>14</v>
      </c>
      <c r="C368" s="3928" t="s">
        <v>3671</v>
      </c>
      <c r="D368" s="3928" t="s">
        <v>3672</v>
      </c>
      <c r="E368" s="3928" t="s">
        <v>3673</v>
      </c>
      <c r="F368" s="3928" t="s">
        <v>2451</v>
      </c>
      <c r="G368" s="3928" t="s">
        <v>3674</v>
      </c>
      <c r="H368" s="3928" t="s">
        <v>24</v>
      </c>
      <c r="I368" s="3928" t="s">
        <v>811</v>
      </c>
    </row>
    <row r="369" spans="1:9" ht="11.25" customHeight="1">
      <c r="A369" s="3928" t="s">
        <v>2258</v>
      </c>
      <c r="B369" s="3928" t="s">
        <v>14</v>
      </c>
      <c r="C369" s="3928" t="s">
        <v>3675</v>
      </c>
      <c r="D369" s="3928" t="s">
        <v>3676</v>
      </c>
      <c r="E369" s="3928" t="s">
        <v>3677</v>
      </c>
      <c r="F369" s="3928" t="s">
        <v>2771</v>
      </c>
      <c r="G369" s="3928" t="s">
        <v>3678</v>
      </c>
      <c r="H369" s="3928" t="s">
        <v>3679</v>
      </c>
      <c r="I369" s="3928" t="s">
        <v>811</v>
      </c>
    </row>
    <row r="370" spans="1:9" ht="11.25" customHeight="1">
      <c r="A370" s="3928" t="s">
        <v>2258</v>
      </c>
      <c r="B370" s="3928" t="s">
        <v>14</v>
      </c>
      <c r="C370" s="3928" t="s">
        <v>3680</v>
      </c>
      <c r="D370" s="3928" t="s">
        <v>3681</v>
      </c>
      <c r="E370" s="3928" t="s">
        <v>3682</v>
      </c>
      <c r="F370" s="3928" t="s">
        <v>2359</v>
      </c>
      <c r="G370" s="3928" t="s">
        <v>24</v>
      </c>
      <c r="H370" s="3928" t="s">
        <v>3068</v>
      </c>
      <c r="I370" s="3928" t="s">
        <v>811</v>
      </c>
    </row>
    <row r="371" spans="1:9" ht="11.25" customHeight="1">
      <c r="A371" s="3928" t="s">
        <v>2258</v>
      </c>
      <c r="B371" s="3928" t="s">
        <v>14</v>
      </c>
      <c r="C371" s="3928" t="s">
        <v>3683</v>
      </c>
      <c r="D371" s="3928" t="s">
        <v>3684</v>
      </c>
      <c r="E371" s="3928" t="s">
        <v>3685</v>
      </c>
      <c r="F371" s="3928" t="s">
        <v>49</v>
      </c>
      <c r="G371" s="3928" t="s">
        <v>3686</v>
      </c>
      <c r="H371" s="3928" t="s">
        <v>2475</v>
      </c>
      <c r="I371" s="3928" t="s">
        <v>811</v>
      </c>
    </row>
    <row r="372" spans="1:9" ht="11.25" customHeight="1">
      <c r="A372" s="3928" t="s">
        <v>2258</v>
      </c>
      <c r="B372" s="3928" t="s">
        <v>14</v>
      </c>
      <c r="C372" s="3928" t="s">
        <v>3687</v>
      </c>
      <c r="D372" s="3928" t="s">
        <v>3688</v>
      </c>
      <c r="E372" s="3928" t="s">
        <v>3689</v>
      </c>
      <c r="F372" s="3928" t="s">
        <v>2675</v>
      </c>
      <c r="G372" s="3928" t="s">
        <v>3690</v>
      </c>
      <c r="H372" s="3928" t="s">
        <v>3691</v>
      </c>
      <c r="I372" s="3928" t="s">
        <v>811</v>
      </c>
    </row>
    <row r="373" spans="1:9" ht="11.25" customHeight="1">
      <c r="A373" s="3928" t="s">
        <v>2258</v>
      </c>
      <c r="B373" s="3928" t="s">
        <v>14</v>
      </c>
      <c r="C373" s="3928" t="s">
        <v>3692</v>
      </c>
      <c r="D373" s="3928" t="s">
        <v>3693</v>
      </c>
      <c r="E373" s="3928" t="s">
        <v>3694</v>
      </c>
      <c r="F373" s="3928" t="s">
        <v>2354</v>
      </c>
      <c r="G373" s="3928" t="s">
        <v>24</v>
      </c>
      <c r="H373" s="3928" t="s">
        <v>2263</v>
      </c>
      <c r="I373" s="3928" t="s">
        <v>811</v>
      </c>
    </row>
    <row r="374" spans="1:9" ht="11.25" customHeight="1">
      <c r="A374" s="3928" t="s">
        <v>2258</v>
      </c>
      <c r="B374" s="3928" t="s">
        <v>14</v>
      </c>
      <c r="C374" s="3928" t="s">
        <v>3695</v>
      </c>
      <c r="D374" s="3928" t="s">
        <v>3696</v>
      </c>
      <c r="E374" s="3928" t="s">
        <v>3697</v>
      </c>
      <c r="F374" s="3928" t="s">
        <v>2898</v>
      </c>
      <c r="G374" s="3928" t="s">
        <v>3698</v>
      </c>
      <c r="H374" s="3928" t="s">
        <v>3699</v>
      </c>
      <c r="I374" s="3928" t="s">
        <v>811</v>
      </c>
    </row>
    <row r="375" spans="1:9" ht="11.25" customHeight="1">
      <c r="A375" s="3928" t="s">
        <v>2258</v>
      </c>
      <c r="B375" s="3928" t="s">
        <v>14</v>
      </c>
      <c r="C375" s="3928" t="s">
        <v>3700</v>
      </c>
      <c r="D375" s="3928" t="s">
        <v>3701</v>
      </c>
      <c r="E375" s="3928" t="s">
        <v>3702</v>
      </c>
      <c r="F375" s="3928" t="s">
        <v>3703</v>
      </c>
      <c r="G375" s="3928" t="s">
        <v>3704</v>
      </c>
      <c r="H375" s="3928" t="s">
        <v>24</v>
      </c>
      <c r="I375" s="3928" t="s">
        <v>811</v>
      </c>
    </row>
    <row r="376" spans="1:9" ht="11.25" customHeight="1">
      <c r="A376" s="3928" t="s">
        <v>2258</v>
      </c>
      <c r="B376" s="3928" t="s">
        <v>14</v>
      </c>
      <c r="C376" s="3928" t="s">
        <v>3705</v>
      </c>
      <c r="D376" s="3928" t="s">
        <v>3706</v>
      </c>
      <c r="E376" s="3928" t="s">
        <v>3707</v>
      </c>
      <c r="F376" s="3928" t="s">
        <v>2675</v>
      </c>
      <c r="G376" s="3928" t="s">
        <v>3708</v>
      </c>
      <c r="H376" s="3928" t="s">
        <v>24</v>
      </c>
      <c r="I376" s="3928" t="s">
        <v>811</v>
      </c>
    </row>
    <row r="377" spans="1:9" ht="11.25" customHeight="1">
      <c r="A377" s="3928" t="s">
        <v>2258</v>
      </c>
      <c r="B377" s="3928" t="s">
        <v>14</v>
      </c>
      <c r="C377" s="3928" t="s">
        <v>3709</v>
      </c>
      <c r="D377" s="3928" t="s">
        <v>3710</v>
      </c>
      <c r="E377" s="3928" t="s">
        <v>3711</v>
      </c>
      <c r="F377" s="3928" t="s">
        <v>2675</v>
      </c>
      <c r="G377" s="3928" t="s">
        <v>3712</v>
      </c>
      <c r="H377" s="3928" t="s">
        <v>3713</v>
      </c>
      <c r="I377" s="3928" t="s">
        <v>811</v>
      </c>
    </row>
    <row r="378" spans="1:9" ht="11.25" customHeight="1">
      <c r="A378" s="3928" t="s">
        <v>2258</v>
      </c>
      <c r="B378" s="3928" t="s">
        <v>14</v>
      </c>
      <c r="C378" s="3928" t="s">
        <v>3714</v>
      </c>
      <c r="D378" s="3928" t="s">
        <v>3715</v>
      </c>
      <c r="E378" s="3928" t="s">
        <v>3716</v>
      </c>
      <c r="F378" s="3928" t="s">
        <v>2688</v>
      </c>
      <c r="G378" s="3928" t="s">
        <v>24</v>
      </c>
      <c r="H378" s="3928" t="s">
        <v>3717</v>
      </c>
      <c r="I378" s="3928" t="s">
        <v>811</v>
      </c>
    </row>
    <row r="379" spans="1:9" ht="11.25" customHeight="1">
      <c r="A379" s="3928" t="s">
        <v>2258</v>
      </c>
      <c r="B379" s="3928" t="s">
        <v>14</v>
      </c>
      <c r="C379" s="3928" t="s">
        <v>3718</v>
      </c>
      <c r="D379" s="3928" t="s">
        <v>3719</v>
      </c>
      <c r="E379" s="3928" t="s">
        <v>3720</v>
      </c>
      <c r="F379" s="3928" t="s">
        <v>2304</v>
      </c>
      <c r="G379" s="3928" t="s">
        <v>24</v>
      </c>
      <c r="H379" s="3928" t="s">
        <v>2263</v>
      </c>
      <c r="I379" s="3928" t="s">
        <v>811</v>
      </c>
    </row>
    <row r="380" spans="1:9" ht="11.25" customHeight="1">
      <c r="A380" s="3928" t="s">
        <v>2258</v>
      </c>
      <c r="B380" s="3928" t="s">
        <v>14</v>
      </c>
      <c r="C380" s="3928" t="s">
        <v>3721</v>
      </c>
      <c r="D380" s="3928" t="s">
        <v>3722</v>
      </c>
      <c r="E380" s="3928" t="s">
        <v>3723</v>
      </c>
      <c r="F380" s="3928" t="s">
        <v>2375</v>
      </c>
      <c r="G380" s="3928" t="s">
        <v>24</v>
      </c>
      <c r="H380" s="3928" t="s">
        <v>2263</v>
      </c>
      <c r="I380" s="3928" t="s">
        <v>811</v>
      </c>
    </row>
    <row r="381" spans="1:9" ht="11.25" customHeight="1">
      <c r="A381" s="3928" t="s">
        <v>2258</v>
      </c>
      <c r="B381" s="3928" t="s">
        <v>14</v>
      </c>
      <c r="C381" s="3928" t="s">
        <v>3724</v>
      </c>
      <c r="D381" s="3928" t="s">
        <v>3725</v>
      </c>
      <c r="E381" s="3928" t="s">
        <v>3726</v>
      </c>
      <c r="F381" s="3928" t="s">
        <v>2701</v>
      </c>
      <c r="G381" s="3928" t="s">
        <v>3727</v>
      </c>
      <c r="H381" s="3928" t="s">
        <v>24</v>
      </c>
      <c r="I381" s="3928" t="s">
        <v>811</v>
      </c>
    </row>
    <row r="382" spans="1:9" ht="11.25" customHeight="1">
      <c r="A382" s="3928" t="s">
        <v>2258</v>
      </c>
      <c r="B382" s="3928" t="s">
        <v>14</v>
      </c>
      <c r="C382" s="3928" t="s">
        <v>3728</v>
      </c>
      <c r="D382" s="3928" t="s">
        <v>3729</v>
      </c>
      <c r="E382" s="3928" t="s">
        <v>3730</v>
      </c>
      <c r="F382" s="3928" t="s">
        <v>2701</v>
      </c>
      <c r="G382" s="3928" t="s">
        <v>3731</v>
      </c>
      <c r="H382" s="3928" t="s">
        <v>24</v>
      </c>
      <c r="I382" s="3928" t="s">
        <v>811</v>
      </c>
    </row>
    <row r="383" spans="1:9" ht="11.25" customHeight="1">
      <c r="A383" s="3928" t="s">
        <v>2258</v>
      </c>
      <c r="B383" s="3928" t="s">
        <v>14</v>
      </c>
      <c r="C383" s="3928" t="s">
        <v>3732</v>
      </c>
      <c r="D383" s="3928" t="s">
        <v>3733</v>
      </c>
      <c r="E383" s="3928" t="s">
        <v>3734</v>
      </c>
      <c r="F383" s="3928" t="s">
        <v>2473</v>
      </c>
      <c r="G383" s="3928" t="s">
        <v>3735</v>
      </c>
      <c r="H383" s="3928" t="s">
        <v>2945</v>
      </c>
      <c r="I383" s="3928" t="s">
        <v>811</v>
      </c>
    </row>
    <row r="384" spans="1:9" ht="11.25" customHeight="1">
      <c r="A384" s="3928" t="s">
        <v>2258</v>
      </c>
      <c r="B384" s="3928" t="s">
        <v>14</v>
      </c>
      <c r="C384" s="3928" t="s">
        <v>3736</v>
      </c>
      <c r="D384" s="3928" t="s">
        <v>3737</v>
      </c>
      <c r="E384" s="3928" t="s">
        <v>3738</v>
      </c>
      <c r="F384" s="3928" t="s">
        <v>2771</v>
      </c>
      <c r="G384" s="3928" t="s">
        <v>3739</v>
      </c>
      <c r="H384" s="3928" t="s">
        <v>24</v>
      </c>
      <c r="I384" s="3928" t="s">
        <v>811</v>
      </c>
    </row>
    <row r="385" spans="1:9" ht="11.25" customHeight="1">
      <c r="A385" s="3928" t="s">
        <v>2258</v>
      </c>
      <c r="B385" s="3928" t="s">
        <v>14</v>
      </c>
      <c r="C385" s="3928" t="s">
        <v>3740</v>
      </c>
      <c r="D385" s="3928" t="s">
        <v>3741</v>
      </c>
      <c r="E385" s="3928" t="s">
        <v>3742</v>
      </c>
      <c r="F385" s="3928" t="s">
        <v>2535</v>
      </c>
      <c r="G385" s="3928" t="s">
        <v>3743</v>
      </c>
      <c r="H385" s="3928" t="s">
        <v>24</v>
      </c>
      <c r="I385" s="3928" t="s">
        <v>811</v>
      </c>
    </row>
    <row r="386" spans="1:9" ht="11.25" customHeight="1">
      <c r="A386" s="3928" t="s">
        <v>2258</v>
      </c>
      <c r="B386" s="3928" t="s">
        <v>14</v>
      </c>
      <c r="C386" s="3928" t="s">
        <v>3744</v>
      </c>
      <c r="D386" s="3928" t="s">
        <v>3745</v>
      </c>
      <c r="E386" s="3928" t="s">
        <v>3746</v>
      </c>
      <c r="F386" s="3928" t="s">
        <v>3323</v>
      </c>
      <c r="G386" s="3928" t="s">
        <v>24</v>
      </c>
      <c r="H386" s="3928" t="s">
        <v>24</v>
      </c>
      <c r="I386" s="3928" t="s">
        <v>811</v>
      </c>
    </row>
    <row r="387" spans="1:9" ht="11.25" customHeight="1">
      <c r="A387" s="3928" t="s">
        <v>2258</v>
      </c>
      <c r="B387" s="3928" t="s">
        <v>14</v>
      </c>
      <c r="C387" s="3928" t="s">
        <v>3747</v>
      </c>
      <c r="D387" s="3928" t="s">
        <v>3748</v>
      </c>
      <c r="E387" s="3928" t="s">
        <v>3749</v>
      </c>
      <c r="F387" s="3928" t="s">
        <v>2451</v>
      </c>
      <c r="G387" s="3928" t="s">
        <v>24</v>
      </c>
      <c r="H387" s="3928" t="s">
        <v>2263</v>
      </c>
      <c r="I387" s="3928" t="s">
        <v>811</v>
      </c>
    </row>
    <row r="388" spans="1:9" ht="11.25" customHeight="1">
      <c r="A388" s="3928" t="s">
        <v>2258</v>
      </c>
      <c r="B388" s="3928" t="s">
        <v>14</v>
      </c>
      <c r="C388" s="3928" t="s">
        <v>3750</v>
      </c>
      <c r="D388" s="3928" t="s">
        <v>3751</v>
      </c>
      <c r="E388" s="3928" t="s">
        <v>3752</v>
      </c>
      <c r="F388" s="3928" t="s">
        <v>2552</v>
      </c>
      <c r="G388" s="3928" t="s">
        <v>3753</v>
      </c>
      <c r="H388" s="3928" t="s">
        <v>24</v>
      </c>
      <c r="I388" s="3928" t="s">
        <v>811</v>
      </c>
    </row>
    <row r="389" spans="1:9" ht="11.25" customHeight="1">
      <c r="A389" s="3928" t="s">
        <v>2258</v>
      </c>
      <c r="B389" s="3928" t="s">
        <v>14</v>
      </c>
      <c r="C389" s="3928" t="s">
        <v>3754</v>
      </c>
      <c r="D389" s="3928" t="s">
        <v>3755</v>
      </c>
      <c r="E389" s="3928" t="s">
        <v>3756</v>
      </c>
      <c r="F389" s="3928" t="s">
        <v>2898</v>
      </c>
      <c r="G389" s="3928" t="s">
        <v>24</v>
      </c>
      <c r="H389" s="3928" t="s">
        <v>3395</v>
      </c>
      <c r="I389" s="3928" t="s">
        <v>811</v>
      </c>
    </row>
    <row r="390" spans="1:9" ht="11.25" customHeight="1">
      <c r="A390" s="3928" t="s">
        <v>2258</v>
      </c>
      <c r="B390" s="3928" t="s">
        <v>14</v>
      </c>
      <c r="C390" s="3928" t="s">
        <v>3757</v>
      </c>
      <c r="D390" s="3928" t="s">
        <v>3755</v>
      </c>
      <c r="E390" s="3928" t="s">
        <v>3758</v>
      </c>
      <c r="F390" s="3928" t="s">
        <v>2522</v>
      </c>
      <c r="G390" s="3928" t="s">
        <v>2925</v>
      </c>
      <c r="H390" s="3928" t="s">
        <v>2756</v>
      </c>
      <c r="I390" s="3928" t="s">
        <v>811</v>
      </c>
    </row>
    <row r="391" spans="1:9" ht="11.25" customHeight="1">
      <c r="A391" s="3928" t="s">
        <v>2258</v>
      </c>
      <c r="B391" s="3928" t="s">
        <v>14</v>
      </c>
      <c r="C391" s="3928" t="s">
        <v>3759</v>
      </c>
      <c r="D391" s="3928" t="s">
        <v>3755</v>
      </c>
      <c r="E391" s="3928" t="s">
        <v>3760</v>
      </c>
      <c r="F391" s="3928" t="s">
        <v>2675</v>
      </c>
      <c r="G391" s="3928" t="s">
        <v>24</v>
      </c>
      <c r="H391" s="3928" t="s">
        <v>3761</v>
      </c>
      <c r="I391" s="3928" t="s">
        <v>811</v>
      </c>
    </row>
    <row r="392" spans="1:9" ht="11.25" customHeight="1">
      <c r="A392" s="3928" t="s">
        <v>2258</v>
      </c>
      <c r="B392" s="3928" t="s">
        <v>14</v>
      </c>
      <c r="C392" s="3928" t="s">
        <v>3762</v>
      </c>
      <c r="D392" s="3928" t="s">
        <v>3763</v>
      </c>
      <c r="E392" s="3928" t="s">
        <v>3764</v>
      </c>
      <c r="F392" s="3928" t="s">
        <v>2414</v>
      </c>
      <c r="G392" s="3928" t="s">
        <v>24</v>
      </c>
      <c r="H392" s="3928" t="s">
        <v>3064</v>
      </c>
      <c r="I392" s="3928" t="s">
        <v>811</v>
      </c>
    </row>
    <row r="393" spans="1:9" ht="11.25" customHeight="1">
      <c r="A393" s="3928" t="s">
        <v>2258</v>
      </c>
      <c r="B393" s="3928" t="s">
        <v>14</v>
      </c>
      <c r="C393" s="3928" t="s">
        <v>3765</v>
      </c>
      <c r="D393" s="3928" t="s">
        <v>3766</v>
      </c>
      <c r="E393" s="3928" t="s">
        <v>3767</v>
      </c>
      <c r="F393" s="3928" t="s">
        <v>2419</v>
      </c>
      <c r="G393" s="3928" t="s">
        <v>24</v>
      </c>
      <c r="H393" s="3928" t="s">
        <v>24</v>
      </c>
      <c r="I393" s="3928" t="s">
        <v>811</v>
      </c>
    </row>
    <row r="394" spans="1:9" ht="11.25" customHeight="1">
      <c r="A394" s="3928" t="s">
        <v>2258</v>
      </c>
      <c r="B394" s="3928" t="s">
        <v>14</v>
      </c>
      <c r="C394" s="3928" t="s">
        <v>3768</v>
      </c>
      <c r="D394" s="3928" t="s">
        <v>3769</v>
      </c>
      <c r="E394" s="3928" t="s">
        <v>3770</v>
      </c>
      <c r="F394" s="3928" t="s">
        <v>2375</v>
      </c>
      <c r="G394" s="3928" t="s">
        <v>24</v>
      </c>
      <c r="H394" s="3928" t="s">
        <v>2263</v>
      </c>
      <c r="I394" s="3928" t="s">
        <v>811</v>
      </c>
    </row>
    <row r="395" spans="1:9" ht="11.25" customHeight="1">
      <c r="A395" s="3928" t="s">
        <v>2258</v>
      </c>
      <c r="B395" s="3928" t="s">
        <v>14</v>
      </c>
      <c r="C395" s="3928" t="s">
        <v>3771</v>
      </c>
      <c r="D395" s="3928" t="s">
        <v>3772</v>
      </c>
      <c r="E395" s="3928" t="s">
        <v>3773</v>
      </c>
      <c r="F395" s="3928" t="s">
        <v>3287</v>
      </c>
      <c r="G395" s="3928" t="s">
        <v>24</v>
      </c>
      <c r="H395" s="3928" t="s">
        <v>24</v>
      </c>
      <c r="I395" s="3928" t="s">
        <v>811</v>
      </c>
    </row>
    <row r="396" spans="1:9" ht="11.25" customHeight="1">
      <c r="A396" s="3928" t="s">
        <v>2258</v>
      </c>
      <c r="B396" s="3928" t="s">
        <v>14</v>
      </c>
      <c r="C396" s="3928" t="s">
        <v>3774</v>
      </c>
      <c r="D396" s="3928" t="s">
        <v>3775</v>
      </c>
      <c r="E396" s="3928" t="s">
        <v>3776</v>
      </c>
      <c r="F396" s="3928" t="s">
        <v>2304</v>
      </c>
      <c r="G396" s="3928" t="s">
        <v>24</v>
      </c>
      <c r="H396" s="3928" t="s">
        <v>24</v>
      </c>
      <c r="I396" s="3928" t="s">
        <v>811</v>
      </c>
    </row>
    <row r="397" spans="1:9" ht="11.25" customHeight="1">
      <c r="A397" s="3928" t="s">
        <v>2258</v>
      </c>
      <c r="B397" s="3928" t="s">
        <v>14</v>
      </c>
      <c r="C397" s="3928" t="s">
        <v>3777</v>
      </c>
      <c r="D397" s="3928" t="s">
        <v>3778</v>
      </c>
      <c r="E397" s="3928" t="s">
        <v>3779</v>
      </c>
      <c r="F397" s="3928" t="s">
        <v>2642</v>
      </c>
      <c r="G397" s="3928" t="s">
        <v>24</v>
      </c>
      <c r="H397" s="3928" t="s">
        <v>2263</v>
      </c>
      <c r="I397" s="3928" t="s">
        <v>811</v>
      </c>
    </row>
    <row r="398" spans="1:9" ht="11.25" customHeight="1">
      <c r="A398" s="3928" t="s">
        <v>2258</v>
      </c>
      <c r="B398" s="3928" t="s">
        <v>14</v>
      </c>
      <c r="C398" s="3928" t="s">
        <v>3780</v>
      </c>
      <c r="D398" s="3928" t="s">
        <v>3781</v>
      </c>
      <c r="E398" s="3928" t="s">
        <v>3782</v>
      </c>
      <c r="F398" s="3928" t="s">
        <v>2451</v>
      </c>
      <c r="G398" s="3928" t="s">
        <v>24</v>
      </c>
      <c r="H398" s="3928" t="s">
        <v>3783</v>
      </c>
      <c r="I398" s="3928" t="s">
        <v>811</v>
      </c>
    </row>
    <row r="399" spans="1:9" ht="11.25" customHeight="1">
      <c r="A399" s="3928" t="s">
        <v>2258</v>
      </c>
      <c r="B399" s="3928" t="s">
        <v>14</v>
      </c>
      <c r="C399" s="3928" t="s">
        <v>3784</v>
      </c>
      <c r="D399" s="3928" t="s">
        <v>3785</v>
      </c>
      <c r="E399" s="3928" t="s">
        <v>3786</v>
      </c>
      <c r="F399" s="3928" t="s">
        <v>2638</v>
      </c>
      <c r="G399" s="3928" t="s">
        <v>24</v>
      </c>
      <c r="H399" s="3928" t="s">
        <v>2263</v>
      </c>
      <c r="I399" s="3928" t="s">
        <v>811</v>
      </c>
    </row>
    <row r="400" spans="1:9" ht="11.25" customHeight="1">
      <c r="A400" s="3928" t="s">
        <v>2258</v>
      </c>
      <c r="B400" s="3928" t="s">
        <v>14</v>
      </c>
      <c r="C400" s="3928" t="s">
        <v>3787</v>
      </c>
      <c r="D400" s="3928" t="s">
        <v>3788</v>
      </c>
      <c r="E400" s="3928" t="s">
        <v>3789</v>
      </c>
      <c r="F400" s="3928" t="s">
        <v>2349</v>
      </c>
      <c r="G400" s="3928" t="s">
        <v>3790</v>
      </c>
      <c r="H400" s="3928" t="s">
        <v>24</v>
      </c>
      <c r="I400" s="3928" t="s">
        <v>811</v>
      </c>
    </row>
    <row r="401" spans="1:9" ht="11.25" customHeight="1">
      <c r="A401" s="3928" t="s">
        <v>2258</v>
      </c>
      <c r="B401" s="3928" t="s">
        <v>14</v>
      </c>
      <c r="C401" s="3928" t="s">
        <v>3791</v>
      </c>
      <c r="D401" s="3928" t="s">
        <v>3792</v>
      </c>
      <c r="E401" s="3928" t="s">
        <v>3793</v>
      </c>
      <c r="F401" s="3928" t="s">
        <v>2409</v>
      </c>
      <c r="G401" s="3928" t="s">
        <v>24</v>
      </c>
      <c r="H401" s="3928" t="s">
        <v>2263</v>
      </c>
      <c r="I401" s="3928" t="s">
        <v>811</v>
      </c>
    </row>
    <row r="402" spans="1:9" ht="11.25" customHeight="1">
      <c r="A402" s="3928" t="s">
        <v>2258</v>
      </c>
      <c r="B402" s="3928" t="s">
        <v>14</v>
      </c>
      <c r="C402" s="3928" t="s">
        <v>3794</v>
      </c>
      <c r="D402" s="3928" t="s">
        <v>3795</v>
      </c>
      <c r="E402" s="3928" t="s">
        <v>3796</v>
      </c>
      <c r="F402" s="3928" t="s">
        <v>2780</v>
      </c>
      <c r="G402" s="3928" t="s">
        <v>3797</v>
      </c>
      <c r="H402" s="3928" t="s">
        <v>2263</v>
      </c>
      <c r="I402" s="3928" t="s">
        <v>811</v>
      </c>
    </row>
    <row r="403" spans="1:9" ht="11.25" customHeight="1">
      <c r="A403" s="3928" t="s">
        <v>2258</v>
      </c>
      <c r="B403" s="3928" t="s">
        <v>14</v>
      </c>
      <c r="C403" s="3928" t="s">
        <v>3798</v>
      </c>
      <c r="D403" s="3928" t="s">
        <v>3799</v>
      </c>
      <c r="E403" s="3928" t="s">
        <v>3800</v>
      </c>
      <c r="F403" s="3928" t="s">
        <v>2409</v>
      </c>
      <c r="G403" s="3928" t="s">
        <v>24</v>
      </c>
      <c r="H403" s="3928" t="s">
        <v>3801</v>
      </c>
      <c r="I403" s="3928" t="s">
        <v>811</v>
      </c>
    </row>
    <row r="404" spans="1:9" ht="11.25" customHeight="1">
      <c r="A404" s="3928" t="s">
        <v>2258</v>
      </c>
      <c r="B404" s="3928" t="s">
        <v>14</v>
      </c>
      <c r="C404" s="3928" t="s">
        <v>3802</v>
      </c>
      <c r="D404" s="3928" t="s">
        <v>3803</v>
      </c>
      <c r="E404" s="3928" t="s">
        <v>3804</v>
      </c>
      <c r="F404" s="3928" t="s">
        <v>2451</v>
      </c>
      <c r="G404" s="3928" t="s">
        <v>24</v>
      </c>
      <c r="H404" s="3928" t="s">
        <v>2263</v>
      </c>
      <c r="I404" s="3928" t="s">
        <v>811</v>
      </c>
    </row>
    <row r="405" spans="1:9" ht="11.25" customHeight="1">
      <c r="A405" s="3928" t="s">
        <v>2258</v>
      </c>
      <c r="B405" s="3928" t="s">
        <v>14</v>
      </c>
      <c r="C405" s="3928" t="s">
        <v>3805</v>
      </c>
      <c r="D405" s="3928" t="s">
        <v>3806</v>
      </c>
      <c r="E405" s="3928" t="s">
        <v>3807</v>
      </c>
      <c r="F405" s="3928" t="s">
        <v>2535</v>
      </c>
      <c r="G405" s="3928" t="s">
        <v>3808</v>
      </c>
      <c r="H405" s="3928" t="s">
        <v>2945</v>
      </c>
      <c r="I405" s="3928" t="s">
        <v>811</v>
      </c>
    </row>
    <row r="406" spans="1:9" ht="11.25" customHeight="1">
      <c r="A406" s="3928" t="s">
        <v>2258</v>
      </c>
      <c r="B406" s="3928" t="s">
        <v>14</v>
      </c>
      <c r="C406" s="3928" t="s">
        <v>3809</v>
      </c>
      <c r="D406" s="3928" t="s">
        <v>3810</v>
      </c>
      <c r="E406" s="3928" t="s">
        <v>3811</v>
      </c>
      <c r="F406" s="3928" t="s">
        <v>2675</v>
      </c>
      <c r="G406" s="3928" t="s">
        <v>24</v>
      </c>
      <c r="H406" s="3928" t="s">
        <v>2263</v>
      </c>
      <c r="I406" s="3928" t="s">
        <v>811</v>
      </c>
    </row>
    <row r="407" spans="1:9" ht="11.25" customHeight="1">
      <c r="A407" s="3928" t="s">
        <v>2258</v>
      </c>
      <c r="B407" s="3928" t="s">
        <v>14</v>
      </c>
      <c r="C407" s="3928" t="s">
        <v>3812</v>
      </c>
      <c r="D407" s="3928" t="s">
        <v>3813</v>
      </c>
      <c r="E407" s="3928" t="s">
        <v>3814</v>
      </c>
      <c r="F407" s="3928" t="s">
        <v>49</v>
      </c>
      <c r="G407" s="3928" t="s">
        <v>24</v>
      </c>
      <c r="H407" s="3928" t="s">
        <v>2263</v>
      </c>
      <c r="I407" s="3928" t="s">
        <v>811</v>
      </c>
    </row>
    <row r="408" spans="1:9" ht="11.25" customHeight="1">
      <c r="A408" s="3928" t="s">
        <v>2258</v>
      </c>
      <c r="B408" s="3928" t="s">
        <v>14</v>
      </c>
      <c r="C408" s="3928" t="s">
        <v>3815</v>
      </c>
      <c r="D408" s="3928" t="s">
        <v>3816</v>
      </c>
      <c r="E408" s="3928" t="s">
        <v>3817</v>
      </c>
      <c r="F408" s="3928" t="s">
        <v>2397</v>
      </c>
      <c r="G408" s="3928" t="s">
        <v>24</v>
      </c>
      <c r="H408" s="3928" t="s">
        <v>2263</v>
      </c>
      <c r="I408" s="3928" t="s">
        <v>811</v>
      </c>
    </row>
    <row r="409" spans="1:9" ht="11.25" customHeight="1">
      <c r="A409" s="3928" t="s">
        <v>2258</v>
      </c>
      <c r="B409" s="3928" t="s">
        <v>14</v>
      </c>
      <c r="C409" s="3928" t="s">
        <v>3818</v>
      </c>
      <c r="D409" s="3928" t="s">
        <v>3819</v>
      </c>
      <c r="E409" s="3928" t="s">
        <v>3820</v>
      </c>
      <c r="F409" s="3928" t="s">
        <v>2675</v>
      </c>
      <c r="G409" s="3928" t="s">
        <v>24</v>
      </c>
      <c r="H409" s="3928" t="s">
        <v>2263</v>
      </c>
      <c r="I409" s="3928" t="s">
        <v>811</v>
      </c>
    </row>
    <row r="410" spans="1:9" ht="11.25" customHeight="1">
      <c r="A410" s="3928" t="s">
        <v>2258</v>
      </c>
      <c r="B410" s="3928" t="s">
        <v>14</v>
      </c>
      <c r="C410" s="3928" t="s">
        <v>3821</v>
      </c>
      <c r="D410" s="3928" t="s">
        <v>3822</v>
      </c>
      <c r="E410" s="3928" t="s">
        <v>3823</v>
      </c>
      <c r="F410" s="3928" t="s">
        <v>2473</v>
      </c>
      <c r="G410" s="3928" t="s">
        <v>24</v>
      </c>
      <c r="H410" s="3928" t="s">
        <v>24</v>
      </c>
      <c r="I410" s="3928" t="s">
        <v>811</v>
      </c>
    </row>
    <row r="411" spans="1:9" ht="11.25" customHeight="1">
      <c r="A411" s="3928" t="s">
        <v>2258</v>
      </c>
      <c r="B411" s="3928" t="s">
        <v>14</v>
      </c>
      <c r="C411" s="3928" t="s">
        <v>3824</v>
      </c>
      <c r="D411" s="3928" t="s">
        <v>3825</v>
      </c>
      <c r="E411" s="3928" t="s">
        <v>3826</v>
      </c>
      <c r="F411" s="3928" t="s">
        <v>2424</v>
      </c>
      <c r="G411" s="3928" t="s">
        <v>24</v>
      </c>
      <c r="H411" s="3928" t="s">
        <v>24</v>
      </c>
      <c r="I411" s="3928" t="s">
        <v>811</v>
      </c>
    </row>
    <row r="412" spans="1:9" ht="11.25" customHeight="1">
      <c r="A412" s="3928" t="s">
        <v>2258</v>
      </c>
      <c r="B412" s="3928" t="s">
        <v>14</v>
      </c>
      <c r="C412" s="3928" t="s">
        <v>3827</v>
      </c>
      <c r="D412" s="3928" t="s">
        <v>3828</v>
      </c>
      <c r="E412" s="3928" t="s">
        <v>3829</v>
      </c>
      <c r="F412" s="3928" t="s">
        <v>2796</v>
      </c>
      <c r="G412" s="3928" t="s">
        <v>24</v>
      </c>
      <c r="H412" s="3928" t="s">
        <v>2263</v>
      </c>
      <c r="I412" s="3928" t="s">
        <v>811</v>
      </c>
    </row>
    <row r="413" spans="1:9" ht="11.25" customHeight="1">
      <c r="A413" s="3928" t="s">
        <v>2258</v>
      </c>
      <c r="B413" s="3928" t="s">
        <v>14</v>
      </c>
      <c r="C413" s="3928" t="s">
        <v>3830</v>
      </c>
      <c r="D413" s="3928" t="s">
        <v>3831</v>
      </c>
      <c r="E413" s="3928" t="s">
        <v>3832</v>
      </c>
      <c r="F413" s="3928" t="s">
        <v>3833</v>
      </c>
      <c r="G413" s="3928" t="s">
        <v>3834</v>
      </c>
      <c r="H413" s="3928" t="s">
        <v>2475</v>
      </c>
      <c r="I413" s="3928" t="s">
        <v>811</v>
      </c>
    </row>
    <row r="414" spans="1:9" ht="11.25" customHeight="1">
      <c r="A414" s="3928" t="s">
        <v>2258</v>
      </c>
      <c r="B414" s="3928" t="s">
        <v>14</v>
      </c>
      <c r="C414" s="3928" t="s">
        <v>3835</v>
      </c>
      <c r="D414" s="3928" t="s">
        <v>3836</v>
      </c>
      <c r="E414" s="3928" t="s">
        <v>3837</v>
      </c>
      <c r="F414" s="3928" t="s">
        <v>2409</v>
      </c>
      <c r="G414" s="3928" t="s">
        <v>24</v>
      </c>
      <c r="H414" s="3928" t="s">
        <v>2263</v>
      </c>
      <c r="I414" s="3928" t="s">
        <v>811</v>
      </c>
    </row>
    <row r="415" spans="1:9" ht="11.25" customHeight="1">
      <c r="A415" s="3928" t="s">
        <v>2258</v>
      </c>
      <c r="B415" s="3928" t="s">
        <v>14</v>
      </c>
      <c r="C415" s="3928" t="s">
        <v>3838</v>
      </c>
      <c r="D415" s="3928" t="s">
        <v>3839</v>
      </c>
      <c r="E415" s="3928" t="s">
        <v>3840</v>
      </c>
      <c r="F415" s="3928" t="s">
        <v>3841</v>
      </c>
      <c r="G415" s="3928" t="s">
        <v>24</v>
      </c>
      <c r="H415" s="3928" t="s">
        <v>24</v>
      </c>
      <c r="I415" s="3928" t="s">
        <v>811</v>
      </c>
    </row>
    <row r="416" spans="1:9" ht="11.25" customHeight="1">
      <c r="A416" s="3928" t="s">
        <v>2258</v>
      </c>
      <c r="B416" s="3928" t="s">
        <v>14</v>
      </c>
      <c r="C416" s="3928" t="s">
        <v>3842</v>
      </c>
      <c r="D416" s="3928" t="s">
        <v>3843</v>
      </c>
      <c r="E416" s="3928" t="s">
        <v>3844</v>
      </c>
      <c r="F416" s="3928" t="s">
        <v>2642</v>
      </c>
      <c r="G416" s="3928" t="s">
        <v>3845</v>
      </c>
      <c r="H416" s="3928" t="s">
        <v>2945</v>
      </c>
      <c r="I416" s="3928" t="s">
        <v>811</v>
      </c>
    </row>
    <row r="417" spans="1:9" ht="11.25" customHeight="1">
      <c r="A417" s="3928" t="s">
        <v>2258</v>
      </c>
      <c r="B417" s="3928" t="s">
        <v>14</v>
      </c>
      <c r="C417" s="3928" t="s">
        <v>3846</v>
      </c>
      <c r="D417" s="3928" t="s">
        <v>3847</v>
      </c>
      <c r="E417" s="3928" t="s">
        <v>3848</v>
      </c>
      <c r="F417" s="3928" t="s">
        <v>2642</v>
      </c>
      <c r="G417" s="3928" t="s">
        <v>24</v>
      </c>
      <c r="H417" s="3928" t="s">
        <v>3068</v>
      </c>
      <c r="I417" s="3928" t="s">
        <v>811</v>
      </c>
    </row>
    <row r="418" spans="1:9" ht="11.25" customHeight="1">
      <c r="A418" s="3928" t="s">
        <v>2258</v>
      </c>
      <c r="B418" s="3928" t="s">
        <v>14</v>
      </c>
      <c r="C418" s="3928" t="s">
        <v>3849</v>
      </c>
      <c r="D418" s="3928" t="s">
        <v>3850</v>
      </c>
      <c r="E418" s="3928" t="s">
        <v>3851</v>
      </c>
      <c r="F418" s="3928" t="s">
        <v>3852</v>
      </c>
      <c r="G418" s="3928" t="s">
        <v>24</v>
      </c>
      <c r="H418" s="3928" t="s">
        <v>24</v>
      </c>
      <c r="I418" s="3928" t="s">
        <v>811</v>
      </c>
    </row>
    <row r="419" spans="1:9" ht="11.25" customHeight="1">
      <c r="A419" s="3928" t="s">
        <v>2258</v>
      </c>
      <c r="B419" s="3928" t="s">
        <v>14</v>
      </c>
      <c r="C419" s="3928" t="s">
        <v>3853</v>
      </c>
      <c r="D419" s="3928" t="s">
        <v>3854</v>
      </c>
      <c r="E419" s="3928" t="s">
        <v>3855</v>
      </c>
      <c r="F419" s="3928" t="s">
        <v>2397</v>
      </c>
      <c r="G419" s="3928" t="s">
        <v>24</v>
      </c>
      <c r="H419" s="3928" t="s">
        <v>24</v>
      </c>
      <c r="I419" s="3928" t="s">
        <v>811</v>
      </c>
    </row>
    <row r="420" spans="1:9" ht="11.25" customHeight="1">
      <c r="A420" s="3928" t="s">
        <v>2258</v>
      </c>
      <c r="B420" s="3928" t="s">
        <v>14</v>
      </c>
      <c r="C420" s="3928" t="s">
        <v>3856</v>
      </c>
      <c r="D420" s="3928" t="s">
        <v>3857</v>
      </c>
      <c r="E420" s="3928" t="s">
        <v>3858</v>
      </c>
      <c r="F420" s="3928" t="s">
        <v>2397</v>
      </c>
      <c r="G420" s="3928" t="s">
        <v>3859</v>
      </c>
      <c r="H420" s="3928" t="s">
        <v>24</v>
      </c>
      <c r="I420" s="3928" t="s">
        <v>811</v>
      </c>
    </row>
    <row r="421" spans="1:9" ht="11.25" customHeight="1">
      <c r="A421" s="3928" t="s">
        <v>2258</v>
      </c>
      <c r="B421" s="3928" t="s">
        <v>14</v>
      </c>
      <c r="C421" s="3928" t="s">
        <v>3860</v>
      </c>
      <c r="D421" s="3928" t="s">
        <v>3861</v>
      </c>
      <c r="E421" s="3928" t="s">
        <v>3862</v>
      </c>
      <c r="F421" s="3928" t="s">
        <v>2409</v>
      </c>
      <c r="G421" s="3928" t="s">
        <v>24</v>
      </c>
      <c r="H421" s="3928" t="s">
        <v>2263</v>
      </c>
      <c r="I421" s="3928" t="s">
        <v>811</v>
      </c>
    </row>
    <row r="422" spans="1:9" ht="11.25" customHeight="1">
      <c r="A422" s="3928" t="s">
        <v>2258</v>
      </c>
      <c r="B422" s="3928" t="s">
        <v>14</v>
      </c>
      <c r="C422" s="3928" t="s">
        <v>3863</v>
      </c>
      <c r="D422" s="3928" t="s">
        <v>3864</v>
      </c>
      <c r="E422" s="3928" t="s">
        <v>3062</v>
      </c>
      <c r="F422" s="3928" t="s">
        <v>3310</v>
      </c>
      <c r="G422" s="3928" t="s">
        <v>24</v>
      </c>
      <c r="H422" s="3928" t="s">
        <v>24</v>
      </c>
      <c r="I422" s="3928" t="s">
        <v>811</v>
      </c>
    </row>
    <row r="423" spans="1:9" ht="11.25" customHeight="1">
      <c r="A423" s="3928" t="s">
        <v>2258</v>
      </c>
      <c r="B423" s="3928" t="s">
        <v>14</v>
      </c>
      <c r="C423" s="3928" t="s">
        <v>3865</v>
      </c>
      <c r="D423" s="3928" t="s">
        <v>3866</v>
      </c>
      <c r="E423" s="3928" t="s">
        <v>3867</v>
      </c>
      <c r="F423" s="3928" t="s">
        <v>3868</v>
      </c>
      <c r="G423" s="3928" t="s">
        <v>24</v>
      </c>
      <c r="H423" s="3928" t="s">
        <v>24</v>
      </c>
      <c r="I423" s="3928" t="s">
        <v>811</v>
      </c>
    </row>
    <row r="424" spans="1:9" ht="11.25" customHeight="1">
      <c r="A424" s="3928" t="s">
        <v>2258</v>
      </c>
      <c r="B424" s="3928" t="s">
        <v>14</v>
      </c>
      <c r="C424" s="3928" t="s">
        <v>3869</v>
      </c>
      <c r="D424" s="3928" t="s">
        <v>3870</v>
      </c>
      <c r="E424" s="3928" t="s">
        <v>3871</v>
      </c>
      <c r="F424" s="3928" t="s">
        <v>3023</v>
      </c>
      <c r="G424" s="3928" t="s">
        <v>24</v>
      </c>
      <c r="H424" s="3928" t="s">
        <v>2263</v>
      </c>
      <c r="I424" s="3928" t="s">
        <v>811</v>
      </c>
    </row>
    <row r="425" spans="1:9" ht="11.25" customHeight="1">
      <c r="A425" s="3928" t="s">
        <v>2258</v>
      </c>
      <c r="B425" s="3928" t="s">
        <v>14</v>
      </c>
      <c r="C425" s="3928" t="s">
        <v>3872</v>
      </c>
      <c r="D425" s="3928" t="s">
        <v>3873</v>
      </c>
      <c r="E425" s="3928" t="s">
        <v>3114</v>
      </c>
      <c r="F425" s="3928" t="s">
        <v>3874</v>
      </c>
      <c r="G425" s="3928" t="s">
        <v>24</v>
      </c>
      <c r="H425" s="3928" t="s">
        <v>24</v>
      </c>
      <c r="I425" s="3928" t="s">
        <v>811</v>
      </c>
    </row>
    <row r="426" spans="1:9" ht="11.25" customHeight="1">
      <c r="A426" s="3928" t="s">
        <v>2258</v>
      </c>
      <c r="B426" s="3928" t="s">
        <v>14</v>
      </c>
      <c r="C426" s="3928" t="s">
        <v>3875</v>
      </c>
      <c r="D426" s="3928" t="s">
        <v>3876</v>
      </c>
      <c r="E426" s="3928" t="s">
        <v>3114</v>
      </c>
      <c r="F426" s="3928" t="s">
        <v>3877</v>
      </c>
      <c r="G426" s="3928" t="s">
        <v>3545</v>
      </c>
      <c r="H426" s="3928" t="s">
        <v>24</v>
      </c>
      <c r="I426" s="3928" t="s">
        <v>811</v>
      </c>
    </row>
    <row r="427" spans="1:9" ht="11.25" customHeight="1">
      <c r="A427" s="3928" t="s">
        <v>2258</v>
      </c>
      <c r="B427" s="3928" t="s">
        <v>14</v>
      </c>
      <c r="C427" s="3928" t="s">
        <v>3878</v>
      </c>
      <c r="D427" s="3928" t="s">
        <v>3879</v>
      </c>
      <c r="E427" s="3928" t="s">
        <v>3880</v>
      </c>
      <c r="F427" s="3928" t="s">
        <v>2262</v>
      </c>
      <c r="G427" s="3928" t="s">
        <v>24</v>
      </c>
      <c r="H427" s="3928" t="s">
        <v>2263</v>
      </c>
      <c r="I427" s="3928" t="s">
        <v>811</v>
      </c>
    </row>
    <row r="428" spans="1:9" ht="11.25" customHeight="1">
      <c r="A428" s="3928" t="s">
        <v>2258</v>
      </c>
      <c r="B428" s="3928" t="s">
        <v>14</v>
      </c>
      <c r="C428" s="3928" t="s">
        <v>3881</v>
      </c>
      <c r="D428" s="3928" t="s">
        <v>3882</v>
      </c>
      <c r="E428" s="3928" t="s">
        <v>3883</v>
      </c>
      <c r="F428" s="3928" t="s">
        <v>3884</v>
      </c>
      <c r="G428" s="3928" t="s">
        <v>3885</v>
      </c>
      <c r="H428" s="3928" t="s">
        <v>3886</v>
      </c>
      <c r="I428" s="3928" t="s">
        <v>811</v>
      </c>
    </row>
    <row r="429" spans="1:9" ht="11.25" customHeight="1">
      <c r="A429" s="3928" t="s">
        <v>2258</v>
      </c>
      <c r="B429" s="3928" t="s">
        <v>14</v>
      </c>
      <c r="C429" s="3928" t="s">
        <v>3887</v>
      </c>
      <c r="D429" s="3928" t="s">
        <v>3888</v>
      </c>
      <c r="E429" s="3928" t="s">
        <v>3889</v>
      </c>
      <c r="F429" s="3928" t="s">
        <v>3890</v>
      </c>
      <c r="G429" s="3928" t="s">
        <v>24</v>
      </c>
      <c r="H429" s="3928" t="s">
        <v>24</v>
      </c>
      <c r="I429" s="3928" t="s">
        <v>811</v>
      </c>
    </row>
    <row r="430" spans="1:9" ht="11.25" customHeight="1">
      <c r="A430" s="3928" t="s">
        <v>2258</v>
      </c>
      <c r="B430" s="3928" t="s">
        <v>14</v>
      </c>
      <c r="C430" s="3928" t="s">
        <v>3891</v>
      </c>
      <c r="D430" s="3928" t="s">
        <v>3892</v>
      </c>
      <c r="E430" s="3928" t="s">
        <v>3893</v>
      </c>
      <c r="F430" s="3928" t="s">
        <v>2624</v>
      </c>
      <c r="G430" s="3928" t="s">
        <v>3894</v>
      </c>
      <c r="H430" s="3928" t="s">
        <v>24</v>
      </c>
      <c r="I430" s="3928" t="s">
        <v>811</v>
      </c>
    </row>
    <row r="431" spans="1:9" ht="11.25" customHeight="1">
      <c r="A431" s="3928" t="s">
        <v>2258</v>
      </c>
      <c r="B431" s="3928" t="s">
        <v>14</v>
      </c>
      <c r="C431" s="3928" t="s">
        <v>3895</v>
      </c>
      <c r="D431" s="3928" t="s">
        <v>3896</v>
      </c>
      <c r="E431" s="3928" t="s">
        <v>3897</v>
      </c>
      <c r="F431" s="3928" t="s">
        <v>2473</v>
      </c>
      <c r="G431" s="3928" t="s">
        <v>24</v>
      </c>
      <c r="H431" s="3928" t="s">
        <v>2263</v>
      </c>
      <c r="I431" s="3928" t="s">
        <v>811</v>
      </c>
    </row>
    <row r="432" spans="1:9" ht="11.25" customHeight="1">
      <c r="A432" s="3928" t="s">
        <v>2258</v>
      </c>
      <c r="B432" s="3928" t="s">
        <v>14</v>
      </c>
      <c r="C432" s="3928" t="s">
        <v>3898</v>
      </c>
      <c r="D432" s="3928" t="s">
        <v>3899</v>
      </c>
      <c r="E432" s="3928" t="s">
        <v>3900</v>
      </c>
      <c r="F432" s="3928" t="s">
        <v>2262</v>
      </c>
      <c r="G432" s="3928" t="s">
        <v>2738</v>
      </c>
      <c r="H432" s="3928" t="s">
        <v>24</v>
      </c>
      <c r="I432" s="3928" t="s">
        <v>811</v>
      </c>
    </row>
    <row r="433" spans="1:9" ht="11.25" customHeight="1">
      <c r="A433" s="3928" t="s">
        <v>2258</v>
      </c>
      <c r="B433" s="3928" t="s">
        <v>14</v>
      </c>
      <c r="C433" s="3928" t="s">
        <v>3901</v>
      </c>
      <c r="D433" s="3928" t="s">
        <v>3902</v>
      </c>
      <c r="E433" s="3928" t="s">
        <v>3903</v>
      </c>
      <c r="F433" s="3928" t="s">
        <v>2831</v>
      </c>
      <c r="G433" s="3928" t="s">
        <v>24</v>
      </c>
      <c r="H433" s="3928" t="s">
        <v>24</v>
      </c>
      <c r="I433" s="3928" t="s">
        <v>811</v>
      </c>
    </row>
    <row r="434" spans="1:9" ht="11.25" customHeight="1">
      <c r="A434" s="3928" t="s">
        <v>2258</v>
      </c>
      <c r="B434" s="3928" t="s">
        <v>14</v>
      </c>
      <c r="C434" s="3928" t="s">
        <v>3904</v>
      </c>
      <c r="D434" s="3928" t="s">
        <v>3905</v>
      </c>
      <c r="E434" s="3928" t="s">
        <v>3906</v>
      </c>
      <c r="F434" s="3928" t="s">
        <v>2294</v>
      </c>
      <c r="G434" s="3928" t="s">
        <v>24</v>
      </c>
      <c r="H434" s="3928" t="s">
        <v>2263</v>
      </c>
      <c r="I434" s="3928" t="s">
        <v>811</v>
      </c>
    </row>
    <row r="435" spans="1:9" ht="11.25" customHeight="1">
      <c r="A435" s="3928" t="s">
        <v>2258</v>
      </c>
      <c r="B435" s="3928" t="s">
        <v>14</v>
      </c>
      <c r="C435" s="3928" t="s">
        <v>3907</v>
      </c>
      <c r="D435" s="3928" t="s">
        <v>3908</v>
      </c>
      <c r="E435" s="3928" t="s">
        <v>3909</v>
      </c>
      <c r="F435" s="3928" t="s">
        <v>2780</v>
      </c>
      <c r="G435" s="3928" t="s">
        <v>24</v>
      </c>
      <c r="H435" s="3928" t="s">
        <v>2263</v>
      </c>
      <c r="I435" s="3928" t="s">
        <v>811</v>
      </c>
    </row>
    <row r="436" spans="1:9" ht="11.25" customHeight="1">
      <c r="A436" s="3928" t="s">
        <v>2258</v>
      </c>
      <c r="B436" s="3928" t="s">
        <v>14</v>
      </c>
      <c r="C436" s="3928" t="s">
        <v>3910</v>
      </c>
      <c r="D436" s="3928" t="s">
        <v>3911</v>
      </c>
      <c r="E436" s="3928" t="s">
        <v>3912</v>
      </c>
      <c r="F436" s="3928" t="s">
        <v>2309</v>
      </c>
      <c r="G436" s="3928" t="s">
        <v>24</v>
      </c>
      <c r="H436" s="3928" t="s">
        <v>24</v>
      </c>
      <c r="I436" s="3928" t="s">
        <v>811</v>
      </c>
    </row>
    <row r="437" spans="1:9" ht="11.25" customHeight="1">
      <c r="A437" s="3928" t="s">
        <v>2258</v>
      </c>
      <c r="B437" s="3928" t="s">
        <v>14</v>
      </c>
      <c r="C437" s="3928" t="s">
        <v>3913</v>
      </c>
      <c r="D437" s="3928" t="s">
        <v>3914</v>
      </c>
      <c r="E437" s="3928" t="s">
        <v>3915</v>
      </c>
      <c r="F437" s="3928" t="s">
        <v>2451</v>
      </c>
      <c r="G437" s="3928" t="s">
        <v>24</v>
      </c>
      <c r="H437" s="3928" t="s">
        <v>24</v>
      </c>
      <c r="I437" s="3928" t="s">
        <v>811</v>
      </c>
    </row>
    <row r="438" spans="1:9" ht="11.25" customHeight="1">
      <c r="A438" s="3928" t="s">
        <v>2258</v>
      </c>
      <c r="B438" s="3928" t="s">
        <v>14</v>
      </c>
      <c r="C438" s="3928" t="s">
        <v>3916</v>
      </c>
      <c r="D438" s="3928" t="s">
        <v>3917</v>
      </c>
      <c r="E438" s="3928" t="s">
        <v>3918</v>
      </c>
      <c r="F438" s="3928" t="s">
        <v>2451</v>
      </c>
      <c r="G438" s="3928" t="s">
        <v>24</v>
      </c>
      <c r="H438" s="3928" t="s">
        <v>24</v>
      </c>
      <c r="I438" s="3928" t="s">
        <v>811</v>
      </c>
    </row>
    <row r="439" spans="1:9" ht="11.25" customHeight="1">
      <c r="A439" s="3928" t="s">
        <v>2258</v>
      </c>
      <c r="B439" s="3928" t="s">
        <v>14</v>
      </c>
      <c r="C439" s="3928" t="s">
        <v>3919</v>
      </c>
      <c r="D439" s="3928" t="s">
        <v>3920</v>
      </c>
      <c r="E439" s="3928" t="s">
        <v>3921</v>
      </c>
      <c r="F439" s="3928" t="s">
        <v>2513</v>
      </c>
      <c r="G439" s="3928" t="s">
        <v>24</v>
      </c>
      <c r="H439" s="3928" t="s">
        <v>2263</v>
      </c>
      <c r="I439" s="3928" t="s">
        <v>811</v>
      </c>
    </row>
    <row r="440" spans="1:9" ht="11.25" customHeight="1">
      <c r="A440" s="3928" t="s">
        <v>2258</v>
      </c>
      <c r="B440" s="3928" t="s">
        <v>14</v>
      </c>
      <c r="C440" s="3928" t="s">
        <v>3922</v>
      </c>
      <c r="D440" s="3928" t="s">
        <v>3923</v>
      </c>
      <c r="E440" s="3928" t="s">
        <v>3924</v>
      </c>
      <c r="F440" s="3928" t="s">
        <v>2473</v>
      </c>
      <c r="G440" s="3928" t="s">
        <v>24</v>
      </c>
      <c r="H440" s="3928" t="s">
        <v>3068</v>
      </c>
      <c r="I440" s="3928" t="s">
        <v>811</v>
      </c>
    </row>
    <row r="441" spans="1:9" ht="11.25" customHeight="1">
      <c r="A441" s="3928" t="s">
        <v>2258</v>
      </c>
      <c r="B441" s="3928" t="s">
        <v>14</v>
      </c>
      <c r="C441" s="3928" t="s">
        <v>3925</v>
      </c>
      <c r="D441" s="3928" t="s">
        <v>3926</v>
      </c>
      <c r="E441" s="3928" t="s">
        <v>3927</v>
      </c>
      <c r="F441" s="3928" t="s">
        <v>2419</v>
      </c>
      <c r="G441" s="3928" t="s">
        <v>24</v>
      </c>
      <c r="H441" s="3928" t="s">
        <v>3928</v>
      </c>
      <c r="I441" s="3928" t="s">
        <v>811</v>
      </c>
    </row>
    <row r="442" spans="1:9" ht="11.25" customHeight="1">
      <c r="A442" s="3928" t="s">
        <v>2258</v>
      </c>
      <c r="B442" s="3928" t="s">
        <v>14</v>
      </c>
      <c r="C442" s="3928" t="s">
        <v>3929</v>
      </c>
      <c r="D442" s="3928" t="s">
        <v>3930</v>
      </c>
      <c r="E442" s="3928" t="s">
        <v>3931</v>
      </c>
      <c r="F442" s="3928" t="s">
        <v>2429</v>
      </c>
      <c r="G442" s="3928" t="s">
        <v>24</v>
      </c>
      <c r="H442" s="3928" t="s">
        <v>3932</v>
      </c>
      <c r="I442" s="3928" t="s">
        <v>811</v>
      </c>
    </row>
    <row r="443" spans="1:9" ht="11.25" customHeight="1">
      <c r="A443" s="3928" t="s">
        <v>2258</v>
      </c>
      <c r="B443" s="3928" t="s">
        <v>14</v>
      </c>
      <c r="C443" s="3928" t="s">
        <v>3933</v>
      </c>
      <c r="D443" s="3928" t="s">
        <v>3934</v>
      </c>
      <c r="E443" s="3928" t="s">
        <v>3935</v>
      </c>
      <c r="F443" s="3928" t="s">
        <v>2294</v>
      </c>
      <c r="G443" s="3928" t="s">
        <v>24</v>
      </c>
      <c r="H443" s="3928" t="s">
        <v>2263</v>
      </c>
      <c r="I443" s="3928" t="s">
        <v>811</v>
      </c>
    </row>
    <row r="444" spans="1:9" ht="11.25" customHeight="1">
      <c r="A444" s="3928" t="s">
        <v>2258</v>
      </c>
      <c r="B444" s="3928" t="s">
        <v>14</v>
      </c>
      <c r="C444" s="3928" t="s">
        <v>3936</v>
      </c>
      <c r="D444" s="3928" t="s">
        <v>3937</v>
      </c>
      <c r="E444" s="3928" t="s">
        <v>3938</v>
      </c>
      <c r="F444" s="3928" t="s">
        <v>2486</v>
      </c>
      <c r="G444" s="3928" t="s">
        <v>24</v>
      </c>
      <c r="H444" s="3928" t="s">
        <v>2263</v>
      </c>
      <c r="I444" s="3928" t="s">
        <v>811</v>
      </c>
    </row>
    <row r="445" spans="1:9" ht="11.25" customHeight="1">
      <c r="A445" s="3928" t="s">
        <v>2258</v>
      </c>
      <c r="B445" s="3928" t="s">
        <v>14</v>
      </c>
      <c r="C445" s="3928" t="s">
        <v>3939</v>
      </c>
      <c r="D445" s="3928" t="s">
        <v>3940</v>
      </c>
      <c r="E445" s="3928" t="s">
        <v>3941</v>
      </c>
      <c r="F445" s="3928" t="s">
        <v>2567</v>
      </c>
      <c r="G445" s="3928" t="s">
        <v>24</v>
      </c>
      <c r="H445" s="3928" t="s">
        <v>24</v>
      </c>
      <c r="I445" s="3928" t="s">
        <v>811</v>
      </c>
    </row>
    <row r="446" spans="1:9" ht="11.25" customHeight="1">
      <c r="A446" s="3928" t="s">
        <v>2258</v>
      </c>
      <c r="B446" s="3928" t="s">
        <v>14</v>
      </c>
      <c r="C446" s="3928" t="s">
        <v>3942</v>
      </c>
      <c r="D446" s="3928" t="s">
        <v>3943</v>
      </c>
      <c r="E446" s="3928" t="s">
        <v>3944</v>
      </c>
      <c r="F446" s="3928" t="s">
        <v>2473</v>
      </c>
      <c r="G446" s="3928" t="s">
        <v>24</v>
      </c>
      <c r="H446" s="3928" t="s">
        <v>2263</v>
      </c>
      <c r="I446" s="3928" t="s">
        <v>811</v>
      </c>
    </row>
    <row r="447" spans="1:9" ht="11.25" customHeight="1">
      <c r="A447" s="3928" t="s">
        <v>2258</v>
      </c>
      <c r="B447" s="3928" t="s">
        <v>14</v>
      </c>
      <c r="C447" s="3928" t="s">
        <v>3945</v>
      </c>
      <c r="D447" s="3928" t="s">
        <v>3946</v>
      </c>
      <c r="E447" s="3928" t="s">
        <v>3947</v>
      </c>
      <c r="F447" s="3928" t="s">
        <v>2359</v>
      </c>
      <c r="G447" s="3928" t="s">
        <v>24</v>
      </c>
      <c r="H447" s="3928" t="s">
        <v>24</v>
      </c>
      <c r="I447" s="3928" t="s">
        <v>811</v>
      </c>
    </row>
    <row r="448" spans="1:9" ht="11.25" customHeight="1">
      <c r="A448" s="3928" t="s">
        <v>2258</v>
      </c>
      <c r="B448" s="3928" t="s">
        <v>14</v>
      </c>
      <c r="C448" s="3928" t="s">
        <v>3948</v>
      </c>
      <c r="D448" s="3928" t="s">
        <v>3949</v>
      </c>
      <c r="E448" s="3928" t="s">
        <v>3950</v>
      </c>
      <c r="F448" s="3928" t="s">
        <v>2289</v>
      </c>
      <c r="G448" s="3928" t="s">
        <v>3951</v>
      </c>
      <c r="H448" s="3928" t="s">
        <v>24</v>
      </c>
      <c r="I448" s="3928" t="s">
        <v>811</v>
      </c>
    </row>
    <row r="449" spans="1:9" ht="11.25" customHeight="1">
      <c r="A449" s="3928" t="s">
        <v>2258</v>
      </c>
      <c r="B449" s="3928" t="s">
        <v>14</v>
      </c>
      <c r="C449" s="3928" t="s">
        <v>3952</v>
      </c>
      <c r="D449" s="3928" t="s">
        <v>3953</v>
      </c>
      <c r="E449" s="3928" t="s">
        <v>3954</v>
      </c>
      <c r="F449" s="3928" t="s">
        <v>2397</v>
      </c>
      <c r="G449" s="3928" t="s">
        <v>24</v>
      </c>
      <c r="H449" s="3928" t="s">
        <v>2475</v>
      </c>
      <c r="I449" s="3928" t="s">
        <v>811</v>
      </c>
    </row>
    <row r="450" spans="1:9" ht="11.25" customHeight="1">
      <c r="A450" s="3928" t="s">
        <v>2258</v>
      </c>
      <c r="B450" s="3928" t="s">
        <v>14</v>
      </c>
      <c r="C450" s="3928" t="s">
        <v>3955</v>
      </c>
      <c r="D450" s="3928" t="s">
        <v>3956</v>
      </c>
      <c r="E450" s="3928" t="s">
        <v>3957</v>
      </c>
      <c r="F450" s="3928" t="s">
        <v>2638</v>
      </c>
      <c r="G450" s="3928" t="s">
        <v>24</v>
      </c>
      <c r="H450" s="3928" t="s">
        <v>3068</v>
      </c>
      <c r="I450" s="3928" t="s">
        <v>811</v>
      </c>
    </row>
    <row r="451" spans="1:9" ht="11.25" customHeight="1">
      <c r="A451" s="3928" t="s">
        <v>2258</v>
      </c>
      <c r="B451" s="3928" t="s">
        <v>14</v>
      </c>
      <c r="C451" s="3928" t="s">
        <v>3958</v>
      </c>
      <c r="D451" s="3928" t="s">
        <v>3959</v>
      </c>
      <c r="E451" s="3928" t="s">
        <v>3960</v>
      </c>
      <c r="F451" s="3928" t="s">
        <v>2375</v>
      </c>
      <c r="G451" s="3928" t="s">
        <v>24</v>
      </c>
      <c r="H451" s="3928" t="s">
        <v>2263</v>
      </c>
      <c r="I451" s="3928" t="s">
        <v>811</v>
      </c>
    </row>
    <row r="452" spans="1:9" ht="11.25" customHeight="1">
      <c r="A452" s="3928" t="s">
        <v>2258</v>
      </c>
      <c r="B452" s="3928" t="s">
        <v>14</v>
      </c>
      <c r="C452" s="3928" t="s">
        <v>3961</v>
      </c>
      <c r="D452" s="3928" t="s">
        <v>3962</v>
      </c>
      <c r="E452" s="3928" t="s">
        <v>3963</v>
      </c>
      <c r="F452" s="3928" t="s">
        <v>2473</v>
      </c>
      <c r="G452" s="3928" t="s">
        <v>24</v>
      </c>
      <c r="H452" s="3928" t="s">
        <v>2263</v>
      </c>
      <c r="I452" s="3928" t="s">
        <v>811</v>
      </c>
    </row>
    <row r="453" spans="1:9" ht="11.25" customHeight="1">
      <c r="A453" s="3928" t="s">
        <v>2258</v>
      </c>
      <c r="B453" s="3928" t="s">
        <v>14</v>
      </c>
      <c r="C453" s="3928" t="s">
        <v>3964</v>
      </c>
      <c r="D453" s="3928" t="s">
        <v>3965</v>
      </c>
      <c r="E453" s="3928" t="s">
        <v>3966</v>
      </c>
      <c r="F453" s="3928" t="s">
        <v>3310</v>
      </c>
      <c r="G453" s="3928" t="s">
        <v>24</v>
      </c>
      <c r="H453" s="3928" t="s">
        <v>24</v>
      </c>
      <c r="I453" s="3928" t="s">
        <v>811</v>
      </c>
    </row>
    <row r="454" spans="1:9" ht="11.25" customHeight="1">
      <c r="A454" s="3928" t="s">
        <v>2258</v>
      </c>
      <c r="B454" s="3928" t="s">
        <v>14</v>
      </c>
      <c r="C454" s="3928" t="s">
        <v>3967</v>
      </c>
      <c r="D454" s="3928" t="s">
        <v>3968</v>
      </c>
      <c r="E454" s="3928" t="s">
        <v>3969</v>
      </c>
      <c r="F454" s="3928" t="s">
        <v>3970</v>
      </c>
      <c r="G454" s="3928" t="s">
        <v>24</v>
      </c>
      <c r="H454" s="3928" t="s">
        <v>24</v>
      </c>
      <c r="I454" s="3928" t="s">
        <v>811</v>
      </c>
    </row>
    <row r="455" spans="1:9" ht="11.25" customHeight="1">
      <c r="A455" s="3928" t="s">
        <v>2258</v>
      </c>
      <c r="B455" s="3928" t="s">
        <v>14</v>
      </c>
      <c r="C455" s="3928" t="s">
        <v>3971</v>
      </c>
      <c r="D455" s="3928" t="s">
        <v>3972</v>
      </c>
      <c r="E455" s="3928" t="s">
        <v>3973</v>
      </c>
      <c r="F455" s="3928" t="s">
        <v>2796</v>
      </c>
      <c r="G455" s="3928" t="s">
        <v>24</v>
      </c>
      <c r="H455" s="3928" t="s">
        <v>3068</v>
      </c>
      <c r="I455" s="3928" t="s">
        <v>811</v>
      </c>
    </row>
    <row r="456" spans="1:9" ht="11.25" customHeight="1">
      <c r="A456" s="3928" t="s">
        <v>2258</v>
      </c>
      <c r="B456" s="3928" t="s">
        <v>14</v>
      </c>
      <c r="C456" s="3928" t="s">
        <v>3974</v>
      </c>
      <c r="D456" s="3928" t="s">
        <v>3975</v>
      </c>
      <c r="E456" s="3928" t="s">
        <v>3976</v>
      </c>
      <c r="F456" s="3928" t="s">
        <v>2780</v>
      </c>
      <c r="G456" s="3928" t="s">
        <v>24</v>
      </c>
      <c r="H456" s="3928" t="s">
        <v>24</v>
      </c>
      <c r="I456" s="3928" t="s">
        <v>811</v>
      </c>
    </row>
    <row r="457" spans="1:9" ht="11.25" customHeight="1">
      <c r="A457" s="3928" t="s">
        <v>2258</v>
      </c>
      <c r="B457" s="3928" t="s">
        <v>14</v>
      </c>
      <c r="C457" s="3928" t="s">
        <v>3977</v>
      </c>
      <c r="D457" s="3928" t="s">
        <v>3978</v>
      </c>
      <c r="E457" s="3928" t="s">
        <v>3979</v>
      </c>
      <c r="F457" s="3928" t="s">
        <v>2424</v>
      </c>
      <c r="G457" s="3928" t="s">
        <v>24</v>
      </c>
      <c r="H457" s="3928" t="s">
        <v>2263</v>
      </c>
      <c r="I457" s="3928" t="s">
        <v>811</v>
      </c>
    </row>
    <row r="458" spans="1:9" ht="11.25" customHeight="1">
      <c r="A458" s="3928" t="s">
        <v>2258</v>
      </c>
      <c r="B458" s="3928" t="s">
        <v>14</v>
      </c>
      <c r="C458" s="3928" t="s">
        <v>3980</v>
      </c>
      <c r="D458" s="3928" t="s">
        <v>3981</v>
      </c>
      <c r="E458" s="3928" t="s">
        <v>3982</v>
      </c>
      <c r="F458" s="3928" t="s">
        <v>2289</v>
      </c>
      <c r="G458" s="3928" t="s">
        <v>24</v>
      </c>
      <c r="H458" s="3928" t="s">
        <v>2263</v>
      </c>
      <c r="I458" s="3928" t="s">
        <v>811</v>
      </c>
    </row>
    <row r="459" spans="1:9" ht="11.25" customHeight="1">
      <c r="A459" s="3928" t="s">
        <v>2258</v>
      </c>
      <c r="B459" s="3928" t="s">
        <v>14</v>
      </c>
      <c r="C459" s="3928" t="s">
        <v>3983</v>
      </c>
      <c r="D459" s="3928" t="s">
        <v>3984</v>
      </c>
      <c r="E459" s="3928" t="s">
        <v>3985</v>
      </c>
      <c r="F459" s="3928" t="s">
        <v>2701</v>
      </c>
      <c r="G459" s="3928" t="s">
        <v>24</v>
      </c>
      <c r="H459" s="3928" t="s">
        <v>2475</v>
      </c>
      <c r="I459" s="3928" t="s">
        <v>811</v>
      </c>
    </row>
    <row r="460" spans="1:9" ht="11.25" customHeight="1">
      <c r="A460" s="3928" t="s">
        <v>2258</v>
      </c>
      <c r="B460" s="3928" t="s">
        <v>14</v>
      </c>
      <c r="C460" s="3928" t="s">
        <v>3986</v>
      </c>
      <c r="D460" s="3928" t="s">
        <v>3987</v>
      </c>
      <c r="E460" s="3928" t="s">
        <v>3988</v>
      </c>
      <c r="F460" s="3928" t="s">
        <v>2438</v>
      </c>
      <c r="G460" s="3928" t="s">
        <v>24</v>
      </c>
      <c r="H460" s="3928" t="s">
        <v>3068</v>
      </c>
      <c r="I460" s="3928" t="s">
        <v>811</v>
      </c>
    </row>
    <row r="461" spans="1:9" ht="11.25" customHeight="1">
      <c r="A461" s="3928" t="s">
        <v>2258</v>
      </c>
      <c r="B461" s="3928" t="s">
        <v>14</v>
      </c>
      <c r="C461" s="3928" t="s">
        <v>3989</v>
      </c>
      <c r="D461" s="3928" t="s">
        <v>3990</v>
      </c>
      <c r="E461" s="3928" t="s">
        <v>3991</v>
      </c>
      <c r="F461" s="3928" t="s">
        <v>2294</v>
      </c>
      <c r="G461" s="3928" t="s">
        <v>24</v>
      </c>
      <c r="H461" s="3928" t="s">
        <v>3992</v>
      </c>
      <c r="I461" s="3928" t="s">
        <v>811</v>
      </c>
    </row>
    <row r="462" spans="1:9" ht="11.25" customHeight="1">
      <c r="A462" s="3928" t="s">
        <v>2258</v>
      </c>
      <c r="B462" s="3928" t="s">
        <v>14</v>
      </c>
      <c r="C462" s="3928" t="s">
        <v>3993</v>
      </c>
      <c r="D462" s="3928" t="s">
        <v>3994</v>
      </c>
      <c r="E462" s="3928" t="s">
        <v>3995</v>
      </c>
      <c r="F462" s="3928" t="s">
        <v>2675</v>
      </c>
      <c r="G462" s="3928" t="s">
        <v>24</v>
      </c>
      <c r="H462" s="3928" t="s">
        <v>2263</v>
      </c>
      <c r="I462" s="3928" t="s">
        <v>811</v>
      </c>
    </row>
    <row r="463" spans="1:9" ht="11.25" customHeight="1">
      <c r="A463" s="3928" t="s">
        <v>2258</v>
      </c>
      <c r="B463" s="3928" t="s">
        <v>14</v>
      </c>
      <c r="C463" s="3928" t="s">
        <v>3996</v>
      </c>
      <c r="D463" s="3928" t="s">
        <v>3997</v>
      </c>
      <c r="E463" s="3928" t="s">
        <v>3998</v>
      </c>
      <c r="F463" s="3928" t="s">
        <v>2304</v>
      </c>
      <c r="G463" s="3928" t="s">
        <v>24</v>
      </c>
      <c r="H463" s="3928" t="s">
        <v>24</v>
      </c>
      <c r="I463" s="3928" t="s">
        <v>811</v>
      </c>
    </row>
    <row r="464" spans="1:9" ht="11.25" customHeight="1">
      <c r="A464" s="3928" t="s">
        <v>2258</v>
      </c>
      <c r="B464" s="3928" t="s">
        <v>14</v>
      </c>
      <c r="C464" s="3928" t="s">
        <v>3999</v>
      </c>
      <c r="D464" s="3928" t="s">
        <v>4000</v>
      </c>
      <c r="E464" s="3928" t="s">
        <v>4001</v>
      </c>
      <c r="F464" s="3928" t="s">
        <v>2464</v>
      </c>
      <c r="G464" s="3928" t="s">
        <v>24</v>
      </c>
      <c r="H464" s="3928" t="s">
        <v>2263</v>
      </c>
      <c r="I464" s="3928" t="s">
        <v>811</v>
      </c>
    </row>
    <row r="465" spans="1:9" ht="11.25" customHeight="1">
      <c r="A465" s="3928" t="s">
        <v>2258</v>
      </c>
      <c r="B465" s="3928" t="s">
        <v>14</v>
      </c>
      <c r="C465" s="3928" t="s">
        <v>4002</v>
      </c>
      <c r="D465" s="3928" t="s">
        <v>4003</v>
      </c>
      <c r="E465" s="3928" t="s">
        <v>4004</v>
      </c>
      <c r="F465" s="3928" t="s">
        <v>3051</v>
      </c>
      <c r="G465" s="3928" t="s">
        <v>4005</v>
      </c>
      <c r="H465" s="3928" t="s">
        <v>24</v>
      </c>
      <c r="I465" s="3928" t="s">
        <v>811</v>
      </c>
    </row>
    <row r="466" spans="1:9" ht="11.25" customHeight="1">
      <c r="A466" s="3928" t="s">
        <v>2258</v>
      </c>
      <c r="B466" s="3928" t="s">
        <v>14</v>
      </c>
      <c r="C466" s="3928" t="s">
        <v>4006</v>
      </c>
      <c r="D466" s="3928" t="s">
        <v>4007</v>
      </c>
      <c r="E466" s="3928" t="s">
        <v>4008</v>
      </c>
      <c r="F466" s="3928" t="s">
        <v>3509</v>
      </c>
      <c r="G466" s="3928" t="s">
        <v>24</v>
      </c>
      <c r="H466" s="3928" t="s">
        <v>2263</v>
      </c>
      <c r="I466" s="3928" t="s">
        <v>811</v>
      </c>
    </row>
    <row r="467" spans="1:9" ht="11.25" customHeight="1">
      <c r="A467" s="3928" t="s">
        <v>2258</v>
      </c>
      <c r="B467" s="3928" t="s">
        <v>14</v>
      </c>
      <c r="C467" s="3928" t="s">
        <v>4009</v>
      </c>
      <c r="D467" s="3928" t="s">
        <v>4010</v>
      </c>
      <c r="E467" s="3928" t="s">
        <v>4011</v>
      </c>
      <c r="F467" s="3928" t="s">
        <v>2535</v>
      </c>
      <c r="G467" s="3928" t="s">
        <v>24</v>
      </c>
      <c r="H467" s="3928" t="s">
        <v>2263</v>
      </c>
      <c r="I467" s="3928" t="s">
        <v>811</v>
      </c>
    </row>
    <row r="468" spans="1:9" ht="11.25" customHeight="1">
      <c r="A468" s="3928" t="s">
        <v>2258</v>
      </c>
      <c r="B468" s="3928" t="s">
        <v>14</v>
      </c>
      <c r="C468" s="3928" t="s">
        <v>4012</v>
      </c>
      <c r="D468" s="3928" t="s">
        <v>4013</v>
      </c>
      <c r="E468" s="3928" t="s">
        <v>4014</v>
      </c>
      <c r="F468" s="3928" t="s">
        <v>2535</v>
      </c>
      <c r="G468" s="3928" t="s">
        <v>24</v>
      </c>
      <c r="H468" s="3928" t="s">
        <v>2475</v>
      </c>
      <c r="I468" s="3928" t="s">
        <v>811</v>
      </c>
    </row>
    <row r="469" spans="1:9" ht="11.25" customHeight="1">
      <c r="A469" s="3928" t="s">
        <v>2258</v>
      </c>
      <c r="B469" s="3928" t="s">
        <v>14</v>
      </c>
      <c r="C469" s="3928" t="s">
        <v>4015</v>
      </c>
      <c r="D469" s="3928" t="s">
        <v>4016</v>
      </c>
      <c r="E469" s="3928" t="s">
        <v>4017</v>
      </c>
      <c r="F469" s="3928" t="s">
        <v>2675</v>
      </c>
      <c r="G469" s="3928" t="s">
        <v>24</v>
      </c>
      <c r="H469" s="3928" t="s">
        <v>2263</v>
      </c>
      <c r="I469" s="3928" t="s">
        <v>811</v>
      </c>
    </row>
    <row r="470" spans="1:9" ht="11.25" customHeight="1">
      <c r="A470" s="3928" t="s">
        <v>2258</v>
      </c>
      <c r="B470" s="3928" t="s">
        <v>14</v>
      </c>
      <c r="C470" s="3928" t="s">
        <v>4018</v>
      </c>
      <c r="D470" s="3928" t="s">
        <v>4019</v>
      </c>
      <c r="E470" s="3928" t="s">
        <v>4020</v>
      </c>
      <c r="F470" s="3928" t="s">
        <v>4021</v>
      </c>
      <c r="G470" s="3928" t="s">
        <v>24</v>
      </c>
      <c r="H470" s="3928" t="s">
        <v>2263</v>
      </c>
      <c r="I470" s="3928" t="s">
        <v>811</v>
      </c>
    </row>
    <row r="471" spans="1:9" ht="11.25" customHeight="1">
      <c r="A471" s="3928" t="s">
        <v>2258</v>
      </c>
      <c r="B471" s="3928" t="s">
        <v>14</v>
      </c>
      <c r="C471" s="3928" t="s">
        <v>4022</v>
      </c>
      <c r="D471" s="3928" t="s">
        <v>4023</v>
      </c>
      <c r="E471" s="3928" t="s">
        <v>4024</v>
      </c>
      <c r="F471" s="3928" t="s">
        <v>4025</v>
      </c>
      <c r="G471" s="3928" t="s">
        <v>24</v>
      </c>
      <c r="H471" s="3928" t="s">
        <v>24</v>
      </c>
      <c r="I471" s="3928" t="s">
        <v>811</v>
      </c>
    </row>
    <row r="472" spans="1:9" ht="11.25" customHeight="1">
      <c r="A472" s="3928" t="s">
        <v>2258</v>
      </c>
      <c r="B472" s="3928" t="s">
        <v>14</v>
      </c>
      <c r="C472" s="3928" t="s">
        <v>4026</v>
      </c>
      <c r="D472" s="3928" t="s">
        <v>4027</v>
      </c>
      <c r="E472" s="3928" t="s">
        <v>4028</v>
      </c>
      <c r="F472" s="3928" t="s">
        <v>2473</v>
      </c>
      <c r="G472" s="3928" t="s">
        <v>4029</v>
      </c>
      <c r="H472" s="3928" t="s">
        <v>24</v>
      </c>
      <c r="I472" s="3928" t="s">
        <v>811</v>
      </c>
    </row>
    <row r="473" spans="1:9" ht="11.25" customHeight="1">
      <c r="A473" s="3928" t="s">
        <v>2258</v>
      </c>
      <c r="B473" s="3928" t="s">
        <v>14</v>
      </c>
      <c r="C473" s="3928" t="s">
        <v>4030</v>
      </c>
      <c r="D473" s="3928" t="s">
        <v>4031</v>
      </c>
      <c r="E473" s="3928" t="s">
        <v>4032</v>
      </c>
      <c r="F473" s="3928" t="s">
        <v>3420</v>
      </c>
      <c r="G473" s="3928" t="s">
        <v>24</v>
      </c>
      <c r="H473" s="3928" t="s">
        <v>24</v>
      </c>
      <c r="I473" s="3928" t="s">
        <v>811</v>
      </c>
    </row>
    <row r="474" spans="1:9" ht="11.25" customHeight="1">
      <c r="A474" s="3928" t="s">
        <v>2258</v>
      </c>
      <c r="B474" s="3928" t="s">
        <v>14</v>
      </c>
      <c r="C474" s="3928" t="s">
        <v>4033</v>
      </c>
      <c r="D474" s="3928" t="s">
        <v>4034</v>
      </c>
      <c r="E474" s="3928" t="s">
        <v>4035</v>
      </c>
      <c r="F474" s="3928" t="s">
        <v>4036</v>
      </c>
      <c r="G474" s="3928" t="s">
        <v>24</v>
      </c>
      <c r="H474" s="3928" t="s">
        <v>2263</v>
      </c>
      <c r="I474" s="3928" t="s">
        <v>811</v>
      </c>
    </row>
    <row r="475" spans="1:9" ht="11.25" customHeight="1">
      <c r="A475" s="3928" t="s">
        <v>2258</v>
      </c>
      <c r="B475" s="3928" t="s">
        <v>14</v>
      </c>
      <c r="C475" s="3928" t="s">
        <v>4037</v>
      </c>
      <c r="D475" s="3928" t="s">
        <v>4038</v>
      </c>
      <c r="E475" s="3928" t="s">
        <v>4039</v>
      </c>
      <c r="F475" s="3928" t="s">
        <v>2397</v>
      </c>
      <c r="G475" s="3928" t="s">
        <v>24</v>
      </c>
      <c r="H475" s="3928" t="s">
        <v>2475</v>
      </c>
      <c r="I475" s="3928" t="s">
        <v>811</v>
      </c>
    </row>
    <row r="476" spans="1:9" ht="11.25" customHeight="1">
      <c r="A476" s="3928" t="s">
        <v>2258</v>
      </c>
      <c r="B476" s="3928" t="s">
        <v>14</v>
      </c>
      <c r="C476" s="3928" t="s">
        <v>4040</v>
      </c>
      <c r="D476" s="3928" t="s">
        <v>4041</v>
      </c>
      <c r="E476" s="3928" t="s">
        <v>4042</v>
      </c>
      <c r="F476" s="3928" t="s">
        <v>2802</v>
      </c>
      <c r="G476" s="3928" t="s">
        <v>24</v>
      </c>
      <c r="H476" s="3928" t="s">
        <v>4043</v>
      </c>
      <c r="I476" s="3928" t="s">
        <v>811</v>
      </c>
    </row>
    <row r="477" spans="1:9" ht="11.25" customHeight="1">
      <c r="A477" s="3928" t="s">
        <v>2258</v>
      </c>
      <c r="B477" s="3928" t="s">
        <v>14</v>
      </c>
      <c r="C477" s="3928" t="s">
        <v>4044</v>
      </c>
      <c r="D477" s="3928" t="s">
        <v>4045</v>
      </c>
      <c r="E477" s="3928" t="s">
        <v>2437</v>
      </c>
      <c r="F477" s="3928" t="s">
        <v>2513</v>
      </c>
      <c r="G477" s="3928" t="s">
        <v>24</v>
      </c>
      <c r="H477" s="3928" t="s">
        <v>2263</v>
      </c>
      <c r="I477" s="3928" t="s">
        <v>811</v>
      </c>
    </row>
    <row r="478" spans="1:9" ht="11.25" customHeight="1">
      <c r="A478" s="3928" t="s">
        <v>2258</v>
      </c>
      <c r="B478" s="3928" t="s">
        <v>14</v>
      </c>
      <c r="C478" s="3928" t="s">
        <v>4046</v>
      </c>
      <c r="D478" s="3928" t="s">
        <v>4047</v>
      </c>
      <c r="E478" s="3928" t="s">
        <v>4048</v>
      </c>
      <c r="F478" s="3928" t="s">
        <v>2349</v>
      </c>
      <c r="G478" s="3928" t="s">
        <v>24</v>
      </c>
      <c r="H478" s="3928" t="s">
        <v>2263</v>
      </c>
      <c r="I478" s="3928" t="s">
        <v>811</v>
      </c>
    </row>
    <row r="479" spans="1:9" ht="11.25" customHeight="1">
      <c r="A479" s="3928" t="s">
        <v>2258</v>
      </c>
      <c r="B479" s="3928" t="s">
        <v>14</v>
      </c>
      <c r="C479" s="3928" t="s">
        <v>4049</v>
      </c>
      <c r="D479" s="3928" t="s">
        <v>4050</v>
      </c>
      <c r="E479" s="3928" t="s">
        <v>4051</v>
      </c>
      <c r="F479" s="3928" t="s">
        <v>2354</v>
      </c>
      <c r="G479" s="3928" t="s">
        <v>24</v>
      </c>
      <c r="H479" s="3928" t="s">
        <v>3510</v>
      </c>
      <c r="I479" s="3928" t="s">
        <v>811</v>
      </c>
    </row>
    <row r="480" spans="1:9" ht="11.25" customHeight="1">
      <c r="A480" s="3928" t="s">
        <v>2258</v>
      </c>
      <c r="B480" s="3928" t="s">
        <v>14</v>
      </c>
      <c r="C480" s="3928" t="s">
        <v>4052</v>
      </c>
      <c r="D480" s="3928" t="s">
        <v>4053</v>
      </c>
      <c r="E480" s="3928" t="s">
        <v>4054</v>
      </c>
      <c r="F480" s="3928" t="s">
        <v>2796</v>
      </c>
      <c r="G480" s="3928" t="s">
        <v>24</v>
      </c>
      <c r="H480" s="3928" t="s">
        <v>3297</v>
      </c>
      <c r="I480" s="3928" t="s">
        <v>811</v>
      </c>
    </row>
    <row r="481" spans="1:9" ht="11.25" customHeight="1">
      <c r="A481" s="3928" t="s">
        <v>2258</v>
      </c>
      <c r="B481" s="3928" t="s">
        <v>14</v>
      </c>
      <c r="C481" s="3928" t="s">
        <v>4055</v>
      </c>
      <c r="D481" s="3928" t="s">
        <v>4056</v>
      </c>
      <c r="E481" s="3928" t="s">
        <v>4057</v>
      </c>
      <c r="F481" s="3928" t="s">
        <v>2544</v>
      </c>
      <c r="G481" s="3928" t="s">
        <v>24</v>
      </c>
      <c r="H481" s="3928" t="s">
        <v>4058</v>
      </c>
      <c r="I481" s="3928" t="s">
        <v>811</v>
      </c>
    </row>
    <row r="482" spans="1:9" ht="11.25" customHeight="1">
      <c r="A482" s="3928" t="s">
        <v>2258</v>
      </c>
      <c r="B482" s="3928" t="s">
        <v>14</v>
      </c>
      <c r="C482" s="3928" t="s">
        <v>4059</v>
      </c>
      <c r="D482" s="3928" t="s">
        <v>4060</v>
      </c>
      <c r="E482" s="3928" t="s">
        <v>4061</v>
      </c>
      <c r="F482" s="3928" t="s">
        <v>4062</v>
      </c>
      <c r="G482" s="3928" t="s">
        <v>24</v>
      </c>
      <c r="H482" s="3928" t="s">
        <v>24</v>
      </c>
      <c r="I482" s="3928" t="s">
        <v>811</v>
      </c>
    </row>
    <row r="483" spans="1:9" ht="11.25" customHeight="1">
      <c r="A483" s="3928" t="s">
        <v>2258</v>
      </c>
      <c r="B483" s="3928" t="s">
        <v>14</v>
      </c>
      <c r="C483" s="3928" t="s">
        <v>4063</v>
      </c>
      <c r="D483" s="3928" t="s">
        <v>4064</v>
      </c>
      <c r="E483" s="3928" t="s">
        <v>4065</v>
      </c>
      <c r="F483" s="3928" t="s">
        <v>2552</v>
      </c>
      <c r="G483" s="3928" t="s">
        <v>24</v>
      </c>
      <c r="H483" s="3928" t="s">
        <v>2263</v>
      </c>
      <c r="I483" s="3928" t="s">
        <v>811</v>
      </c>
    </row>
    <row r="484" spans="1:9" ht="11.25" customHeight="1">
      <c r="A484" s="3928" t="s">
        <v>2258</v>
      </c>
      <c r="B484" s="3928" t="s">
        <v>14</v>
      </c>
      <c r="C484" s="3928" t="s">
        <v>4066</v>
      </c>
      <c r="D484" s="3928" t="s">
        <v>4067</v>
      </c>
      <c r="E484" s="3928" t="s">
        <v>4068</v>
      </c>
      <c r="F484" s="3928" t="s">
        <v>2675</v>
      </c>
      <c r="G484" s="3928" t="s">
        <v>4069</v>
      </c>
      <c r="H484" s="3928" t="s">
        <v>24</v>
      </c>
      <c r="I484" s="3928" t="s">
        <v>811</v>
      </c>
    </row>
    <row r="485" spans="1:9" ht="11.25" customHeight="1">
      <c r="A485" s="3928" t="s">
        <v>2258</v>
      </c>
      <c r="B485" s="3928" t="s">
        <v>14</v>
      </c>
      <c r="C485" s="3928" t="s">
        <v>4070</v>
      </c>
      <c r="D485" s="3928" t="s">
        <v>4071</v>
      </c>
      <c r="E485" s="3928" t="s">
        <v>4072</v>
      </c>
      <c r="F485" s="3928" t="s">
        <v>2304</v>
      </c>
      <c r="G485" s="3928" t="s">
        <v>24</v>
      </c>
      <c r="H485" s="3928" t="s">
        <v>24</v>
      </c>
      <c r="I485" s="3928" t="s">
        <v>811</v>
      </c>
    </row>
    <row r="486" spans="1:9" ht="11.25" customHeight="1">
      <c r="A486" s="3928" t="s">
        <v>2258</v>
      </c>
      <c r="B486" s="3928" t="s">
        <v>14</v>
      </c>
      <c r="C486" s="3928" t="s">
        <v>4073</v>
      </c>
      <c r="D486" s="3928" t="s">
        <v>4074</v>
      </c>
      <c r="E486" s="3928" t="s">
        <v>4075</v>
      </c>
      <c r="F486" s="3928" t="s">
        <v>2304</v>
      </c>
      <c r="G486" s="3928" t="s">
        <v>24</v>
      </c>
      <c r="H486" s="3928" t="s">
        <v>24</v>
      </c>
      <c r="I486" s="3928" t="s">
        <v>811</v>
      </c>
    </row>
    <row r="487" spans="1:9" ht="11.25" customHeight="1">
      <c r="A487" s="3928" t="s">
        <v>2258</v>
      </c>
      <c r="B487" s="3928" t="s">
        <v>14</v>
      </c>
      <c r="C487" s="3928" t="s">
        <v>4076</v>
      </c>
      <c r="D487" s="3928" t="s">
        <v>4077</v>
      </c>
      <c r="E487" s="3928" t="s">
        <v>4078</v>
      </c>
      <c r="F487" s="3928" t="s">
        <v>2304</v>
      </c>
      <c r="G487" s="3928" t="s">
        <v>24</v>
      </c>
      <c r="H487" s="3928" t="s">
        <v>24</v>
      </c>
      <c r="I487" s="3928" t="s">
        <v>811</v>
      </c>
    </row>
    <row r="488" spans="1:9" ht="11.25" customHeight="1">
      <c r="A488" s="3928" t="s">
        <v>2258</v>
      </c>
      <c r="B488" s="3928" t="s">
        <v>14</v>
      </c>
      <c r="C488" s="3928" t="s">
        <v>4079</v>
      </c>
      <c r="D488" s="3928" t="s">
        <v>4080</v>
      </c>
      <c r="E488" s="3928" t="s">
        <v>4081</v>
      </c>
      <c r="F488" s="3928" t="s">
        <v>2513</v>
      </c>
      <c r="G488" s="3928" t="s">
        <v>24</v>
      </c>
      <c r="H488" s="3928" t="s">
        <v>2263</v>
      </c>
      <c r="I488" s="3928" t="s">
        <v>811</v>
      </c>
    </row>
    <row r="489" spans="1:9" ht="11.25" customHeight="1">
      <c r="A489" s="3928" t="s">
        <v>2258</v>
      </c>
      <c r="B489" s="3928" t="s">
        <v>14</v>
      </c>
      <c r="C489" s="3928" t="s">
        <v>4082</v>
      </c>
      <c r="D489" s="3928" t="s">
        <v>4083</v>
      </c>
      <c r="E489" s="3928" t="s">
        <v>4084</v>
      </c>
      <c r="F489" s="3928" t="s">
        <v>2780</v>
      </c>
      <c r="G489" s="3928" t="s">
        <v>24</v>
      </c>
      <c r="H489" s="3928" t="s">
        <v>4085</v>
      </c>
      <c r="I489" s="3928" t="s">
        <v>811</v>
      </c>
    </row>
    <row r="490" spans="1:9" ht="11.25" customHeight="1">
      <c r="A490" s="3928" t="s">
        <v>2258</v>
      </c>
      <c r="B490" s="3928" t="s">
        <v>14</v>
      </c>
      <c r="C490" s="3928" t="s">
        <v>4086</v>
      </c>
      <c r="D490" s="3928" t="s">
        <v>4087</v>
      </c>
      <c r="E490" s="3928" t="s">
        <v>4088</v>
      </c>
      <c r="F490" s="3928" t="s">
        <v>2409</v>
      </c>
      <c r="G490" s="3928" t="s">
        <v>24</v>
      </c>
      <c r="H490" s="3928" t="s">
        <v>2772</v>
      </c>
      <c r="I490" s="3928" t="s">
        <v>811</v>
      </c>
    </row>
    <row r="491" spans="1:9" ht="11.25" customHeight="1">
      <c r="A491" s="3928" t="s">
        <v>2258</v>
      </c>
      <c r="B491" s="3928" t="s">
        <v>14</v>
      </c>
      <c r="C491" s="3928" t="s">
        <v>4089</v>
      </c>
      <c r="D491" s="3928" t="s">
        <v>4090</v>
      </c>
      <c r="E491" s="3928" t="s">
        <v>4091</v>
      </c>
      <c r="F491" s="3928" t="s">
        <v>2262</v>
      </c>
      <c r="G491" s="3928" t="s">
        <v>24</v>
      </c>
      <c r="H491" s="3928" t="s">
        <v>24</v>
      </c>
      <c r="I491" s="3928" t="s">
        <v>811</v>
      </c>
    </row>
    <row r="492" spans="1:9" ht="11.25" customHeight="1">
      <c r="A492" s="3928" t="s">
        <v>2258</v>
      </c>
      <c r="B492" s="3928" t="s">
        <v>14</v>
      </c>
      <c r="C492" s="3928" t="s">
        <v>4092</v>
      </c>
      <c r="D492" s="3928" t="s">
        <v>4093</v>
      </c>
      <c r="E492" s="3928" t="s">
        <v>4094</v>
      </c>
      <c r="F492" s="3928" t="s">
        <v>2304</v>
      </c>
      <c r="G492" s="3928" t="s">
        <v>24</v>
      </c>
      <c r="H492" s="3928" t="s">
        <v>24</v>
      </c>
      <c r="I492" s="3928" t="s">
        <v>811</v>
      </c>
    </row>
    <row r="493" spans="1:9" ht="11.25" customHeight="1">
      <c r="A493" s="3928" t="s">
        <v>2258</v>
      </c>
      <c r="B493" s="3928" t="s">
        <v>14</v>
      </c>
      <c r="C493" s="3928" t="s">
        <v>4095</v>
      </c>
      <c r="D493" s="3928" t="s">
        <v>4096</v>
      </c>
      <c r="E493" s="3928" t="s">
        <v>4097</v>
      </c>
      <c r="F493" s="3928" t="s">
        <v>2409</v>
      </c>
      <c r="G493" s="3928" t="s">
        <v>4098</v>
      </c>
      <c r="H493" s="3928" t="s">
        <v>24</v>
      </c>
      <c r="I493" s="3928" t="s">
        <v>811</v>
      </c>
    </row>
    <row r="494" spans="1:9" ht="11.25" customHeight="1">
      <c r="A494" s="3928" t="s">
        <v>2258</v>
      </c>
      <c r="B494" s="3928" t="s">
        <v>14</v>
      </c>
      <c r="C494" s="3928" t="s">
        <v>4099</v>
      </c>
      <c r="D494" s="3928" t="s">
        <v>4100</v>
      </c>
      <c r="E494" s="3928" t="s">
        <v>4101</v>
      </c>
      <c r="F494" s="3928" t="s">
        <v>2513</v>
      </c>
      <c r="G494" s="3928" t="s">
        <v>24</v>
      </c>
      <c r="H494" s="3928" t="s">
        <v>3068</v>
      </c>
      <c r="I494" s="3928" t="s">
        <v>811</v>
      </c>
    </row>
    <row r="495" spans="1:9" ht="11.25" customHeight="1">
      <c r="A495" s="3928" t="s">
        <v>2258</v>
      </c>
      <c r="B495" s="3928" t="s">
        <v>14</v>
      </c>
      <c r="C495" s="3928" t="s">
        <v>4102</v>
      </c>
      <c r="D495" s="3928" t="s">
        <v>4103</v>
      </c>
      <c r="E495" s="3928" t="s">
        <v>4104</v>
      </c>
      <c r="F495" s="3928" t="s">
        <v>2397</v>
      </c>
      <c r="G495" s="3928" t="s">
        <v>4105</v>
      </c>
      <c r="H495" s="3928" t="s">
        <v>2475</v>
      </c>
      <c r="I495" s="3928" t="s">
        <v>811</v>
      </c>
    </row>
    <row r="496" spans="1:9" ht="11.25" customHeight="1">
      <c r="A496" s="3928" t="s">
        <v>2258</v>
      </c>
      <c r="B496" s="3928" t="s">
        <v>14</v>
      </c>
      <c r="C496" s="3928" t="s">
        <v>4106</v>
      </c>
      <c r="D496" s="3928" t="s">
        <v>4107</v>
      </c>
      <c r="E496" s="3928" t="s">
        <v>4108</v>
      </c>
      <c r="F496" s="3928" t="s">
        <v>2746</v>
      </c>
      <c r="G496" s="3928" t="s">
        <v>4109</v>
      </c>
      <c r="H496" s="3928" t="s">
        <v>2475</v>
      </c>
      <c r="I496" s="3928" t="s">
        <v>811</v>
      </c>
    </row>
    <row r="497" spans="1:9" ht="11.25" customHeight="1">
      <c r="A497" s="3928" t="s">
        <v>2258</v>
      </c>
      <c r="B497" s="3928" t="s">
        <v>14</v>
      </c>
      <c r="C497" s="3928" t="s">
        <v>4110</v>
      </c>
      <c r="D497" s="3928" t="s">
        <v>4111</v>
      </c>
      <c r="E497" s="3928" t="s">
        <v>4112</v>
      </c>
      <c r="F497" s="3928" t="s">
        <v>2375</v>
      </c>
      <c r="G497" s="3928" t="s">
        <v>24</v>
      </c>
      <c r="H497" s="3928" t="s">
        <v>2314</v>
      </c>
      <c r="I497" s="3928" t="s">
        <v>811</v>
      </c>
    </row>
    <row r="498" spans="1:9" ht="11.25" customHeight="1">
      <c r="A498" s="3928" t="s">
        <v>2258</v>
      </c>
      <c r="B498" s="3928" t="s">
        <v>14</v>
      </c>
      <c r="C498" s="3928" t="s">
        <v>4113</v>
      </c>
      <c r="D498" s="3928" t="s">
        <v>4114</v>
      </c>
      <c r="E498" s="3928" t="s">
        <v>4115</v>
      </c>
      <c r="F498" s="3928" t="s">
        <v>2469</v>
      </c>
      <c r="G498" s="3928" t="s">
        <v>24</v>
      </c>
      <c r="H498" s="3928" t="s">
        <v>24</v>
      </c>
      <c r="I498" s="3928" t="s">
        <v>811</v>
      </c>
    </row>
    <row r="499" spans="1:9" ht="11.25" customHeight="1">
      <c r="A499" s="3928" t="s">
        <v>2258</v>
      </c>
      <c r="B499" s="3928" t="s">
        <v>14</v>
      </c>
      <c r="C499" s="3928" t="s">
        <v>4116</v>
      </c>
      <c r="D499" s="3928" t="s">
        <v>4117</v>
      </c>
      <c r="E499" s="3928" t="s">
        <v>4118</v>
      </c>
      <c r="F499" s="3928" t="s">
        <v>3580</v>
      </c>
      <c r="G499" s="3928" t="s">
        <v>24</v>
      </c>
      <c r="H499" s="3928" t="s">
        <v>24</v>
      </c>
      <c r="I499" s="3928" t="s">
        <v>811</v>
      </c>
    </row>
    <row r="500" spans="1:9" ht="11.25" customHeight="1">
      <c r="A500" s="3928" t="s">
        <v>2258</v>
      </c>
      <c r="B500" s="3928" t="s">
        <v>14</v>
      </c>
      <c r="C500" s="3928" t="s">
        <v>4119</v>
      </c>
      <c r="D500" s="3928" t="s">
        <v>4120</v>
      </c>
      <c r="E500" s="3928" t="s">
        <v>4121</v>
      </c>
      <c r="F500" s="3928" t="s">
        <v>2929</v>
      </c>
      <c r="G500" s="3928" t="s">
        <v>24</v>
      </c>
      <c r="H500" s="3928" t="s">
        <v>3297</v>
      </c>
      <c r="I500" s="3928" t="s">
        <v>811</v>
      </c>
    </row>
    <row r="501" spans="1:9" ht="11.25" customHeight="1">
      <c r="A501" s="3928" t="s">
        <v>2258</v>
      </c>
      <c r="B501" s="3928" t="s">
        <v>14</v>
      </c>
      <c r="C501" s="3928" t="s">
        <v>4122</v>
      </c>
      <c r="D501" s="3928" t="s">
        <v>4123</v>
      </c>
      <c r="E501" s="3928" t="s">
        <v>4124</v>
      </c>
      <c r="F501" s="3928" t="s">
        <v>2929</v>
      </c>
      <c r="G501" s="3928" t="s">
        <v>24</v>
      </c>
      <c r="H501" s="3928" t="s">
        <v>2263</v>
      </c>
      <c r="I501" s="3928" t="s">
        <v>811</v>
      </c>
    </row>
    <row r="502" spans="1:9" ht="11.25" customHeight="1">
      <c r="A502" s="3928" t="s">
        <v>2258</v>
      </c>
      <c r="B502" s="3928" t="s">
        <v>14</v>
      </c>
      <c r="C502" s="3928" t="s">
        <v>4125</v>
      </c>
      <c r="D502" s="3928" t="s">
        <v>4126</v>
      </c>
      <c r="E502" s="3928" t="s">
        <v>4127</v>
      </c>
      <c r="F502" s="3928" t="s">
        <v>2642</v>
      </c>
      <c r="G502" s="3928" t="s">
        <v>24</v>
      </c>
      <c r="H502" s="3928" t="s">
        <v>2263</v>
      </c>
      <c r="I502" s="3928" t="s">
        <v>811</v>
      </c>
    </row>
    <row r="503" spans="1:9" ht="11.25" customHeight="1">
      <c r="A503" s="3928" t="s">
        <v>2258</v>
      </c>
      <c r="B503" s="3928" t="s">
        <v>14</v>
      </c>
      <c r="C503" s="3928" t="s">
        <v>4128</v>
      </c>
      <c r="D503" s="3928" t="s">
        <v>4129</v>
      </c>
      <c r="E503" s="3928" t="s">
        <v>4130</v>
      </c>
      <c r="F503" s="3928" t="s">
        <v>2289</v>
      </c>
      <c r="G503" s="3928" t="s">
        <v>24</v>
      </c>
      <c r="H503" s="3928" t="s">
        <v>24</v>
      </c>
      <c r="I503" s="3928" t="s">
        <v>811</v>
      </c>
    </row>
    <row r="504" spans="1:9" ht="11.25" customHeight="1">
      <c r="A504" s="3928" t="s">
        <v>2258</v>
      </c>
      <c r="B504" s="3928" t="s">
        <v>14</v>
      </c>
      <c r="C504" s="3928" t="s">
        <v>4131</v>
      </c>
      <c r="D504" s="3928" t="s">
        <v>4132</v>
      </c>
      <c r="E504" s="3928" t="s">
        <v>4133</v>
      </c>
      <c r="F504" s="3928" t="s">
        <v>4062</v>
      </c>
      <c r="G504" s="3928" t="s">
        <v>24</v>
      </c>
      <c r="H504" s="3928" t="s">
        <v>2475</v>
      </c>
      <c r="I504" s="3928" t="s">
        <v>811</v>
      </c>
    </row>
    <row r="505" spans="1:9" ht="11.25" customHeight="1">
      <c r="A505" s="3928" t="s">
        <v>2258</v>
      </c>
      <c r="B505" s="3928" t="s">
        <v>14</v>
      </c>
      <c r="C505" s="3928" t="s">
        <v>4134</v>
      </c>
      <c r="D505" s="3928" t="s">
        <v>4135</v>
      </c>
      <c r="E505" s="3928" t="s">
        <v>4136</v>
      </c>
      <c r="F505" s="3928" t="s">
        <v>3205</v>
      </c>
      <c r="G505" s="3928" t="s">
        <v>24</v>
      </c>
      <c r="H505" s="3928" t="s">
        <v>24</v>
      </c>
      <c r="I505" s="3928" t="s">
        <v>811</v>
      </c>
    </row>
    <row r="506" spans="1:9" ht="11.25" customHeight="1">
      <c r="A506" s="3928" t="s">
        <v>2258</v>
      </c>
      <c r="B506" s="3928" t="s">
        <v>14</v>
      </c>
      <c r="C506" s="3928" t="s">
        <v>4137</v>
      </c>
      <c r="D506" s="3928" t="s">
        <v>4138</v>
      </c>
      <c r="E506" s="3928" t="s">
        <v>4115</v>
      </c>
      <c r="F506" s="3928" t="s">
        <v>2780</v>
      </c>
      <c r="G506" s="3928" t="s">
        <v>24</v>
      </c>
      <c r="H506" s="3928" t="s">
        <v>24</v>
      </c>
      <c r="I506" s="3928" t="s">
        <v>811</v>
      </c>
    </row>
    <row r="507" spans="1:9" ht="11.25" customHeight="1">
      <c r="A507" s="3928" t="s">
        <v>2258</v>
      </c>
      <c r="B507" s="3928" t="s">
        <v>14</v>
      </c>
      <c r="C507" s="3928" t="s">
        <v>4139</v>
      </c>
      <c r="D507" s="3928" t="s">
        <v>4140</v>
      </c>
      <c r="E507" s="3928" t="s">
        <v>4141</v>
      </c>
      <c r="F507" s="3928" t="s">
        <v>2438</v>
      </c>
      <c r="G507" s="3928" t="s">
        <v>24</v>
      </c>
      <c r="H507" s="3928" t="s">
        <v>24</v>
      </c>
      <c r="I507" s="3928" t="s">
        <v>811</v>
      </c>
    </row>
    <row r="508" spans="1:9" ht="11.25" customHeight="1">
      <c r="A508" s="3928" t="s">
        <v>2258</v>
      </c>
      <c r="B508" s="3928" t="s">
        <v>14</v>
      </c>
      <c r="C508" s="3928" t="s">
        <v>4142</v>
      </c>
      <c r="D508" s="3928" t="s">
        <v>4143</v>
      </c>
      <c r="E508" s="3928" t="s">
        <v>4144</v>
      </c>
      <c r="F508" s="3928" t="s">
        <v>2438</v>
      </c>
      <c r="G508" s="3928" t="s">
        <v>24</v>
      </c>
      <c r="H508" s="3928" t="s">
        <v>2263</v>
      </c>
      <c r="I508" s="3928" t="s">
        <v>811</v>
      </c>
    </row>
    <row r="509" spans="1:9" ht="11.25" customHeight="1">
      <c r="A509" s="3928" t="s">
        <v>2258</v>
      </c>
      <c r="B509" s="3928" t="s">
        <v>14</v>
      </c>
      <c r="C509" s="3928" t="s">
        <v>4145</v>
      </c>
      <c r="D509" s="3928" t="s">
        <v>4146</v>
      </c>
      <c r="E509" s="3928" t="s">
        <v>4147</v>
      </c>
      <c r="F509" s="3928" t="s">
        <v>2438</v>
      </c>
      <c r="G509" s="3928" t="s">
        <v>24</v>
      </c>
      <c r="H509" s="3928" t="s">
        <v>2263</v>
      </c>
      <c r="I509" s="3928" t="s">
        <v>811</v>
      </c>
    </row>
    <row r="510" spans="1:9" ht="11.25" customHeight="1">
      <c r="A510" s="3928" t="s">
        <v>2258</v>
      </c>
      <c r="B510" s="3928" t="s">
        <v>14</v>
      </c>
      <c r="C510" s="3928" t="s">
        <v>4148</v>
      </c>
      <c r="D510" s="3928" t="s">
        <v>4149</v>
      </c>
      <c r="E510" s="3928" t="s">
        <v>4150</v>
      </c>
      <c r="F510" s="3928" t="s">
        <v>2438</v>
      </c>
      <c r="G510" s="3928" t="s">
        <v>24</v>
      </c>
      <c r="H510" s="3928" t="s">
        <v>2263</v>
      </c>
      <c r="I510" s="3928" t="s">
        <v>811</v>
      </c>
    </row>
    <row r="511" spans="1:9" ht="11.25" customHeight="1">
      <c r="A511" s="3928" t="s">
        <v>2258</v>
      </c>
      <c r="B511" s="3928" t="s">
        <v>14</v>
      </c>
      <c r="C511" s="3928" t="s">
        <v>4151</v>
      </c>
      <c r="D511" s="3928" t="s">
        <v>4152</v>
      </c>
      <c r="E511" s="3928" t="s">
        <v>4153</v>
      </c>
      <c r="F511" s="3928" t="s">
        <v>2438</v>
      </c>
      <c r="G511" s="3928" t="s">
        <v>24</v>
      </c>
      <c r="H511" s="3928" t="s">
        <v>2772</v>
      </c>
      <c r="I511" s="3928" t="s">
        <v>811</v>
      </c>
    </row>
    <row r="512" spans="1:9" ht="11.25" customHeight="1">
      <c r="A512" s="3928" t="s">
        <v>2258</v>
      </c>
      <c r="B512" s="3928" t="s">
        <v>14</v>
      </c>
      <c r="C512" s="3928" t="s">
        <v>4154</v>
      </c>
      <c r="D512" s="3928" t="s">
        <v>4155</v>
      </c>
      <c r="E512" s="3928" t="s">
        <v>4156</v>
      </c>
      <c r="F512" s="3928" t="s">
        <v>2414</v>
      </c>
      <c r="G512" s="3928" t="s">
        <v>24</v>
      </c>
      <c r="H512" s="3928" t="s">
        <v>2263</v>
      </c>
      <c r="I512" s="3928" t="s">
        <v>811</v>
      </c>
    </row>
    <row r="513" spans="1:9" ht="11.25" customHeight="1">
      <c r="A513" s="3928" t="s">
        <v>2258</v>
      </c>
      <c r="B513" s="3928" t="s">
        <v>14</v>
      </c>
      <c r="C513" s="3928" t="s">
        <v>4157</v>
      </c>
      <c r="D513" s="3928" t="s">
        <v>4158</v>
      </c>
      <c r="E513" s="3928" t="s">
        <v>4159</v>
      </c>
      <c r="F513" s="3928" t="s">
        <v>2289</v>
      </c>
      <c r="G513" s="3928" t="s">
        <v>24</v>
      </c>
      <c r="H513" s="3928" t="s">
        <v>2263</v>
      </c>
      <c r="I513" s="3928" t="s">
        <v>811</v>
      </c>
    </row>
    <row r="514" spans="1:9" ht="11.25" customHeight="1">
      <c r="A514" s="3928" t="s">
        <v>2258</v>
      </c>
      <c r="B514" s="3928" t="s">
        <v>14</v>
      </c>
      <c r="C514" s="3928" t="s">
        <v>4160</v>
      </c>
      <c r="D514" s="3928" t="s">
        <v>4161</v>
      </c>
      <c r="E514" s="3928" t="s">
        <v>4162</v>
      </c>
      <c r="F514" s="3928" t="s">
        <v>2464</v>
      </c>
      <c r="G514" s="3928" t="s">
        <v>24</v>
      </c>
      <c r="H514" s="3928" t="s">
        <v>2263</v>
      </c>
      <c r="I514" s="3928" t="s">
        <v>811</v>
      </c>
    </row>
    <row r="515" spans="1:9" ht="11.25" customHeight="1">
      <c r="A515" s="3928" t="s">
        <v>2258</v>
      </c>
      <c r="B515" s="3928" t="s">
        <v>14</v>
      </c>
      <c r="C515" s="3928" t="s">
        <v>4163</v>
      </c>
      <c r="D515" s="3928" t="s">
        <v>4164</v>
      </c>
      <c r="E515" s="3928" t="s">
        <v>4165</v>
      </c>
      <c r="F515" s="3928" t="s">
        <v>4166</v>
      </c>
      <c r="G515" s="3928" t="s">
        <v>24</v>
      </c>
      <c r="H515" s="3928" t="s">
        <v>24</v>
      </c>
      <c r="I515" s="3928" t="s">
        <v>811</v>
      </c>
    </row>
    <row r="516" spans="1:9" ht="11.25" customHeight="1">
      <c r="A516" s="3928" t="s">
        <v>2258</v>
      </c>
      <c r="B516" s="3928" t="s">
        <v>14</v>
      </c>
      <c r="C516" s="3928" t="s">
        <v>4167</v>
      </c>
      <c r="D516" s="3928" t="s">
        <v>4168</v>
      </c>
      <c r="E516" s="3928" t="s">
        <v>4169</v>
      </c>
      <c r="F516" s="3928" t="s">
        <v>2414</v>
      </c>
      <c r="G516" s="3928" t="s">
        <v>4170</v>
      </c>
      <c r="H516" s="3928" t="s">
        <v>24</v>
      </c>
      <c r="I516" s="3928" t="s">
        <v>811</v>
      </c>
    </row>
    <row r="517" spans="1:9" ht="11.25" customHeight="1">
      <c r="A517" s="3928" t="s">
        <v>2258</v>
      </c>
      <c r="B517" s="3928" t="s">
        <v>14</v>
      </c>
      <c r="C517" s="3928" t="s">
        <v>4171</v>
      </c>
      <c r="D517" s="3928" t="s">
        <v>4172</v>
      </c>
      <c r="E517" s="3928" t="s">
        <v>4173</v>
      </c>
      <c r="F517" s="3928" t="s">
        <v>2414</v>
      </c>
      <c r="G517" s="3928" t="s">
        <v>24</v>
      </c>
      <c r="H517" s="3928" t="s">
        <v>2263</v>
      </c>
      <c r="I517" s="3928" t="s">
        <v>811</v>
      </c>
    </row>
    <row r="518" spans="1:9" ht="11.25" customHeight="1">
      <c r="A518" s="3928" t="s">
        <v>2258</v>
      </c>
      <c r="B518" s="3928" t="s">
        <v>14</v>
      </c>
      <c r="C518" s="3928" t="s">
        <v>4174</v>
      </c>
      <c r="D518" s="3928" t="s">
        <v>4175</v>
      </c>
      <c r="E518" s="3928" t="s">
        <v>4176</v>
      </c>
      <c r="F518" s="3928" t="s">
        <v>2414</v>
      </c>
      <c r="G518" s="3928" t="s">
        <v>24</v>
      </c>
      <c r="H518" s="3928" t="s">
        <v>24</v>
      </c>
      <c r="I518" s="3928" t="s">
        <v>811</v>
      </c>
    </row>
    <row r="519" spans="1:9" ht="11.25" customHeight="1">
      <c r="A519" s="3928" t="s">
        <v>2258</v>
      </c>
      <c r="B519" s="3928" t="s">
        <v>14</v>
      </c>
      <c r="C519" s="3928" t="s">
        <v>4177</v>
      </c>
      <c r="D519" s="3928" t="s">
        <v>4178</v>
      </c>
      <c r="E519" s="3928" t="s">
        <v>3114</v>
      </c>
      <c r="F519" s="3928" t="s">
        <v>4179</v>
      </c>
      <c r="G519" s="3928" t="s">
        <v>24</v>
      </c>
      <c r="H519" s="3928" t="s">
        <v>4180</v>
      </c>
      <c r="I519" s="3928" t="s">
        <v>811</v>
      </c>
    </row>
    <row r="520" spans="1:9" ht="11.25" customHeight="1">
      <c r="A520" s="3928" t="s">
        <v>2258</v>
      </c>
      <c r="B520" s="3928" t="s">
        <v>14</v>
      </c>
      <c r="C520" s="3928" t="s">
        <v>4181</v>
      </c>
      <c r="D520" s="3928" t="s">
        <v>4182</v>
      </c>
      <c r="E520" s="3928" t="s">
        <v>3114</v>
      </c>
      <c r="F520" s="3928" t="s">
        <v>4183</v>
      </c>
      <c r="G520" s="3928" t="s">
        <v>4184</v>
      </c>
      <c r="H520" s="3928" t="s">
        <v>4185</v>
      </c>
      <c r="I520" s="3928" t="s">
        <v>811</v>
      </c>
    </row>
    <row r="521" spans="1:9" ht="11.25" customHeight="1">
      <c r="A521" s="3928" t="s">
        <v>2258</v>
      </c>
      <c r="B521" s="3928" t="s">
        <v>14</v>
      </c>
      <c r="C521" s="3928" t="s">
        <v>4186</v>
      </c>
      <c r="D521" s="3928" t="s">
        <v>4187</v>
      </c>
      <c r="E521" s="3928" t="s">
        <v>3114</v>
      </c>
      <c r="F521" s="3928" t="s">
        <v>4188</v>
      </c>
      <c r="G521" s="3928" t="s">
        <v>24</v>
      </c>
      <c r="H521" s="3928" t="s">
        <v>24</v>
      </c>
      <c r="I521" s="3928" t="s">
        <v>811</v>
      </c>
    </row>
    <row r="522" spans="1:9" ht="11.25" customHeight="1">
      <c r="A522" s="3928" t="s">
        <v>2258</v>
      </c>
      <c r="B522" s="3928" t="s">
        <v>14</v>
      </c>
      <c r="C522" s="3928" t="s">
        <v>4189</v>
      </c>
      <c r="D522" s="3928" t="s">
        <v>4190</v>
      </c>
      <c r="E522" s="3928" t="s">
        <v>4191</v>
      </c>
      <c r="F522" s="3928" t="s">
        <v>2289</v>
      </c>
      <c r="G522" s="3928" t="s">
        <v>24</v>
      </c>
      <c r="H522" s="3928" t="s">
        <v>2263</v>
      </c>
      <c r="I522" s="3928" t="s">
        <v>811</v>
      </c>
    </row>
    <row r="523" spans="1:9" ht="11.25" customHeight="1">
      <c r="A523" s="3928" t="s">
        <v>2258</v>
      </c>
      <c r="B523" s="3928" t="s">
        <v>14</v>
      </c>
      <c r="C523" s="3928" t="s">
        <v>4192</v>
      </c>
      <c r="D523" s="3928" t="s">
        <v>4193</v>
      </c>
      <c r="E523" s="3928" t="s">
        <v>4194</v>
      </c>
      <c r="F523" s="3928" t="s">
        <v>2289</v>
      </c>
      <c r="G523" s="3928" t="s">
        <v>24</v>
      </c>
      <c r="H523" s="3928" t="s">
        <v>2263</v>
      </c>
      <c r="I523" s="3928" t="s">
        <v>811</v>
      </c>
    </row>
    <row r="524" spans="1:9" ht="11.25" customHeight="1">
      <c r="A524" s="3928" t="s">
        <v>2258</v>
      </c>
      <c r="B524" s="3928" t="s">
        <v>14</v>
      </c>
      <c r="C524" s="3928" t="s">
        <v>4195</v>
      </c>
      <c r="D524" s="3928" t="s">
        <v>4196</v>
      </c>
      <c r="E524" s="3928" t="s">
        <v>4197</v>
      </c>
      <c r="F524" s="3928" t="s">
        <v>2638</v>
      </c>
      <c r="G524" s="3928" t="s">
        <v>24</v>
      </c>
      <c r="H524" s="3928" t="s">
        <v>2263</v>
      </c>
      <c r="I524" s="3928" t="s">
        <v>811</v>
      </c>
    </row>
    <row r="525" spans="1:9" ht="11.25" customHeight="1">
      <c r="A525" s="3928" t="s">
        <v>2258</v>
      </c>
      <c r="B525" s="3928" t="s">
        <v>14</v>
      </c>
      <c r="C525" s="3928" t="s">
        <v>4198</v>
      </c>
      <c r="D525" s="3928" t="s">
        <v>4199</v>
      </c>
      <c r="E525" s="3928" t="s">
        <v>4200</v>
      </c>
      <c r="F525" s="3928" t="s">
        <v>2780</v>
      </c>
      <c r="G525" s="3928" t="s">
        <v>24</v>
      </c>
      <c r="H525" s="3928" t="s">
        <v>2263</v>
      </c>
      <c r="I525" s="3928" t="s">
        <v>811</v>
      </c>
    </row>
    <row r="526" spans="1:9" ht="11.25" customHeight="1">
      <c r="A526" s="3928" t="s">
        <v>2258</v>
      </c>
      <c r="B526" s="3928" t="s">
        <v>14</v>
      </c>
      <c r="C526" s="3928" t="s">
        <v>4201</v>
      </c>
      <c r="D526" s="3928" t="s">
        <v>4202</v>
      </c>
      <c r="E526" s="3928" t="s">
        <v>4203</v>
      </c>
      <c r="F526" s="3928" t="s">
        <v>2642</v>
      </c>
      <c r="G526" s="3928" t="s">
        <v>24</v>
      </c>
      <c r="H526" s="3928" t="s">
        <v>2263</v>
      </c>
      <c r="I526" s="3928" t="s">
        <v>811</v>
      </c>
    </row>
    <row r="527" spans="1:9" ht="11.25" customHeight="1">
      <c r="A527" s="3928" t="s">
        <v>2258</v>
      </c>
      <c r="B527" s="3928" t="s">
        <v>14</v>
      </c>
      <c r="C527" s="3928" t="s">
        <v>4204</v>
      </c>
      <c r="D527" s="3928" t="s">
        <v>4202</v>
      </c>
      <c r="E527" s="3928" t="s">
        <v>4203</v>
      </c>
      <c r="F527" s="3928" t="s">
        <v>2974</v>
      </c>
      <c r="G527" s="3928" t="s">
        <v>4205</v>
      </c>
      <c r="H527" s="3928" t="s">
        <v>4206</v>
      </c>
      <c r="I527" s="3928" t="s">
        <v>811</v>
      </c>
    </row>
    <row r="528" spans="1:9" ht="11.25" customHeight="1">
      <c r="A528" s="3928" t="s">
        <v>2258</v>
      </c>
      <c r="B528" s="3928" t="s">
        <v>14</v>
      </c>
      <c r="C528" s="3928" t="s">
        <v>4207</v>
      </c>
      <c r="D528" s="3928" t="s">
        <v>4208</v>
      </c>
      <c r="E528" s="3928" t="s">
        <v>4209</v>
      </c>
      <c r="F528" s="3928" t="s">
        <v>3082</v>
      </c>
      <c r="G528" s="3928" t="s">
        <v>4210</v>
      </c>
      <c r="H528" s="3928" t="s">
        <v>2945</v>
      </c>
      <c r="I528" s="3928" t="s">
        <v>811</v>
      </c>
    </row>
    <row r="529" spans="1:9" ht="11.25" customHeight="1">
      <c r="A529" s="3928" t="s">
        <v>2258</v>
      </c>
      <c r="B529" s="3928" t="s">
        <v>14</v>
      </c>
      <c r="C529" s="3928" t="s">
        <v>4211</v>
      </c>
      <c r="D529" s="3928" t="s">
        <v>4212</v>
      </c>
      <c r="E529" s="3928" t="s">
        <v>4213</v>
      </c>
      <c r="F529" s="3928" t="s">
        <v>2397</v>
      </c>
      <c r="G529" s="3928" t="s">
        <v>24</v>
      </c>
      <c r="H529" s="3928" t="s">
        <v>2263</v>
      </c>
      <c r="I529" s="3928" t="s">
        <v>811</v>
      </c>
    </row>
    <row r="530" spans="1:9" ht="11.25" customHeight="1">
      <c r="A530" s="3928" t="s">
        <v>2258</v>
      </c>
      <c r="B530" s="3928" t="s">
        <v>14</v>
      </c>
      <c r="C530" s="3928" t="s">
        <v>4214</v>
      </c>
      <c r="D530" s="3928" t="s">
        <v>4215</v>
      </c>
      <c r="E530" s="3928" t="s">
        <v>4216</v>
      </c>
      <c r="F530" s="3928" t="s">
        <v>2409</v>
      </c>
      <c r="G530" s="3928" t="s">
        <v>24</v>
      </c>
      <c r="H530" s="3928" t="s">
        <v>2263</v>
      </c>
      <c r="I530" s="3928" t="s">
        <v>811</v>
      </c>
    </row>
    <row r="531" spans="1:9" ht="11.25" customHeight="1">
      <c r="A531" s="3928" t="s">
        <v>2258</v>
      </c>
      <c r="B531" s="3928" t="s">
        <v>14</v>
      </c>
      <c r="C531" s="3928" t="s">
        <v>4217</v>
      </c>
      <c r="D531" s="3928" t="s">
        <v>4218</v>
      </c>
      <c r="E531" s="3928" t="s">
        <v>4219</v>
      </c>
      <c r="F531" s="3928" t="s">
        <v>2486</v>
      </c>
      <c r="G531" s="3928" t="s">
        <v>24</v>
      </c>
      <c r="H531" s="3928" t="s">
        <v>2263</v>
      </c>
      <c r="I531" s="3928" t="s">
        <v>811</v>
      </c>
    </row>
    <row r="532" spans="1:9" ht="11.25" customHeight="1">
      <c r="A532" s="3928" t="s">
        <v>2258</v>
      </c>
      <c r="B532" s="3928" t="s">
        <v>14</v>
      </c>
      <c r="C532" s="3928" t="s">
        <v>4220</v>
      </c>
      <c r="D532" s="3928" t="s">
        <v>4221</v>
      </c>
      <c r="E532" s="3928" t="s">
        <v>4222</v>
      </c>
      <c r="F532" s="3928" t="s">
        <v>2414</v>
      </c>
      <c r="G532" s="3928" t="s">
        <v>24</v>
      </c>
      <c r="H532" s="3928" t="s">
        <v>2263</v>
      </c>
      <c r="I532" s="3928" t="s">
        <v>811</v>
      </c>
    </row>
    <row r="533" spans="1:9" ht="11.25" customHeight="1">
      <c r="A533" s="3928" t="s">
        <v>2258</v>
      </c>
      <c r="B533" s="3928" t="s">
        <v>14</v>
      </c>
      <c r="C533" s="3928" t="s">
        <v>4223</v>
      </c>
      <c r="D533" s="3928" t="s">
        <v>4224</v>
      </c>
      <c r="E533" s="3928" t="s">
        <v>4225</v>
      </c>
      <c r="F533" s="3928" t="s">
        <v>4226</v>
      </c>
      <c r="G533" s="3928" t="s">
        <v>24</v>
      </c>
      <c r="H533" s="3928" t="s">
        <v>2263</v>
      </c>
      <c r="I533" s="3928" t="s">
        <v>811</v>
      </c>
    </row>
    <row r="534" spans="1:9" ht="11.25" customHeight="1">
      <c r="A534" s="3928" t="s">
        <v>2258</v>
      </c>
      <c r="B534" s="3928" t="s">
        <v>14</v>
      </c>
      <c r="C534" s="3928" t="s">
        <v>4227</v>
      </c>
      <c r="D534" s="3928" t="s">
        <v>4228</v>
      </c>
      <c r="E534" s="3928" t="s">
        <v>4229</v>
      </c>
      <c r="F534" s="3928" t="s">
        <v>2419</v>
      </c>
      <c r="G534" s="3928" t="s">
        <v>24</v>
      </c>
      <c r="H534" s="3928" t="s">
        <v>2263</v>
      </c>
      <c r="I534" s="3928" t="s">
        <v>811</v>
      </c>
    </row>
    <row r="535" spans="1:9" ht="11.25" customHeight="1">
      <c r="A535" s="3928" t="s">
        <v>2258</v>
      </c>
      <c r="B535" s="3928" t="s">
        <v>14</v>
      </c>
      <c r="C535" s="3928" t="s">
        <v>4230</v>
      </c>
      <c r="D535" s="3928" t="s">
        <v>4231</v>
      </c>
      <c r="E535" s="3928" t="s">
        <v>4232</v>
      </c>
      <c r="F535" s="3928" t="s">
        <v>2375</v>
      </c>
      <c r="G535" s="3928" t="s">
        <v>4233</v>
      </c>
      <c r="H535" s="3928" t="s">
        <v>24</v>
      </c>
      <c r="I535" s="3928" t="s">
        <v>811</v>
      </c>
    </row>
    <row r="536" spans="1:9" ht="11.25" customHeight="1">
      <c r="A536" s="3928" t="s">
        <v>2258</v>
      </c>
      <c r="B536" s="3928" t="s">
        <v>14</v>
      </c>
      <c r="C536" s="3928" t="s">
        <v>4234</v>
      </c>
      <c r="D536" s="3928" t="s">
        <v>4235</v>
      </c>
      <c r="E536" s="3928" t="s">
        <v>4236</v>
      </c>
      <c r="F536" s="3928" t="s">
        <v>2771</v>
      </c>
      <c r="G536" s="3928" t="s">
        <v>24</v>
      </c>
      <c r="H536" s="3928" t="s">
        <v>3068</v>
      </c>
      <c r="I536" s="3928" t="s">
        <v>811</v>
      </c>
    </row>
    <row r="537" spans="1:9" ht="11.25" customHeight="1">
      <c r="A537" s="3928" t="s">
        <v>2258</v>
      </c>
      <c r="B537" s="3928" t="s">
        <v>14</v>
      </c>
      <c r="C537" s="3928" t="s">
        <v>4237</v>
      </c>
      <c r="D537" s="3928" t="s">
        <v>4238</v>
      </c>
      <c r="E537" s="3928" t="s">
        <v>4239</v>
      </c>
      <c r="F537" s="3928" t="s">
        <v>2262</v>
      </c>
      <c r="G537" s="3928" t="s">
        <v>4240</v>
      </c>
      <c r="H537" s="3928" t="s">
        <v>24</v>
      </c>
      <c r="I537" s="3928" t="s">
        <v>811</v>
      </c>
    </row>
    <row r="538" spans="1:9" ht="11.25" customHeight="1">
      <c r="A538" s="3928" t="s">
        <v>2258</v>
      </c>
      <c r="B538" s="3928" t="s">
        <v>14</v>
      </c>
      <c r="C538" s="3928" t="s">
        <v>4241</v>
      </c>
      <c r="D538" s="3928" t="s">
        <v>4242</v>
      </c>
      <c r="E538" s="3928" t="s">
        <v>4243</v>
      </c>
      <c r="F538" s="3928" t="s">
        <v>2397</v>
      </c>
      <c r="G538" s="3928" t="s">
        <v>24</v>
      </c>
      <c r="H538" s="3928" t="s">
        <v>2263</v>
      </c>
      <c r="I538" s="3928" t="s">
        <v>811</v>
      </c>
    </row>
    <row r="539" spans="1:9" ht="11.25" customHeight="1">
      <c r="A539" s="3928" t="s">
        <v>2258</v>
      </c>
      <c r="B539" s="3928" t="s">
        <v>14</v>
      </c>
      <c r="C539" s="3928" t="s">
        <v>4244</v>
      </c>
      <c r="D539" s="3928" t="s">
        <v>4245</v>
      </c>
      <c r="E539" s="3928" t="s">
        <v>2721</v>
      </c>
      <c r="F539" s="3928" t="s">
        <v>3275</v>
      </c>
      <c r="G539" s="3928" t="s">
        <v>24</v>
      </c>
      <c r="H539" s="3928" t="s">
        <v>2263</v>
      </c>
      <c r="I539" s="3928" t="s">
        <v>811</v>
      </c>
    </row>
    <row r="540" spans="1:9" ht="11.25" customHeight="1">
      <c r="A540" s="3928" t="s">
        <v>2258</v>
      </c>
      <c r="B540" s="3928" t="s">
        <v>14</v>
      </c>
      <c r="C540" s="3928" t="s">
        <v>4246</v>
      </c>
      <c r="D540" s="3928" t="s">
        <v>4247</v>
      </c>
      <c r="E540" s="3928" t="s">
        <v>4248</v>
      </c>
      <c r="F540" s="3928" t="s">
        <v>2397</v>
      </c>
      <c r="G540" s="3928" t="s">
        <v>24</v>
      </c>
      <c r="H540" s="3928" t="s">
        <v>24</v>
      </c>
      <c r="I540" s="3928" t="s">
        <v>811</v>
      </c>
    </row>
    <row r="541" spans="1:9" ht="11.25" customHeight="1">
      <c r="A541" s="3928" t="s">
        <v>2258</v>
      </c>
      <c r="B541" s="3928" t="s">
        <v>14</v>
      </c>
      <c r="C541" s="3928" t="s">
        <v>4249</v>
      </c>
      <c r="D541" s="3928" t="s">
        <v>4250</v>
      </c>
      <c r="E541" s="3928" t="s">
        <v>4251</v>
      </c>
      <c r="F541" s="3928" t="s">
        <v>3509</v>
      </c>
      <c r="G541" s="3928" t="s">
        <v>24</v>
      </c>
      <c r="H541" s="3928" t="s">
        <v>24</v>
      </c>
      <c r="I541" s="3928" t="s">
        <v>811</v>
      </c>
    </row>
    <row r="542" spans="1:9" ht="11.25" customHeight="1">
      <c r="A542" s="3928" t="s">
        <v>2258</v>
      </c>
      <c r="B542" s="3928" t="s">
        <v>14</v>
      </c>
      <c r="C542" s="3928" t="s">
        <v>4252</v>
      </c>
      <c r="D542" s="3928" t="s">
        <v>4253</v>
      </c>
      <c r="E542" s="3928" t="s">
        <v>4254</v>
      </c>
      <c r="F542" s="3928" t="s">
        <v>2535</v>
      </c>
      <c r="G542" s="3928" t="s">
        <v>24</v>
      </c>
      <c r="H542" s="3928" t="s">
        <v>2263</v>
      </c>
      <c r="I542" s="3928" t="s">
        <v>811</v>
      </c>
    </row>
    <row r="543" spans="1:9" ht="11.25" customHeight="1">
      <c r="A543" s="3928" t="s">
        <v>2258</v>
      </c>
      <c r="B543" s="3928" t="s">
        <v>14</v>
      </c>
      <c r="C543" s="3928" t="s">
        <v>4255</v>
      </c>
      <c r="D543" s="3928" t="s">
        <v>4256</v>
      </c>
      <c r="E543" s="3928" t="s">
        <v>4257</v>
      </c>
      <c r="F543" s="3928" t="s">
        <v>2675</v>
      </c>
      <c r="G543" s="3928" t="s">
        <v>24</v>
      </c>
      <c r="H543" s="3928" t="s">
        <v>2263</v>
      </c>
      <c r="I543" s="3928" t="s">
        <v>811</v>
      </c>
    </row>
    <row r="544" spans="1:9" ht="11.25" customHeight="1">
      <c r="A544" s="3928" t="s">
        <v>2258</v>
      </c>
      <c r="B544" s="3928" t="s">
        <v>14</v>
      </c>
      <c r="C544" s="3928" t="s">
        <v>4258</v>
      </c>
      <c r="D544" s="3928" t="s">
        <v>4259</v>
      </c>
      <c r="E544" s="3928" t="s">
        <v>3880</v>
      </c>
      <c r="F544" s="3928" t="s">
        <v>2359</v>
      </c>
      <c r="G544" s="3928" t="s">
        <v>24</v>
      </c>
      <c r="H544" s="3928" t="s">
        <v>24</v>
      </c>
      <c r="I544" s="3928" t="s">
        <v>811</v>
      </c>
    </row>
    <row r="545" spans="1:9" ht="11.25" customHeight="1">
      <c r="A545" s="3928" t="s">
        <v>2258</v>
      </c>
      <c r="B545" s="3928" t="s">
        <v>14</v>
      </c>
      <c r="C545" s="3928" t="s">
        <v>4260</v>
      </c>
      <c r="D545" s="3928" t="s">
        <v>4261</v>
      </c>
      <c r="E545" s="3928" t="s">
        <v>4262</v>
      </c>
      <c r="F545" s="3928" t="s">
        <v>2688</v>
      </c>
      <c r="G545" s="3928" t="s">
        <v>24</v>
      </c>
      <c r="H545" s="3928" t="s">
        <v>24</v>
      </c>
      <c r="I545" s="3928" t="s">
        <v>811</v>
      </c>
    </row>
    <row r="546" spans="1:9" ht="11.25" customHeight="1">
      <c r="A546" s="3928" t="s">
        <v>2258</v>
      </c>
      <c r="B546" s="3928" t="s">
        <v>14</v>
      </c>
      <c r="C546" s="3928" t="s">
        <v>4263</v>
      </c>
      <c r="D546" s="3928" t="s">
        <v>4264</v>
      </c>
      <c r="E546" s="3928" t="s">
        <v>4265</v>
      </c>
      <c r="F546" s="3928" t="s">
        <v>3509</v>
      </c>
      <c r="G546" s="3928" t="s">
        <v>24</v>
      </c>
      <c r="H546" s="3928" t="s">
        <v>2263</v>
      </c>
      <c r="I546" s="3928" t="s">
        <v>811</v>
      </c>
    </row>
    <row r="547" spans="1:9" ht="11.25" customHeight="1">
      <c r="A547" s="3928" t="s">
        <v>2258</v>
      </c>
      <c r="B547" s="3928" t="s">
        <v>14</v>
      </c>
      <c r="C547" s="3928" t="s">
        <v>4266</v>
      </c>
      <c r="D547" s="3928" t="s">
        <v>4267</v>
      </c>
      <c r="E547" s="3928" t="s">
        <v>4268</v>
      </c>
      <c r="F547" s="3928" t="s">
        <v>2344</v>
      </c>
      <c r="G547" s="3928" t="s">
        <v>24</v>
      </c>
      <c r="H547" s="3928" t="s">
        <v>2263</v>
      </c>
      <c r="I547" s="3928" t="s">
        <v>811</v>
      </c>
    </row>
    <row r="548" spans="1:9" ht="11.25" customHeight="1">
      <c r="A548" s="3928" t="s">
        <v>2258</v>
      </c>
      <c r="B548" s="3928" t="s">
        <v>14</v>
      </c>
      <c r="C548" s="3928" t="s">
        <v>4269</v>
      </c>
      <c r="D548" s="3928" t="s">
        <v>4270</v>
      </c>
      <c r="E548" s="3928" t="s">
        <v>4271</v>
      </c>
      <c r="F548" s="3928" t="s">
        <v>2965</v>
      </c>
      <c r="G548" s="3928" t="s">
        <v>24</v>
      </c>
      <c r="H548" s="3928" t="s">
        <v>3068</v>
      </c>
      <c r="I548" s="3928" t="s">
        <v>811</v>
      </c>
    </row>
    <row r="549" spans="1:9" ht="11.25" customHeight="1">
      <c r="A549" s="3928" t="s">
        <v>2258</v>
      </c>
      <c r="B549" s="3928" t="s">
        <v>14</v>
      </c>
      <c r="C549" s="3928" t="s">
        <v>4272</v>
      </c>
      <c r="D549" s="3928" t="s">
        <v>4273</v>
      </c>
      <c r="E549" s="3928" t="s">
        <v>4274</v>
      </c>
      <c r="F549" s="3928" t="s">
        <v>2965</v>
      </c>
      <c r="G549" s="3928" t="s">
        <v>24</v>
      </c>
      <c r="H549" s="3928" t="s">
        <v>2263</v>
      </c>
      <c r="I549" s="3928" t="s">
        <v>811</v>
      </c>
    </row>
    <row r="550" spans="1:9" ht="11.25" customHeight="1">
      <c r="A550" s="3928" t="s">
        <v>2258</v>
      </c>
      <c r="B550" s="3928" t="s">
        <v>14</v>
      </c>
      <c r="C550" s="3928" t="s">
        <v>4275</v>
      </c>
      <c r="D550" s="3928" t="s">
        <v>4276</v>
      </c>
      <c r="E550" s="3928" t="s">
        <v>4277</v>
      </c>
      <c r="F550" s="3928" t="s">
        <v>2397</v>
      </c>
      <c r="G550" s="3928" t="s">
        <v>24</v>
      </c>
      <c r="H550" s="3928" t="s">
        <v>2263</v>
      </c>
      <c r="I550" s="3928" t="s">
        <v>811</v>
      </c>
    </row>
    <row r="551" spans="1:9" ht="11.25" customHeight="1">
      <c r="A551" s="3928" t="s">
        <v>2258</v>
      </c>
      <c r="B551" s="3928" t="s">
        <v>14</v>
      </c>
      <c r="C551" s="3928" t="s">
        <v>4278</v>
      </c>
      <c r="D551" s="3928" t="s">
        <v>4279</v>
      </c>
      <c r="E551" s="3928" t="s">
        <v>4280</v>
      </c>
      <c r="F551" s="3928" t="s">
        <v>4281</v>
      </c>
      <c r="G551" s="3928" t="s">
        <v>4282</v>
      </c>
      <c r="H551" s="3928" t="s">
        <v>2263</v>
      </c>
      <c r="I551" s="3928" t="s">
        <v>811</v>
      </c>
    </row>
    <row r="552" spans="1:9" ht="11.25" customHeight="1">
      <c r="A552" s="3928" t="s">
        <v>2258</v>
      </c>
      <c r="B552" s="3928" t="s">
        <v>14</v>
      </c>
      <c r="C552" s="3928" t="s">
        <v>4283</v>
      </c>
      <c r="D552" s="3928" t="s">
        <v>4284</v>
      </c>
      <c r="E552" s="3928" t="s">
        <v>4280</v>
      </c>
      <c r="F552" s="3928" t="s">
        <v>2344</v>
      </c>
      <c r="G552" s="3928" t="s">
        <v>4282</v>
      </c>
      <c r="H552" s="3928" t="s">
        <v>24</v>
      </c>
      <c r="I552" s="3928" t="s">
        <v>811</v>
      </c>
    </row>
    <row r="553" spans="1:9" ht="11.25" customHeight="1">
      <c r="A553" s="3928" t="s">
        <v>2258</v>
      </c>
      <c r="B553" s="3928" t="s">
        <v>14</v>
      </c>
      <c r="C553" s="3928" t="s">
        <v>4285</v>
      </c>
      <c r="D553" s="3928" t="s">
        <v>4286</v>
      </c>
      <c r="E553" s="3928" t="s">
        <v>4287</v>
      </c>
      <c r="F553" s="3928" t="s">
        <v>2513</v>
      </c>
      <c r="G553" s="3928" t="s">
        <v>24</v>
      </c>
      <c r="H553" s="3928" t="s">
        <v>2263</v>
      </c>
      <c r="I553" s="3928" t="s">
        <v>811</v>
      </c>
    </row>
    <row r="554" spans="1:9" ht="11.25" customHeight="1">
      <c r="A554" s="3928" t="s">
        <v>2258</v>
      </c>
      <c r="B554" s="3928" t="s">
        <v>14</v>
      </c>
      <c r="C554" s="3928" t="s">
        <v>4288</v>
      </c>
      <c r="D554" s="3928" t="s">
        <v>4289</v>
      </c>
      <c r="E554" s="3928" t="s">
        <v>4290</v>
      </c>
      <c r="F554" s="3928" t="s">
        <v>2397</v>
      </c>
      <c r="G554" s="3928" t="s">
        <v>24</v>
      </c>
      <c r="H554" s="3928" t="s">
        <v>2263</v>
      </c>
      <c r="I554" s="3928" t="s">
        <v>811</v>
      </c>
    </row>
    <row r="555" spans="1:9" ht="11.25" customHeight="1">
      <c r="A555" s="3928" t="s">
        <v>2258</v>
      </c>
      <c r="B555" s="3928" t="s">
        <v>14</v>
      </c>
      <c r="C555" s="3928" t="s">
        <v>4291</v>
      </c>
      <c r="D555" s="3928" t="s">
        <v>4292</v>
      </c>
      <c r="E555" s="3928" t="s">
        <v>4293</v>
      </c>
      <c r="F555" s="3928" t="s">
        <v>2414</v>
      </c>
      <c r="G555" s="3928" t="s">
        <v>4294</v>
      </c>
      <c r="H555" s="3928" t="s">
        <v>24</v>
      </c>
      <c r="I555" s="3928" t="s">
        <v>811</v>
      </c>
    </row>
    <row r="556" spans="1:9" ht="11.25" customHeight="1">
      <c r="A556" s="3928" t="s">
        <v>2258</v>
      </c>
      <c r="B556" s="3928" t="s">
        <v>14</v>
      </c>
      <c r="C556" s="3928" t="s">
        <v>4295</v>
      </c>
      <c r="D556" s="3928" t="s">
        <v>4296</v>
      </c>
      <c r="E556" s="3928" t="s">
        <v>4297</v>
      </c>
      <c r="F556" s="3928" t="s">
        <v>2397</v>
      </c>
      <c r="G556" s="3928" t="s">
        <v>24</v>
      </c>
      <c r="H556" s="3928" t="s">
        <v>24</v>
      </c>
      <c r="I556" s="3928" t="s">
        <v>811</v>
      </c>
    </row>
    <row r="557" spans="1:9" ht="11.25" customHeight="1">
      <c r="A557" s="3928" t="s">
        <v>2258</v>
      </c>
      <c r="B557" s="3928" t="s">
        <v>14</v>
      </c>
      <c r="C557" s="3928" t="s">
        <v>4298</v>
      </c>
      <c r="D557" s="3928" t="s">
        <v>4299</v>
      </c>
      <c r="E557" s="3928" t="s">
        <v>4300</v>
      </c>
      <c r="F557" s="3928" t="s">
        <v>2419</v>
      </c>
      <c r="G557" s="3928" t="s">
        <v>24</v>
      </c>
      <c r="H557" s="3928" t="s">
        <v>24</v>
      </c>
      <c r="I557" s="3928" t="s">
        <v>811</v>
      </c>
    </row>
    <row r="558" spans="1:9" ht="11.25" customHeight="1">
      <c r="A558" s="3928" t="s">
        <v>2258</v>
      </c>
      <c r="B558" s="3928" t="s">
        <v>14</v>
      </c>
      <c r="C558" s="3928" t="s">
        <v>4301</v>
      </c>
      <c r="D558" s="3928" t="s">
        <v>4302</v>
      </c>
      <c r="E558" s="3928" t="s">
        <v>4303</v>
      </c>
      <c r="F558" s="3928" t="s">
        <v>2473</v>
      </c>
      <c r="G558" s="3928" t="s">
        <v>24</v>
      </c>
      <c r="H558" s="3928" t="s">
        <v>2263</v>
      </c>
      <c r="I558" s="3928" t="s">
        <v>811</v>
      </c>
    </row>
    <row r="559" spans="1:9" ht="11.25" customHeight="1">
      <c r="A559" s="3928" t="s">
        <v>2258</v>
      </c>
      <c r="B559" s="3928" t="s">
        <v>14</v>
      </c>
      <c r="C559" s="3928" t="s">
        <v>4304</v>
      </c>
      <c r="D559" s="3928" t="s">
        <v>4305</v>
      </c>
      <c r="E559" s="3928" t="s">
        <v>4306</v>
      </c>
      <c r="F559" s="3928" t="s">
        <v>2289</v>
      </c>
      <c r="G559" s="3928" t="s">
        <v>24</v>
      </c>
      <c r="H559" s="3928" t="s">
        <v>2263</v>
      </c>
      <c r="I559" s="3928" t="s">
        <v>811</v>
      </c>
    </row>
    <row r="560" spans="1:9" ht="11.25" customHeight="1">
      <c r="A560" s="3928" t="s">
        <v>2258</v>
      </c>
      <c r="B560" s="3928" t="s">
        <v>14</v>
      </c>
      <c r="C560" s="3928" t="s">
        <v>4307</v>
      </c>
      <c r="D560" s="3928" t="s">
        <v>4308</v>
      </c>
      <c r="E560" s="3928" t="s">
        <v>4032</v>
      </c>
      <c r="F560" s="3928" t="s">
        <v>2513</v>
      </c>
      <c r="G560" s="3928" t="s">
        <v>24</v>
      </c>
      <c r="H560" s="3928" t="s">
        <v>24</v>
      </c>
      <c r="I560" s="3928" t="s">
        <v>811</v>
      </c>
    </row>
    <row r="561" spans="1:9" ht="11.25" customHeight="1">
      <c r="A561" s="3928" t="s">
        <v>2258</v>
      </c>
      <c r="B561" s="3928" t="s">
        <v>14</v>
      </c>
      <c r="C561" s="3928" t="s">
        <v>4309</v>
      </c>
      <c r="D561" s="3928" t="s">
        <v>4310</v>
      </c>
      <c r="E561" s="3928" t="s">
        <v>4311</v>
      </c>
      <c r="F561" s="3928" t="s">
        <v>2414</v>
      </c>
      <c r="G561" s="3928" t="s">
        <v>24</v>
      </c>
      <c r="H561" s="3928" t="s">
        <v>2263</v>
      </c>
      <c r="I561" s="3928" t="s">
        <v>811</v>
      </c>
    </row>
    <row r="562" spans="1:9" ht="11.25" customHeight="1">
      <c r="A562" s="3928" t="s">
        <v>2258</v>
      </c>
      <c r="B562" s="3928" t="s">
        <v>14</v>
      </c>
      <c r="C562" s="3928" t="s">
        <v>4312</v>
      </c>
      <c r="D562" s="3928" t="s">
        <v>4313</v>
      </c>
      <c r="E562" s="3928" t="s">
        <v>4314</v>
      </c>
      <c r="F562" s="3928" t="s">
        <v>2464</v>
      </c>
      <c r="G562" s="3928" t="s">
        <v>24</v>
      </c>
      <c r="H562" s="3928" t="s">
        <v>2263</v>
      </c>
      <c r="I562" s="3928" t="s">
        <v>811</v>
      </c>
    </row>
    <row r="563" spans="1:9" ht="11.25" customHeight="1">
      <c r="A563" s="3928" t="s">
        <v>2258</v>
      </c>
      <c r="B563" s="3928" t="s">
        <v>14</v>
      </c>
      <c r="C563" s="3928" t="s">
        <v>4315</v>
      </c>
      <c r="D563" s="3928" t="s">
        <v>4316</v>
      </c>
      <c r="E563" s="3928" t="s">
        <v>4317</v>
      </c>
      <c r="F563" s="3928" t="s">
        <v>2289</v>
      </c>
      <c r="G563" s="3928" t="s">
        <v>24</v>
      </c>
      <c r="H563" s="3928" t="s">
        <v>2263</v>
      </c>
      <c r="I563" s="3928" t="s">
        <v>811</v>
      </c>
    </row>
    <row r="564" spans="1:9" ht="11.25" customHeight="1">
      <c r="A564" s="3928" t="s">
        <v>2258</v>
      </c>
      <c r="B564" s="3928" t="s">
        <v>14</v>
      </c>
      <c r="C564" s="3928" t="s">
        <v>4318</v>
      </c>
      <c r="D564" s="3928" t="s">
        <v>4319</v>
      </c>
      <c r="E564" s="3928" t="s">
        <v>4320</v>
      </c>
      <c r="F564" s="3928" t="s">
        <v>2289</v>
      </c>
      <c r="G564" s="3928" t="s">
        <v>24</v>
      </c>
      <c r="H564" s="3928" t="s">
        <v>2263</v>
      </c>
      <c r="I564" s="3928" t="s">
        <v>811</v>
      </c>
    </row>
    <row r="565" spans="1:9" ht="11.25" customHeight="1">
      <c r="A565" s="3928" t="s">
        <v>2258</v>
      </c>
      <c r="B565" s="3928" t="s">
        <v>14</v>
      </c>
      <c r="C565" s="3928" t="s">
        <v>4321</v>
      </c>
      <c r="D565" s="3928" t="s">
        <v>4322</v>
      </c>
      <c r="E565" s="3928" t="s">
        <v>4323</v>
      </c>
      <c r="F565" s="3928" t="s">
        <v>2513</v>
      </c>
      <c r="G565" s="3928" t="s">
        <v>24</v>
      </c>
      <c r="H565" s="3928" t="s">
        <v>24</v>
      </c>
      <c r="I565" s="3928" t="s">
        <v>811</v>
      </c>
    </row>
    <row r="566" spans="1:9" ht="11.25" customHeight="1">
      <c r="A566" s="3928" t="s">
        <v>2258</v>
      </c>
      <c r="B566" s="3928" t="s">
        <v>14</v>
      </c>
      <c r="C566" s="3928" t="s">
        <v>4324</v>
      </c>
      <c r="D566" s="3928" t="s">
        <v>4325</v>
      </c>
      <c r="E566" s="3928" t="s">
        <v>4326</v>
      </c>
      <c r="F566" s="3928" t="s">
        <v>2929</v>
      </c>
      <c r="G566" s="3928" t="s">
        <v>24</v>
      </c>
      <c r="H566" s="3928" t="s">
        <v>2263</v>
      </c>
      <c r="I566" s="3928" t="s">
        <v>811</v>
      </c>
    </row>
    <row r="567" spans="1:9" ht="11.25" customHeight="1">
      <c r="A567" s="3928" t="s">
        <v>2258</v>
      </c>
      <c r="B567" s="3928" t="s">
        <v>14</v>
      </c>
      <c r="C567" s="3928" t="s">
        <v>4327</v>
      </c>
      <c r="D567" s="3928" t="s">
        <v>4328</v>
      </c>
      <c r="E567" s="3928" t="s">
        <v>4329</v>
      </c>
      <c r="F567" s="3928" t="s">
        <v>2473</v>
      </c>
      <c r="G567" s="3928" t="s">
        <v>24</v>
      </c>
      <c r="H567" s="3928" t="s">
        <v>2263</v>
      </c>
      <c r="I567" s="3928" t="s">
        <v>811</v>
      </c>
    </row>
    <row r="568" spans="1:9" ht="11.25" customHeight="1">
      <c r="A568" s="3928" t="s">
        <v>2258</v>
      </c>
      <c r="B568" s="3928" t="s">
        <v>14</v>
      </c>
      <c r="C568" s="3928" t="s">
        <v>4330</v>
      </c>
      <c r="D568" s="3928" t="s">
        <v>4331</v>
      </c>
      <c r="E568" s="3928" t="s">
        <v>4332</v>
      </c>
      <c r="F568" s="3928" t="s">
        <v>2513</v>
      </c>
      <c r="G568" s="3928" t="s">
        <v>24</v>
      </c>
      <c r="H568" s="3928" t="s">
        <v>2263</v>
      </c>
      <c r="I568" s="3928" t="s">
        <v>811</v>
      </c>
    </row>
    <row r="569" spans="1:9" ht="11.25" customHeight="1">
      <c r="A569" s="3928" t="s">
        <v>2258</v>
      </c>
      <c r="B569" s="3928" t="s">
        <v>14</v>
      </c>
      <c r="C569" s="3928" t="s">
        <v>4333</v>
      </c>
      <c r="D569" s="3928" t="s">
        <v>4334</v>
      </c>
      <c r="E569" s="3928" t="s">
        <v>4335</v>
      </c>
      <c r="F569" s="3928" t="s">
        <v>2289</v>
      </c>
      <c r="G569" s="3928" t="s">
        <v>24</v>
      </c>
      <c r="H569" s="3928" t="s">
        <v>24</v>
      </c>
      <c r="I569" s="3928" t="s">
        <v>811</v>
      </c>
    </row>
    <row r="570" spans="1:9" ht="11.25" customHeight="1">
      <c r="A570" s="3928" t="s">
        <v>2258</v>
      </c>
      <c r="B570" s="3928" t="s">
        <v>14</v>
      </c>
      <c r="C570" s="3928" t="s">
        <v>4336</v>
      </c>
      <c r="D570" s="3928" t="s">
        <v>4337</v>
      </c>
      <c r="E570" s="3928" t="s">
        <v>4338</v>
      </c>
      <c r="F570" s="3928" t="s">
        <v>2289</v>
      </c>
      <c r="G570" s="3928" t="s">
        <v>4339</v>
      </c>
      <c r="H570" s="3928" t="s">
        <v>24</v>
      </c>
      <c r="I570" s="3928" t="s">
        <v>811</v>
      </c>
    </row>
    <row r="571" spans="1:9" ht="11.25" customHeight="1">
      <c r="A571" s="3928" t="s">
        <v>2258</v>
      </c>
      <c r="B571" s="3928" t="s">
        <v>14</v>
      </c>
      <c r="C571" s="3928" t="s">
        <v>4340</v>
      </c>
      <c r="D571" s="3928" t="s">
        <v>4341</v>
      </c>
      <c r="E571" s="3928" t="s">
        <v>4342</v>
      </c>
      <c r="F571" s="3928" t="s">
        <v>2309</v>
      </c>
      <c r="G571" s="3928" t="s">
        <v>24</v>
      </c>
      <c r="H571" s="3928" t="s">
        <v>24</v>
      </c>
      <c r="I571" s="3928" t="s">
        <v>811</v>
      </c>
    </row>
    <row r="572" spans="1:9" ht="11.25" customHeight="1">
      <c r="A572" s="3928" t="s">
        <v>2258</v>
      </c>
      <c r="B572" s="3928" t="s">
        <v>14</v>
      </c>
      <c r="C572" s="3928" t="s">
        <v>4343</v>
      </c>
      <c r="D572" s="3928" t="s">
        <v>4344</v>
      </c>
      <c r="E572" s="3928" t="s">
        <v>4345</v>
      </c>
      <c r="F572" s="3928" t="s">
        <v>2567</v>
      </c>
      <c r="G572" s="3928" t="s">
        <v>2630</v>
      </c>
      <c r="H572" s="3928" t="s">
        <v>24</v>
      </c>
      <c r="I572" s="3928" t="s">
        <v>811</v>
      </c>
    </row>
    <row r="573" spans="1:9" ht="11.25" customHeight="1">
      <c r="A573" s="3928" t="s">
        <v>2258</v>
      </c>
      <c r="B573" s="3928" t="s">
        <v>14</v>
      </c>
      <c r="C573" s="3928" t="s">
        <v>4346</v>
      </c>
      <c r="D573" s="3928" t="s">
        <v>4347</v>
      </c>
      <c r="E573" s="3928" t="s">
        <v>4348</v>
      </c>
      <c r="F573" s="3928" t="s">
        <v>2826</v>
      </c>
      <c r="G573" s="3928" t="s">
        <v>4349</v>
      </c>
      <c r="H573" s="3928" t="s">
        <v>24</v>
      </c>
      <c r="I573" s="3928" t="s">
        <v>811</v>
      </c>
    </row>
    <row r="574" spans="1:9" ht="11.25" customHeight="1">
      <c r="A574" s="3928" t="s">
        <v>2258</v>
      </c>
      <c r="B574" s="3928" t="s">
        <v>14</v>
      </c>
      <c r="C574" s="3928" t="s">
        <v>4350</v>
      </c>
      <c r="D574" s="3928" t="s">
        <v>4351</v>
      </c>
      <c r="E574" s="3928" t="s">
        <v>4352</v>
      </c>
      <c r="F574" s="3928" t="s">
        <v>2587</v>
      </c>
      <c r="G574" s="3928" t="s">
        <v>4353</v>
      </c>
      <c r="H574" s="3928" t="s">
        <v>2263</v>
      </c>
      <c r="I574" s="3928" t="s">
        <v>811</v>
      </c>
    </row>
    <row r="575" spans="1:9" ht="11.25" customHeight="1">
      <c r="A575" s="3928" t="s">
        <v>2258</v>
      </c>
      <c r="B575" s="3928" t="s">
        <v>14</v>
      </c>
      <c r="C575" s="3928" t="s">
        <v>4354</v>
      </c>
      <c r="D575" s="3928" t="s">
        <v>4355</v>
      </c>
      <c r="E575" s="3928" t="s">
        <v>4356</v>
      </c>
      <c r="F575" s="3928" t="s">
        <v>49</v>
      </c>
      <c r="G575" s="3928" t="s">
        <v>4357</v>
      </c>
      <c r="H575" s="3928" t="s">
        <v>4358</v>
      </c>
      <c r="I575" s="3928" t="s">
        <v>811</v>
      </c>
    </row>
    <row r="576" spans="1:9" ht="11.25" customHeight="1">
      <c r="A576" s="3928" t="s">
        <v>2258</v>
      </c>
      <c r="B576" s="3928" t="s">
        <v>14</v>
      </c>
      <c r="C576" s="3928" t="s">
        <v>4359</v>
      </c>
      <c r="D576" s="3928" t="s">
        <v>4355</v>
      </c>
      <c r="E576" s="3928" t="s">
        <v>4360</v>
      </c>
      <c r="F576" s="3928" t="s">
        <v>49</v>
      </c>
      <c r="G576" s="3928" t="s">
        <v>4361</v>
      </c>
      <c r="H576" s="3928" t="s">
        <v>24</v>
      </c>
      <c r="I576" s="3928" t="s">
        <v>811</v>
      </c>
    </row>
    <row r="577" spans="1:9" ht="11.25" customHeight="1">
      <c r="A577" s="3928" t="s">
        <v>2258</v>
      </c>
      <c r="B577" s="3928" t="s">
        <v>14</v>
      </c>
      <c r="C577" s="3928" t="s">
        <v>4362</v>
      </c>
      <c r="D577" s="3928" t="s">
        <v>4363</v>
      </c>
      <c r="E577" s="3928" t="s">
        <v>4364</v>
      </c>
      <c r="F577" s="3928" t="s">
        <v>2289</v>
      </c>
      <c r="G577" s="3928" t="s">
        <v>4365</v>
      </c>
      <c r="H577" s="3928" t="s">
        <v>24</v>
      </c>
      <c r="I577" s="3928" t="s">
        <v>811</v>
      </c>
    </row>
    <row r="578" spans="1:9" ht="11.25" customHeight="1">
      <c r="A578" s="3928" t="s">
        <v>2258</v>
      </c>
      <c r="B578" s="3928" t="s">
        <v>14</v>
      </c>
      <c r="C578" s="3928" t="s">
        <v>4366</v>
      </c>
      <c r="D578" s="3928" t="s">
        <v>4367</v>
      </c>
      <c r="E578" s="3928" t="s">
        <v>4368</v>
      </c>
      <c r="F578" s="3928" t="s">
        <v>2429</v>
      </c>
      <c r="G578" s="3928" t="s">
        <v>24</v>
      </c>
      <c r="H578" s="3928" t="s">
        <v>24</v>
      </c>
      <c r="I578" s="3928" t="s">
        <v>811</v>
      </c>
    </row>
    <row r="579" spans="1:9" ht="11.25" customHeight="1">
      <c r="A579" s="3928" t="s">
        <v>2258</v>
      </c>
      <c r="B579" s="3928" t="s">
        <v>14</v>
      </c>
      <c r="C579" s="3928" t="s">
        <v>4369</v>
      </c>
      <c r="D579" s="3928" t="s">
        <v>4370</v>
      </c>
      <c r="E579" s="3928" t="s">
        <v>4371</v>
      </c>
      <c r="F579" s="3928" t="s">
        <v>4372</v>
      </c>
      <c r="G579" s="3928" t="s">
        <v>4373</v>
      </c>
      <c r="H579" s="3928" t="s">
        <v>24</v>
      </c>
      <c r="I579" s="3928" t="s">
        <v>811</v>
      </c>
    </row>
    <row r="580" spans="1:9" ht="11.25" customHeight="1">
      <c r="A580" s="3928" t="s">
        <v>2258</v>
      </c>
      <c r="B580" s="3928" t="s">
        <v>14</v>
      </c>
      <c r="C580" s="3928" t="s">
        <v>4374</v>
      </c>
      <c r="D580" s="3928" t="s">
        <v>4375</v>
      </c>
      <c r="E580" s="3928" t="s">
        <v>4376</v>
      </c>
      <c r="F580" s="3928" t="s">
        <v>2567</v>
      </c>
      <c r="G580" s="3928" t="s">
        <v>4377</v>
      </c>
      <c r="H580" s="3928" t="s">
        <v>24</v>
      </c>
      <c r="I580" s="3928" t="s">
        <v>811</v>
      </c>
    </row>
    <row r="581" spans="1:9" ht="11.25" customHeight="1">
      <c r="A581" s="3928" t="s">
        <v>2258</v>
      </c>
      <c r="B581" s="3928" t="s">
        <v>14</v>
      </c>
      <c r="C581" s="3928" t="s">
        <v>4378</v>
      </c>
      <c r="D581" s="3928" t="s">
        <v>4379</v>
      </c>
      <c r="E581" s="3928" t="s">
        <v>4380</v>
      </c>
      <c r="F581" s="3928" t="s">
        <v>2349</v>
      </c>
      <c r="G581" s="3928" t="s">
        <v>24</v>
      </c>
      <c r="H581" s="3928" t="s">
        <v>24</v>
      </c>
      <c r="I581" s="3928" t="s">
        <v>811</v>
      </c>
    </row>
    <row r="582" spans="1:9" ht="11.25" customHeight="1">
      <c r="A582" s="3928" t="s">
        <v>2258</v>
      </c>
      <c r="B582" s="3928" t="s">
        <v>14</v>
      </c>
      <c r="C582" s="3928" t="s">
        <v>4381</v>
      </c>
      <c r="D582" s="3928" t="s">
        <v>4382</v>
      </c>
      <c r="E582" s="3928" t="s">
        <v>4383</v>
      </c>
      <c r="F582" s="3928" t="s">
        <v>2294</v>
      </c>
      <c r="G582" s="3928" t="s">
        <v>4384</v>
      </c>
      <c r="H582" s="3928" t="s">
        <v>24</v>
      </c>
      <c r="I582" s="3928" t="s">
        <v>811</v>
      </c>
    </row>
    <row r="583" spans="1:9" ht="11.25" customHeight="1">
      <c r="A583" s="3928" t="s">
        <v>2258</v>
      </c>
      <c r="B583" s="3928" t="s">
        <v>14</v>
      </c>
      <c r="C583" s="3928" t="s">
        <v>4385</v>
      </c>
      <c r="D583" s="3928" t="s">
        <v>4386</v>
      </c>
      <c r="E583" s="3928" t="s">
        <v>4387</v>
      </c>
      <c r="F583" s="3928" t="s">
        <v>2552</v>
      </c>
      <c r="G583" s="3928" t="s">
        <v>24</v>
      </c>
      <c r="H583" s="3928" t="s">
        <v>24</v>
      </c>
      <c r="I583" s="3928" t="s">
        <v>811</v>
      </c>
    </row>
    <row r="584" spans="1:9" ht="11.25" customHeight="1">
      <c r="A584" s="3928" t="s">
        <v>2258</v>
      </c>
      <c r="B584" s="3928" t="s">
        <v>14</v>
      </c>
      <c r="C584" s="3928" t="s">
        <v>4388</v>
      </c>
      <c r="D584" s="3928" t="s">
        <v>4389</v>
      </c>
      <c r="E584" s="3928" t="s">
        <v>4390</v>
      </c>
      <c r="F584" s="3928" t="s">
        <v>4391</v>
      </c>
      <c r="G584" s="3928" t="s">
        <v>24</v>
      </c>
      <c r="H584" s="3928" t="s">
        <v>2263</v>
      </c>
      <c r="I584" s="3928" t="s">
        <v>811</v>
      </c>
    </row>
    <row r="585" spans="1:9" ht="11.25" customHeight="1">
      <c r="A585" s="3928" t="s">
        <v>2258</v>
      </c>
      <c r="B585" s="3928" t="s">
        <v>14</v>
      </c>
      <c r="C585" s="3928" t="s">
        <v>4392</v>
      </c>
      <c r="D585" s="3928" t="s">
        <v>4393</v>
      </c>
      <c r="E585" s="3928" t="s">
        <v>4394</v>
      </c>
      <c r="F585" s="3928" t="s">
        <v>2929</v>
      </c>
      <c r="G585" s="3928" t="s">
        <v>4395</v>
      </c>
      <c r="H585" s="3928" t="s">
        <v>24</v>
      </c>
      <c r="I585" s="3928" t="s">
        <v>811</v>
      </c>
    </row>
    <row r="586" spans="1:9" ht="11.25" customHeight="1">
      <c r="A586" s="3928" t="s">
        <v>2258</v>
      </c>
      <c r="B586" s="3928" t="s">
        <v>14</v>
      </c>
      <c r="C586" s="3928" t="s">
        <v>4396</v>
      </c>
      <c r="D586" s="3928" t="s">
        <v>4397</v>
      </c>
      <c r="E586" s="3928" t="s">
        <v>4398</v>
      </c>
      <c r="F586" s="3928" t="s">
        <v>49</v>
      </c>
      <c r="G586" s="3928" t="s">
        <v>24</v>
      </c>
      <c r="H586" s="3928" t="s">
        <v>24</v>
      </c>
      <c r="I586" s="3928" t="s">
        <v>811</v>
      </c>
    </row>
    <row r="587" spans="1:9" ht="11.25" customHeight="1">
      <c r="A587" s="3928" t="s">
        <v>2258</v>
      </c>
      <c r="B587" s="3928" t="s">
        <v>14</v>
      </c>
      <c r="C587" s="3928" t="s">
        <v>4399</v>
      </c>
      <c r="D587" s="3928" t="s">
        <v>4400</v>
      </c>
      <c r="E587" s="3928" t="s">
        <v>4401</v>
      </c>
      <c r="F587" s="3928" t="s">
        <v>2424</v>
      </c>
      <c r="G587" s="3928" t="s">
        <v>24</v>
      </c>
      <c r="H587" s="3928" t="s">
        <v>24</v>
      </c>
      <c r="I587" s="3928" t="s">
        <v>811</v>
      </c>
    </row>
    <row r="588" spans="1:9" ht="11.25" customHeight="1">
      <c r="A588" s="3928" t="s">
        <v>2258</v>
      </c>
      <c r="B588" s="3928" t="s">
        <v>14</v>
      </c>
      <c r="C588" s="3928" t="s">
        <v>4402</v>
      </c>
      <c r="D588" s="3928" t="s">
        <v>4403</v>
      </c>
      <c r="E588" s="3928" t="s">
        <v>4404</v>
      </c>
      <c r="F588" s="3928" t="s">
        <v>2309</v>
      </c>
      <c r="G588" s="3928" t="s">
        <v>2443</v>
      </c>
      <c r="H588" s="3928" t="s">
        <v>24</v>
      </c>
      <c r="I588" s="3928" t="s">
        <v>811</v>
      </c>
    </row>
    <row r="589" spans="1:9" ht="11.25" customHeight="1">
      <c r="A589" s="3928" t="s">
        <v>2258</v>
      </c>
      <c r="B589" s="3928" t="s">
        <v>14</v>
      </c>
      <c r="C589" s="3928" t="s">
        <v>4405</v>
      </c>
      <c r="D589" s="3928" t="s">
        <v>4403</v>
      </c>
      <c r="E589" s="3928" t="s">
        <v>4406</v>
      </c>
      <c r="F589" s="3928" t="s">
        <v>2304</v>
      </c>
      <c r="G589" s="3928" t="s">
        <v>24</v>
      </c>
      <c r="H589" s="3928" t="s">
        <v>24</v>
      </c>
      <c r="I589" s="3928" t="s">
        <v>811</v>
      </c>
    </row>
    <row r="590" spans="1:9" ht="11.25" customHeight="1">
      <c r="A590" s="3928" t="s">
        <v>2258</v>
      </c>
      <c r="B590" s="3928" t="s">
        <v>14</v>
      </c>
      <c r="C590" s="3928" t="s">
        <v>4407</v>
      </c>
      <c r="D590" s="3928" t="s">
        <v>4403</v>
      </c>
      <c r="E590" s="3928" t="s">
        <v>4406</v>
      </c>
      <c r="F590" s="3928" t="s">
        <v>4408</v>
      </c>
      <c r="G590" s="3928" t="s">
        <v>4409</v>
      </c>
      <c r="H590" s="3928" t="s">
        <v>24</v>
      </c>
      <c r="I590" s="3928" t="s">
        <v>811</v>
      </c>
    </row>
    <row r="591" spans="1:9" ht="11.25" customHeight="1">
      <c r="A591" s="3928" t="s">
        <v>2258</v>
      </c>
      <c r="B591" s="3928" t="s">
        <v>14</v>
      </c>
      <c r="C591" s="3928" t="s">
        <v>4410</v>
      </c>
      <c r="D591" s="3928" t="s">
        <v>4411</v>
      </c>
      <c r="E591" s="3928" t="s">
        <v>4412</v>
      </c>
      <c r="F591" s="3928" t="s">
        <v>2304</v>
      </c>
      <c r="G591" s="3928" t="s">
        <v>4413</v>
      </c>
      <c r="H591" s="3928" t="s">
        <v>24</v>
      </c>
      <c r="I591" s="3928" t="s">
        <v>811</v>
      </c>
    </row>
    <row r="592" spans="1:9" ht="11.25" customHeight="1">
      <c r="A592" s="3928" t="s">
        <v>2258</v>
      </c>
      <c r="B592" s="3928" t="s">
        <v>14</v>
      </c>
      <c r="C592" s="3928" t="s">
        <v>4414</v>
      </c>
      <c r="D592" s="3928" t="s">
        <v>4415</v>
      </c>
      <c r="E592" s="3928" t="s">
        <v>4416</v>
      </c>
      <c r="F592" s="3928" t="s">
        <v>2309</v>
      </c>
      <c r="G592" s="3928" t="s">
        <v>4417</v>
      </c>
      <c r="H592" s="3928" t="s">
        <v>24</v>
      </c>
      <c r="I592" s="3928" t="s">
        <v>811</v>
      </c>
    </row>
    <row r="593" spans="1:9" ht="11.25" customHeight="1">
      <c r="A593" s="3928" t="s">
        <v>2258</v>
      </c>
      <c r="B593" s="3928" t="s">
        <v>14</v>
      </c>
      <c r="C593" s="3928" t="s">
        <v>4418</v>
      </c>
      <c r="D593" s="3928" t="s">
        <v>4419</v>
      </c>
      <c r="E593" s="3928" t="s">
        <v>4420</v>
      </c>
      <c r="F593" s="3928" t="s">
        <v>2325</v>
      </c>
      <c r="G593" s="3928" t="s">
        <v>4421</v>
      </c>
      <c r="H593" s="3928" t="s">
        <v>24</v>
      </c>
      <c r="I593" s="3928" t="s">
        <v>811</v>
      </c>
    </row>
    <row r="594" spans="1:9" ht="11.25" customHeight="1">
      <c r="A594" s="3928" t="s">
        <v>2258</v>
      </c>
      <c r="B594" s="3928" t="s">
        <v>14</v>
      </c>
      <c r="C594" s="3928" t="s">
        <v>4422</v>
      </c>
      <c r="D594" s="3928" t="s">
        <v>4423</v>
      </c>
      <c r="E594" s="3928" t="s">
        <v>4424</v>
      </c>
      <c r="F594" s="3928" t="s">
        <v>2289</v>
      </c>
      <c r="G594" s="3928" t="s">
        <v>24</v>
      </c>
      <c r="H594" s="3928" t="s">
        <v>24</v>
      </c>
      <c r="I594" s="3928" t="s">
        <v>811</v>
      </c>
    </row>
    <row r="595" spans="1:9" ht="11.25" customHeight="1">
      <c r="A595" s="3928" t="s">
        <v>2258</v>
      </c>
      <c r="B595" s="3928" t="s">
        <v>14</v>
      </c>
      <c r="C595" s="3928" t="s">
        <v>4425</v>
      </c>
      <c r="D595" s="3928" t="s">
        <v>4426</v>
      </c>
      <c r="E595" s="3928" t="s">
        <v>4427</v>
      </c>
      <c r="F595" s="3928" t="s">
        <v>4428</v>
      </c>
      <c r="G595" s="3928" t="s">
        <v>24</v>
      </c>
      <c r="H595" s="3928" t="s">
        <v>2263</v>
      </c>
      <c r="I595" s="3928" t="s">
        <v>811</v>
      </c>
    </row>
    <row r="596" spans="1:9" ht="11.25" customHeight="1">
      <c r="A596" s="3928" t="s">
        <v>2258</v>
      </c>
      <c r="B596" s="3928" t="s">
        <v>14</v>
      </c>
      <c r="C596" s="3928" t="s">
        <v>4429</v>
      </c>
      <c r="D596" s="3928" t="s">
        <v>4430</v>
      </c>
      <c r="E596" s="3928" t="s">
        <v>4431</v>
      </c>
      <c r="F596" s="3928" t="s">
        <v>2309</v>
      </c>
      <c r="G596" s="3928" t="s">
        <v>24</v>
      </c>
      <c r="H596" s="3928" t="s">
        <v>24</v>
      </c>
      <c r="I596" s="3928" t="s">
        <v>811</v>
      </c>
    </row>
    <row r="597" spans="1:9" ht="11.25" customHeight="1">
      <c r="A597" s="3928" t="s">
        <v>2258</v>
      </c>
      <c r="B597" s="3928" t="s">
        <v>14</v>
      </c>
      <c r="C597" s="3928" t="s">
        <v>4432</v>
      </c>
      <c r="D597" s="3928" t="s">
        <v>4433</v>
      </c>
      <c r="E597" s="3928" t="s">
        <v>4434</v>
      </c>
      <c r="F597" s="3928" t="s">
        <v>4435</v>
      </c>
      <c r="G597" s="3928" t="s">
        <v>4436</v>
      </c>
      <c r="H597" s="3928" t="s">
        <v>24</v>
      </c>
      <c r="I597" s="3928" t="s">
        <v>811</v>
      </c>
    </row>
    <row r="598" spans="1:9" ht="11.25" customHeight="1">
      <c r="A598" s="3928" t="s">
        <v>2258</v>
      </c>
      <c r="B598" s="3928" t="s">
        <v>14</v>
      </c>
      <c r="C598" s="3928" t="s">
        <v>4437</v>
      </c>
      <c r="D598" s="3928" t="s">
        <v>4438</v>
      </c>
      <c r="E598" s="3928" t="s">
        <v>4439</v>
      </c>
      <c r="F598" s="3928" t="s">
        <v>2309</v>
      </c>
      <c r="G598" s="3928" t="s">
        <v>24</v>
      </c>
      <c r="H598" s="3928" t="s">
        <v>2263</v>
      </c>
      <c r="I598" s="3928" t="s">
        <v>811</v>
      </c>
    </row>
    <row r="599" spans="1:9" ht="11.25" customHeight="1">
      <c r="A599" s="3928" t="s">
        <v>2258</v>
      </c>
      <c r="B599" s="3928" t="s">
        <v>14</v>
      </c>
      <c r="C599" s="3928" t="s">
        <v>4440</v>
      </c>
      <c r="D599" s="3928" t="s">
        <v>4441</v>
      </c>
      <c r="E599" s="3928" t="s">
        <v>4442</v>
      </c>
      <c r="F599" s="3928" t="s">
        <v>2486</v>
      </c>
      <c r="G599" s="3928" t="s">
        <v>24</v>
      </c>
      <c r="H599" s="3928" t="s">
        <v>2263</v>
      </c>
      <c r="I599" s="3928" t="s">
        <v>811</v>
      </c>
    </row>
    <row r="600" spans="1:9" ht="11.25" customHeight="1">
      <c r="A600" s="3928" t="s">
        <v>2258</v>
      </c>
      <c r="B600" s="3928" t="s">
        <v>14</v>
      </c>
      <c r="C600" s="3928" t="s">
        <v>4443</v>
      </c>
      <c r="D600" s="3928" t="s">
        <v>4444</v>
      </c>
      <c r="E600" s="3928" t="s">
        <v>4445</v>
      </c>
      <c r="F600" s="3928" t="s">
        <v>2419</v>
      </c>
      <c r="G600" s="3928" t="s">
        <v>24</v>
      </c>
      <c r="H600" s="3928" t="s">
        <v>24</v>
      </c>
      <c r="I600" s="3928" t="s">
        <v>811</v>
      </c>
    </row>
    <row r="601" spans="1:9" ht="11.25" customHeight="1">
      <c r="A601" s="3928" t="s">
        <v>2258</v>
      </c>
      <c r="B601" s="3928" t="s">
        <v>14</v>
      </c>
      <c r="C601" s="3928" t="s">
        <v>4446</v>
      </c>
      <c r="D601" s="3928" t="s">
        <v>4447</v>
      </c>
      <c r="E601" s="3928" t="s">
        <v>4448</v>
      </c>
      <c r="F601" s="3928" t="s">
        <v>2771</v>
      </c>
      <c r="G601" s="3928" t="s">
        <v>4449</v>
      </c>
      <c r="H601" s="3928" t="s">
        <v>2263</v>
      </c>
      <c r="I601" s="3928" t="s">
        <v>811</v>
      </c>
    </row>
    <row r="602" spans="1:9" ht="11.25" customHeight="1">
      <c r="A602" s="3928" t="s">
        <v>2258</v>
      </c>
      <c r="B602" s="3928" t="s">
        <v>14</v>
      </c>
      <c r="C602" s="3928" t="s">
        <v>4450</v>
      </c>
      <c r="D602" s="3928" t="s">
        <v>4451</v>
      </c>
      <c r="E602" s="3928" t="s">
        <v>4452</v>
      </c>
      <c r="F602" s="3928" t="s">
        <v>2675</v>
      </c>
      <c r="G602" s="3928" t="s">
        <v>24</v>
      </c>
      <c r="H602" s="3928" t="s">
        <v>2263</v>
      </c>
      <c r="I602" s="3928" t="s">
        <v>811</v>
      </c>
    </row>
    <row r="603" spans="1:9" ht="11.25" customHeight="1">
      <c r="A603" s="3928" t="s">
        <v>2258</v>
      </c>
      <c r="B603" s="3928" t="s">
        <v>14</v>
      </c>
      <c r="C603" s="3928" t="s">
        <v>4453</v>
      </c>
      <c r="D603" s="3928" t="s">
        <v>4454</v>
      </c>
      <c r="E603" s="3928" t="s">
        <v>4455</v>
      </c>
      <c r="F603" s="3928" t="s">
        <v>2552</v>
      </c>
      <c r="G603" s="3928" t="s">
        <v>24</v>
      </c>
      <c r="H603" s="3928" t="s">
        <v>4456</v>
      </c>
      <c r="I603" s="3928" t="s">
        <v>811</v>
      </c>
    </row>
    <row r="604" spans="1:9" ht="11.25" customHeight="1">
      <c r="A604" s="3928" t="s">
        <v>2258</v>
      </c>
      <c r="B604" s="3928" t="s">
        <v>14</v>
      </c>
      <c r="C604" s="3928" t="s">
        <v>4457</v>
      </c>
      <c r="D604" s="3928" t="s">
        <v>4458</v>
      </c>
      <c r="E604" s="3928" t="s">
        <v>4459</v>
      </c>
      <c r="F604" s="3928" t="s">
        <v>2375</v>
      </c>
      <c r="G604" s="3928" t="s">
        <v>24</v>
      </c>
      <c r="H604" s="3928" t="s">
        <v>24</v>
      </c>
      <c r="I604" s="3928" t="s">
        <v>811</v>
      </c>
    </row>
    <row r="605" spans="1:9" ht="11.25" customHeight="1">
      <c r="A605" s="3928" t="s">
        <v>2258</v>
      </c>
      <c r="B605" s="3928" t="s">
        <v>14</v>
      </c>
      <c r="C605" s="3928" t="s">
        <v>4460</v>
      </c>
      <c r="D605" s="3928" t="s">
        <v>4461</v>
      </c>
      <c r="E605" s="3928" t="s">
        <v>4462</v>
      </c>
      <c r="F605" s="3928" t="s">
        <v>2325</v>
      </c>
      <c r="G605" s="3928" t="s">
        <v>24</v>
      </c>
      <c r="H605" s="3928" t="s">
        <v>24</v>
      </c>
      <c r="I605" s="3928" t="s">
        <v>811</v>
      </c>
    </row>
    <row r="606" spans="1:9" ht="11.25" customHeight="1">
      <c r="A606" s="3928" t="s">
        <v>2258</v>
      </c>
      <c r="B606" s="3928" t="s">
        <v>14</v>
      </c>
      <c r="C606" s="3928" t="s">
        <v>4463</v>
      </c>
      <c r="D606" s="3928" t="s">
        <v>4464</v>
      </c>
      <c r="E606" s="3928" t="s">
        <v>4465</v>
      </c>
      <c r="F606" s="3928" t="s">
        <v>4466</v>
      </c>
      <c r="G606" s="3928" t="s">
        <v>24</v>
      </c>
      <c r="H606" s="3928" t="s">
        <v>24</v>
      </c>
      <c r="I606" s="3928" t="s">
        <v>811</v>
      </c>
    </row>
    <row r="607" spans="1:9" ht="11.25" customHeight="1">
      <c r="A607" s="3928" t="s">
        <v>2258</v>
      </c>
      <c r="B607" s="3928" t="s">
        <v>14</v>
      </c>
      <c r="C607" s="3928" t="s">
        <v>4467</v>
      </c>
      <c r="D607" s="3928" t="s">
        <v>4468</v>
      </c>
      <c r="E607" s="3928" t="s">
        <v>4469</v>
      </c>
      <c r="F607" s="3928" t="s">
        <v>2397</v>
      </c>
      <c r="G607" s="3928" t="s">
        <v>24</v>
      </c>
      <c r="H607" s="3928" t="s">
        <v>2263</v>
      </c>
      <c r="I607" s="3928" t="s">
        <v>811</v>
      </c>
    </row>
    <row r="608" spans="1:9" ht="11.25" customHeight="1">
      <c r="A608" s="3928" t="s">
        <v>2258</v>
      </c>
      <c r="B608" s="3928" t="s">
        <v>14</v>
      </c>
      <c r="C608" s="3928" t="s">
        <v>4470</v>
      </c>
      <c r="D608" s="3928" t="s">
        <v>4468</v>
      </c>
      <c r="E608" s="3928" t="s">
        <v>4471</v>
      </c>
      <c r="F608" s="3928" t="s">
        <v>2262</v>
      </c>
      <c r="G608" s="3928" t="s">
        <v>4472</v>
      </c>
      <c r="H608" s="3928" t="s">
        <v>24</v>
      </c>
      <c r="I608" s="3928" t="s">
        <v>811</v>
      </c>
    </row>
    <row r="609" spans="1:9" ht="11.25" customHeight="1">
      <c r="A609" s="3928" t="s">
        <v>2258</v>
      </c>
      <c r="B609" s="3928" t="s">
        <v>14</v>
      </c>
      <c r="C609" s="3928" t="s">
        <v>4473</v>
      </c>
      <c r="D609" s="3928" t="s">
        <v>4474</v>
      </c>
      <c r="E609" s="3928" t="s">
        <v>4475</v>
      </c>
      <c r="F609" s="3928" t="s">
        <v>2522</v>
      </c>
      <c r="G609" s="3928" t="s">
        <v>24</v>
      </c>
      <c r="H609" s="3928" t="s">
        <v>24</v>
      </c>
      <c r="I609" s="3928" t="s">
        <v>811</v>
      </c>
    </row>
    <row r="610" spans="1:9" ht="11.25" customHeight="1">
      <c r="A610" s="3928" t="s">
        <v>2258</v>
      </c>
      <c r="B610" s="3928" t="s">
        <v>14</v>
      </c>
      <c r="C610" s="3928" t="s">
        <v>4476</v>
      </c>
      <c r="D610" s="3928" t="s">
        <v>4477</v>
      </c>
      <c r="E610" s="3928" t="s">
        <v>4478</v>
      </c>
      <c r="F610" s="3928" t="s">
        <v>2359</v>
      </c>
      <c r="G610" s="3928" t="s">
        <v>24</v>
      </c>
      <c r="H610" s="3928" t="s">
        <v>2263</v>
      </c>
      <c r="I610" s="3928" t="s">
        <v>811</v>
      </c>
    </row>
    <row r="611" spans="1:9" ht="11.25" customHeight="1">
      <c r="A611" s="3928" t="s">
        <v>2258</v>
      </c>
      <c r="B611" s="3928" t="s">
        <v>14</v>
      </c>
      <c r="C611" s="3928" t="s">
        <v>4479</v>
      </c>
      <c r="D611" s="3928" t="s">
        <v>4480</v>
      </c>
      <c r="E611" s="3928" t="s">
        <v>4481</v>
      </c>
      <c r="F611" s="3928" t="s">
        <v>2688</v>
      </c>
      <c r="G611" s="3928" t="s">
        <v>4482</v>
      </c>
      <c r="H611" s="3928" t="s">
        <v>2263</v>
      </c>
      <c r="I611" s="3928" t="s">
        <v>811</v>
      </c>
    </row>
    <row r="612" spans="1:9" ht="11.25" customHeight="1">
      <c r="A612" s="3928" t="s">
        <v>2258</v>
      </c>
      <c r="B612" s="3928" t="s">
        <v>14</v>
      </c>
      <c r="C612" s="3928" t="s">
        <v>4483</v>
      </c>
      <c r="D612" s="3928" t="s">
        <v>4484</v>
      </c>
      <c r="E612" s="3928" t="s">
        <v>4485</v>
      </c>
      <c r="F612" s="3928" t="s">
        <v>2414</v>
      </c>
      <c r="G612" s="3928" t="s">
        <v>4486</v>
      </c>
      <c r="H612" s="3928" t="s">
        <v>24</v>
      </c>
      <c r="I612" s="3928" t="s">
        <v>811</v>
      </c>
    </row>
    <row r="613" spans="1:9" ht="11.25" customHeight="1">
      <c r="A613" s="3928" t="s">
        <v>2258</v>
      </c>
      <c r="B613" s="3928" t="s">
        <v>14</v>
      </c>
      <c r="C613" s="3928" t="s">
        <v>4487</v>
      </c>
      <c r="D613" s="3928" t="s">
        <v>4488</v>
      </c>
      <c r="E613" s="3928" t="s">
        <v>4489</v>
      </c>
      <c r="F613" s="3928" t="s">
        <v>4490</v>
      </c>
      <c r="G613" s="3928" t="s">
        <v>24</v>
      </c>
      <c r="H613" s="3928" t="s">
        <v>24</v>
      </c>
      <c r="I613" s="3928" t="s">
        <v>811</v>
      </c>
    </row>
    <row r="614" spans="1:9" ht="11.25" customHeight="1">
      <c r="A614" s="3928" t="s">
        <v>2258</v>
      </c>
      <c r="B614" s="3928" t="s">
        <v>14</v>
      </c>
      <c r="C614" s="3928" t="s">
        <v>4491</v>
      </c>
      <c r="D614" s="3928" t="s">
        <v>4492</v>
      </c>
      <c r="E614" s="3928" t="s">
        <v>4493</v>
      </c>
      <c r="F614" s="3928" t="s">
        <v>2294</v>
      </c>
      <c r="G614" s="3928" t="s">
        <v>24</v>
      </c>
      <c r="H614" s="3928" t="s">
        <v>24</v>
      </c>
      <c r="I614" s="3928" t="s">
        <v>811</v>
      </c>
    </row>
    <row r="615" spans="1:9" ht="11.25" customHeight="1">
      <c r="A615" s="3928" t="s">
        <v>2258</v>
      </c>
      <c r="B615" s="3928" t="s">
        <v>14</v>
      </c>
      <c r="C615" s="3928" t="s">
        <v>4494</v>
      </c>
      <c r="D615" s="3928" t="s">
        <v>4495</v>
      </c>
      <c r="E615" s="3928" t="s">
        <v>4496</v>
      </c>
      <c r="F615" s="3928" t="s">
        <v>2469</v>
      </c>
      <c r="G615" s="3928" t="s">
        <v>4497</v>
      </c>
      <c r="H615" s="3928" t="s">
        <v>24</v>
      </c>
      <c r="I615" s="3928" t="s">
        <v>811</v>
      </c>
    </row>
    <row r="616" spans="1:9" ht="11.25" customHeight="1">
      <c r="A616" s="3928" t="s">
        <v>2258</v>
      </c>
      <c r="B616" s="3928" t="s">
        <v>14</v>
      </c>
      <c r="C616" s="3928" t="s">
        <v>4498</v>
      </c>
      <c r="D616" s="3928" t="s">
        <v>4499</v>
      </c>
      <c r="E616" s="3928" t="s">
        <v>4500</v>
      </c>
      <c r="F616" s="3928" t="s">
        <v>2344</v>
      </c>
      <c r="G616" s="3928" t="s">
        <v>4501</v>
      </c>
      <c r="H616" s="3928" t="s">
        <v>24</v>
      </c>
      <c r="I616" s="3928" t="s">
        <v>811</v>
      </c>
    </row>
    <row r="617" spans="1:9" ht="11.25" customHeight="1">
      <c r="A617" s="3928" t="s">
        <v>2258</v>
      </c>
      <c r="B617" s="3928" t="s">
        <v>14</v>
      </c>
      <c r="C617" s="3928" t="s">
        <v>4502</v>
      </c>
      <c r="D617" s="3928" t="s">
        <v>4503</v>
      </c>
      <c r="E617" s="3928" t="s">
        <v>4504</v>
      </c>
      <c r="F617" s="3928" t="s">
        <v>3051</v>
      </c>
      <c r="G617" s="3928" t="s">
        <v>24</v>
      </c>
      <c r="H617" s="3928" t="s">
        <v>2263</v>
      </c>
      <c r="I617" s="3928" t="s">
        <v>811</v>
      </c>
    </row>
    <row r="618" spans="1:9" ht="11.25" customHeight="1">
      <c r="A618" s="3928" t="s">
        <v>2258</v>
      </c>
      <c r="B618" s="3928" t="s">
        <v>14</v>
      </c>
      <c r="C618" s="3928" t="s">
        <v>4505</v>
      </c>
      <c r="D618" s="3928" t="s">
        <v>4506</v>
      </c>
      <c r="E618" s="3928" t="s">
        <v>4507</v>
      </c>
      <c r="F618" s="3928" t="s">
        <v>2419</v>
      </c>
      <c r="G618" s="3928" t="s">
        <v>24</v>
      </c>
      <c r="H618" s="3928" t="s">
        <v>2263</v>
      </c>
      <c r="I618" s="3928" t="s">
        <v>811</v>
      </c>
    </row>
    <row r="619" spans="1:9" ht="11.25" customHeight="1">
      <c r="A619" s="3928" t="s">
        <v>2258</v>
      </c>
      <c r="B619" s="3928" t="s">
        <v>14</v>
      </c>
      <c r="C619" s="3928" t="s">
        <v>4508</v>
      </c>
      <c r="D619" s="3928" t="s">
        <v>4509</v>
      </c>
      <c r="E619" s="3928" t="s">
        <v>4510</v>
      </c>
      <c r="F619" s="3928" t="s">
        <v>2309</v>
      </c>
      <c r="G619" s="3928" t="s">
        <v>24</v>
      </c>
      <c r="H619" s="3928" t="s">
        <v>24</v>
      </c>
      <c r="I619" s="3928" t="s">
        <v>811</v>
      </c>
    </row>
    <row r="620" spans="1:9" ht="11.25" customHeight="1">
      <c r="A620" s="3928" t="s">
        <v>2258</v>
      </c>
      <c r="B620" s="3928" t="s">
        <v>14</v>
      </c>
      <c r="C620" s="3928" t="s">
        <v>4511</v>
      </c>
      <c r="D620" s="3928" t="s">
        <v>4512</v>
      </c>
      <c r="E620" s="3928" t="s">
        <v>4513</v>
      </c>
      <c r="F620" s="3928" t="s">
        <v>2309</v>
      </c>
      <c r="G620" s="3928" t="s">
        <v>4514</v>
      </c>
      <c r="H620" s="3928" t="s">
        <v>24</v>
      </c>
      <c r="I620" s="3928" t="s">
        <v>811</v>
      </c>
    </row>
    <row r="621" spans="1:9" ht="11.25" customHeight="1">
      <c r="A621" s="3928" t="s">
        <v>2258</v>
      </c>
      <c r="B621" s="3928" t="s">
        <v>14</v>
      </c>
      <c r="C621" s="3928" t="s">
        <v>4515</v>
      </c>
      <c r="D621" s="3928" t="s">
        <v>4516</v>
      </c>
      <c r="E621" s="3928" t="s">
        <v>4517</v>
      </c>
      <c r="F621" s="3928" t="s">
        <v>2535</v>
      </c>
      <c r="G621" s="3928" t="s">
        <v>4518</v>
      </c>
      <c r="H621" s="3928" t="s">
        <v>24</v>
      </c>
      <c r="I621" s="3928" t="s">
        <v>811</v>
      </c>
    </row>
    <row r="622" spans="1:9" ht="11.25" customHeight="1">
      <c r="A622" s="3928" t="s">
        <v>2258</v>
      </c>
      <c r="B622" s="3928" t="s">
        <v>14</v>
      </c>
      <c r="C622" s="3928" t="s">
        <v>4519</v>
      </c>
      <c r="D622" s="3928" t="s">
        <v>4520</v>
      </c>
      <c r="E622" s="3928" t="s">
        <v>4521</v>
      </c>
      <c r="F622" s="3928" t="s">
        <v>4522</v>
      </c>
      <c r="G622" s="3928" t="s">
        <v>4523</v>
      </c>
      <c r="H622" s="3928" t="s">
        <v>2263</v>
      </c>
      <c r="I622" s="3928" t="s">
        <v>811</v>
      </c>
    </row>
    <row r="623" spans="1:9" ht="11.25" customHeight="1">
      <c r="A623" s="3928" t="s">
        <v>2258</v>
      </c>
      <c r="B623" s="3928" t="s">
        <v>14</v>
      </c>
      <c r="C623" s="3928" t="s">
        <v>4524</v>
      </c>
      <c r="D623" s="3928" t="s">
        <v>4525</v>
      </c>
      <c r="E623" s="3928" t="s">
        <v>4526</v>
      </c>
      <c r="F623" s="3928" t="s">
        <v>49</v>
      </c>
      <c r="G623" s="3928" t="s">
        <v>24</v>
      </c>
      <c r="H623" s="3928" t="s">
        <v>24</v>
      </c>
      <c r="I623" s="3928" t="s">
        <v>811</v>
      </c>
    </row>
    <row r="624" spans="1:9" ht="11.25" customHeight="1">
      <c r="A624" s="3928" t="s">
        <v>2258</v>
      </c>
      <c r="B624" s="3928" t="s">
        <v>14</v>
      </c>
      <c r="C624" s="3928" t="s">
        <v>4527</v>
      </c>
      <c r="D624" s="3928" t="s">
        <v>4528</v>
      </c>
      <c r="E624" s="3928" t="s">
        <v>4529</v>
      </c>
      <c r="F624" s="3928" t="s">
        <v>2419</v>
      </c>
      <c r="G624" s="3928" t="s">
        <v>3217</v>
      </c>
      <c r="H624" s="3928" t="s">
        <v>24</v>
      </c>
      <c r="I624" s="3928" t="s">
        <v>811</v>
      </c>
    </row>
    <row r="625" spans="1:9" ht="11.25" customHeight="1">
      <c r="A625" s="3928" t="s">
        <v>2258</v>
      </c>
      <c r="B625" s="3928" t="s">
        <v>14</v>
      </c>
      <c r="C625" s="3928" t="s">
        <v>4530</v>
      </c>
      <c r="D625" s="3928" t="s">
        <v>4531</v>
      </c>
      <c r="E625" s="3928" t="s">
        <v>4532</v>
      </c>
      <c r="F625" s="3928" t="s">
        <v>2675</v>
      </c>
      <c r="G625" s="3928" t="s">
        <v>24</v>
      </c>
      <c r="H625" s="3928" t="s">
        <v>24</v>
      </c>
      <c r="I625" s="3928" t="s">
        <v>811</v>
      </c>
    </row>
    <row r="626" spans="1:9" ht="11.25" customHeight="1">
      <c r="A626" s="3928" t="s">
        <v>2258</v>
      </c>
      <c r="B626" s="3928" t="s">
        <v>14</v>
      </c>
      <c r="C626" s="3928" t="s">
        <v>4533</v>
      </c>
      <c r="D626" s="3928" t="s">
        <v>4534</v>
      </c>
      <c r="E626" s="3928" t="s">
        <v>4535</v>
      </c>
      <c r="F626" s="3928" t="s">
        <v>2473</v>
      </c>
      <c r="G626" s="3928" t="s">
        <v>24</v>
      </c>
      <c r="H626" s="3928" t="s">
        <v>2263</v>
      </c>
      <c r="I626" s="3928" t="s">
        <v>811</v>
      </c>
    </row>
    <row r="627" spans="1:9" ht="11.25" customHeight="1">
      <c r="A627" s="3928" t="s">
        <v>2258</v>
      </c>
      <c r="B627" s="3928" t="s">
        <v>14</v>
      </c>
      <c r="C627" s="3928" t="s">
        <v>4536</v>
      </c>
      <c r="D627" s="3928" t="s">
        <v>4537</v>
      </c>
      <c r="E627" s="3928" t="s">
        <v>4538</v>
      </c>
      <c r="F627" s="3928" t="s">
        <v>2397</v>
      </c>
      <c r="G627" s="3928" t="s">
        <v>24</v>
      </c>
      <c r="H627" s="3928" t="s">
        <v>2475</v>
      </c>
      <c r="I627" s="3928" t="s">
        <v>811</v>
      </c>
    </row>
    <row r="628" spans="1:9" ht="11.25" customHeight="1">
      <c r="A628" s="3928" t="s">
        <v>2258</v>
      </c>
      <c r="B628" s="3928" t="s">
        <v>14</v>
      </c>
      <c r="C628" s="3928" t="s">
        <v>4539</v>
      </c>
      <c r="D628" s="3928" t="s">
        <v>4540</v>
      </c>
      <c r="E628" s="3928" t="s">
        <v>4541</v>
      </c>
      <c r="F628" s="3928" t="s">
        <v>2438</v>
      </c>
      <c r="G628" s="3928" t="s">
        <v>4542</v>
      </c>
      <c r="H628" s="3928" t="s">
        <v>2945</v>
      </c>
      <c r="I628" s="3928" t="s">
        <v>811</v>
      </c>
    </row>
    <row r="629" spans="1:9" ht="11.25" customHeight="1">
      <c r="A629" s="3928" t="s">
        <v>2258</v>
      </c>
      <c r="B629" s="3928" t="s">
        <v>14</v>
      </c>
      <c r="C629" s="3928" t="s">
        <v>4543</v>
      </c>
      <c r="D629" s="3928" t="s">
        <v>4540</v>
      </c>
      <c r="E629" s="3928" t="s">
        <v>4544</v>
      </c>
      <c r="F629" s="3928" t="s">
        <v>2438</v>
      </c>
      <c r="G629" s="3928" t="s">
        <v>24</v>
      </c>
      <c r="H629" s="3928" t="s">
        <v>24</v>
      </c>
      <c r="I629" s="3928" t="s">
        <v>811</v>
      </c>
    </row>
    <row r="630" spans="1:9" ht="11.25" customHeight="1">
      <c r="A630" s="3928" t="s">
        <v>2258</v>
      </c>
      <c r="B630" s="3928" t="s">
        <v>14</v>
      </c>
      <c r="C630" s="3928" t="s">
        <v>4545</v>
      </c>
      <c r="D630" s="3928" t="s">
        <v>4546</v>
      </c>
      <c r="E630" s="3928" t="s">
        <v>4547</v>
      </c>
      <c r="F630" s="3928" t="s">
        <v>49</v>
      </c>
      <c r="G630" s="3928" t="s">
        <v>4548</v>
      </c>
      <c r="H630" s="3928" t="s">
        <v>24</v>
      </c>
      <c r="I630" s="3928" t="s">
        <v>811</v>
      </c>
    </row>
    <row r="631" spans="1:9" ht="11.25" customHeight="1">
      <c r="A631" s="3928" t="s">
        <v>2258</v>
      </c>
      <c r="B631" s="3928" t="s">
        <v>14</v>
      </c>
      <c r="C631" s="3928" t="s">
        <v>4549</v>
      </c>
      <c r="D631" s="3928" t="s">
        <v>4550</v>
      </c>
      <c r="E631" s="3928" t="s">
        <v>4551</v>
      </c>
      <c r="F631" s="3928" t="s">
        <v>2419</v>
      </c>
      <c r="G631" s="3928" t="s">
        <v>4552</v>
      </c>
      <c r="H631" s="3928" t="s">
        <v>24</v>
      </c>
      <c r="I631" s="3928" t="s">
        <v>811</v>
      </c>
    </row>
    <row r="632" spans="1:9" ht="11.25" customHeight="1">
      <c r="A632" s="3928" t="s">
        <v>2258</v>
      </c>
      <c r="B632" s="3928" t="s">
        <v>14</v>
      </c>
      <c r="C632" s="3928" t="s">
        <v>4553</v>
      </c>
      <c r="D632" s="3928" t="s">
        <v>4554</v>
      </c>
      <c r="E632" s="3928" t="s">
        <v>4555</v>
      </c>
      <c r="F632" s="3928" t="s">
        <v>3509</v>
      </c>
      <c r="G632" s="3928" t="s">
        <v>4556</v>
      </c>
      <c r="H632" s="3928" t="s">
        <v>24</v>
      </c>
      <c r="I632" s="3928" t="s">
        <v>811</v>
      </c>
    </row>
    <row r="633" spans="1:9" ht="11.25" customHeight="1">
      <c r="A633" s="3928" t="s">
        <v>2258</v>
      </c>
      <c r="B633" s="3928" t="s">
        <v>14</v>
      </c>
      <c r="C633" s="3928" t="s">
        <v>4557</v>
      </c>
      <c r="D633" s="3928" t="s">
        <v>4558</v>
      </c>
      <c r="E633" s="3928" t="s">
        <v>4559</v>
      </c>
      <c r="F633" s="3928" t="s">
        <v>2414</v>
      </c>
      <c r="G633" s="3928" t="s">
        <v>24</v>
      </c>
      <c r="H633" s="3928" t="s">
        <v>2263</v>
      </c>
      <c r="I633" s="3928" t="s">
        <v>811</v>
      </c>
    </row>
    <row r="634" spans="1:9" ht="11.25" customHeight="1">
      <c r="A634" s="3928" t="s">
        <v>2258</v>
      </c>
      <c r="B634" s="3928" t="s">
        <v>14</v>
      </c>
      <c r="C634" s="3928" t="s">
        <v>4560</v>
      </c>
      <c r="D634" s="3928" t="s">
        <v>4561</v>
      </c>
      <c r="E634" s="3928" t="s">
        <v>4562</v>
      </c>
      <c r="F634" s="3928" t="s">
        <v>2907</v>
      </c>
      <c r="G634" s="3928" t="s">
        <v>24</v>
      </c>
      <c r="H634" s="3928" t="s">
        <v>2263</v>
      </c>
      <c r="I634" s="3928" t="s">
        <v>811</v>
      </c>
    </row>
    <row r="635" spans="1:9" ht="11.25" customHeight="1">
      <c r="A635" s="3928" t="s">
        <v>2258</v>
      </c>
      <c r="B635" s="3928" t="s">
        <v>14</v>
      </c>
      <c r="C635" s="3928" t="s">
        <v>4563</v>
      </c>
      <c r="D635" s="3928" t="s">
        <v>4564</v>
      </c>
      <c r="E635" s="3928" t="s">
        <v>4565</v>
      </c>
      <c r="F635" s="3928" t="s">
        <v>4566</v>
      </c>
      <c r="G635" s="3928" t="s">
        <v>4567</v>
      </c>
      <c r="H635" s="3928" t="s">
        <v>24</v>
      </c>
      <c r="I635" s="3928" t="s">
        <v>811</v>
      </c>
    </row>
    <row r="636" spans="1:9" ht="11.25" customHeight="1">
      <c r="A636" s="3928" t="s">
        <v>2258</v>
      </c>
      <c r="B636" s="3928" t="s">
        <v>14</v>
      </c>
      <c r="C636" s="3928" t="s">
        <v>4568</v>
      </c>
      <c r="D636" s="3928" t="s">
        <v>4569</v>
      </c>
      <c r="E636" s="3928" t="s">
        <v>4570</v>
      </c>
      <c r="F636" s="3928" t="s">
        <v>2414</v>
      </c>
      <c r="G636" s="3928" t="s">
        <v>4571</v>
      </c>
      <c r="H636" s="3928" t="s">
        <v>24</v>
      </c>
      <c r="I636" s="3928" t="s">
        <v>811</v>
      </c>
    </row>
    <row r="637" spans="1:9" ht="11.25" customHeight="1">
      <c r="A637" s="3928" t="s">
        <v>2258</v>
      </c>
      <c r="B637" s="3928" t="s">
        <v>14</v>
      </c>
      <c r="C637" s="3928" t="s">
        <v>4572</v>
      </c>
      <c r="D637" s="3928" t="s">
        <v>4573</v>
      </c>
      <c r="E637" s="3928" t="s">
        <v>4574</v>
      </c>
      <c r="F637" s="3928" t="s">
        <v>2424</v>
      </c>
      <c r="G637" s="3928" t="s">
        <v>24</v>
      </c>
      <c r="H637" s="3928" t="s">
        <v>24</v>
      </c>
      <c r="I637" s="3928" t="s">
        <v>811</v>
      </c>
    </row>
    <row r="638" spans="1:9" ht="11.25" customHeight="1">
      <c r="A638" s="3928" t="s">
        <v>2258</v>
      </c>
      <c r="B638" s="3928" t="s">
        <v>14</v>
      </c>
      <c r="C638" s="3928" t="s">
        <v>4575</v>
      </c>
      <c r="D638" s="3928" t="s">
        <v>4576</v>
      </c>
      <c r="E638" s="3928" t="s">
        <v>4577</v>
      </c>
      <c r="F638" s="3928" t="s">
        <v>2289</v>
      </c>
      <c r="G638" s="3928" t="s">
        <v>4578</v>
      </c>
      <c r="H638" s="3928" t="s">
        <v>24</v>
      </c>
      <c r="I638" s="3928" t="s">
        <v>811</v>
      </c>
    </row>
    <row r="639" spans="1:9" ht="11.25" customHeight="1">
      <c r="A639" s="3928" t="s">
        <v>2258</v>
      </c>
      <c r="B639" s="3928" t="s">
        <v>14</v>
      </c>
      <c r="C639" s="3928" t="s">
        <v>4579</v>
      </c>
      <c r="D639" s="3928" t="s">
        <v>4580</v>
      </c>
      <c r="E639" s="3928" t="s">
        <v>4581</v>
      </c>
      <c r="F639" s="3928" t="s">
        <v>2289</v>
      </c>
      <c r="G639" s="3928" t="s">
        <v>24</v>
      </c>
      <c r="H639" s="3928" t="s">
        <v>2263</v>
      </c>
      <c r="I639" s="3928" t="s">
        <v>811</v>
      </c>
    </row>
    <row r="640" spans="1:9" ht="11.25" customHeight="1">
      <c r="A640" s="3928" t="s">
        <v>2258</v>
      </c>
      <c r="B640" s="3928" t="s">
        <v>14</v>
      </c>
      <c r="C640" s="3928" t="s">
        <v>4582</v>
      </c>
      <c r="D640" s="3928" t="s">
        <v>4583</v>
      </c>
      <c r="E640" s="3928" t="s">
        <v>4584</v>
      </c>
      <c r="F640" s="3928" t="s">
        <v>2419</v>
      </c>
      <c r="G640" s="3928" t="s">
        <v>24</v>
      </c>
      <c r="H640" s="3928" t="s">
        <v>2263</v>
      </c>
      <c r="I640" s="3928" t="s">
        <v>811</v>
      </c>
    </row>
    <row r="641" spans="1:9" ht="11.25" customHeight="1">
      <c r="A641" s="3928" t="s">
        <v>2258</v>
      </c>
      <c r="B641" s="3928" t="s">
        <v>14</v>
      </c>
      <c r="C641" s="3928" t="s">
        <v>4585</v>
      </c>
      <c r="D641" s="3928" t="s">
        <v>4586</v>
      </c>
      <c r="E641" s="3928" t="s">
        <v>4587</v>
      </c>
      <c r="F641" s="3928" t="s">
        <v>4588</v>
      </c>
      <c r="G641" s="3928" t="s">
        <v>4436</v>
      </c>
      <c r="H641" s="3928" t="s">
        <v>24</v>
      </c>
      <c r="I641" s="3928" t="s">
        <v>811</v>
      </c>
    </row>
    <row r="642" spans="1:9" ht="11.25" customHeight="1">
      <c r="A642" s="3928" t="s">
        <v>2258</v>
      </c>
      <c r="B642" s="3928" t="s">
        <v>14</v>
      </c>
      <c r="C642" s="3928" t="s">
        <v>4589</v>
      </c>
      <c r="D642" s="3928" t="s">
        <v>4590</v>
      </c>
      <c r="E642" s="3928" t="s">
        <v>4591</v>
      </c>
      <c r="F642" s="3928" t="s">
        <v>2701</v>
      </c>
      <c r="G642" s="3928" t="s">
        <v>24</v>
      </c>
      <c r="H642" s="3928" t="s">
        <v>2263</v>
      </c>
      <c r="I642" s="3928" t="s">
        <v>811</v>
      </c>
    </row>
    <row r="643" spans="1:9" ht="11.25" customHeight="1">
      <c r="A643" s="3928" t="s">
        <v>2258</v>
      </c>
      <c r="B643" s="3928" t="s">
        <v>14</v>
      </c>
      <c r="C643" s="3928" t="s">
        <v>4592</v>
      </c>
      <c r="D643" s="3928" t="s">
        <v>4593</v>
      </c>
      <c r="E643" s="3928" t="s">
        <v>4594</v>
      </c>
      <c r="F643" s="3928" t="s">
        <v>2701</v>
      </c>
      <c r="G643" s="3928" t="s">
        <v>24</v>
      </c>
      <c r="H643" s="3928" t="s">
        <v>24</v>
      </c>
      <c r="I643" s="3928" t="s">
        <v>811</v>
      </c>
    </row>
    <row r="644" spans="1:9" ht="11.25" customHeight="1">
      <c r="A644" s="3928" t="s">
        <v>2258</v>
      </c>
      <c r="B644" s="3928" t="s">
        <v>14</v>
      </c>
      <c r="C644" s="3928" t="s">
        <v>4595</v>
      </c>
      <c r="D644" s="3928" t="s">
        <v>4596</v>
      </c>
      <c r="E644" s="3928" t="s">
        <v>4597</v>
      </c>
      <c r="F644" s="3928" t="s">
        <v>2701</v>
      </c>
      <c r="G644" s="3928" t="s">
        <v>4598</v>
      </c>
      <c r="H644" s="3928" t="s">
        <v>24</v>
      </c>
      <c r="I644" s="3928" t="s">
        <v>811</v>
      </c>
    </row>
    <row r="645" spans="1:9" ht="11.25" customHeight="1">
      <c r="A645" s="3928" t="s">
        <v>2258</v>
      </c>
      <c r="B645" s="3928" t="s">
        <v>14</v>
      </c>
      <c r="C645" s="3928" t="s">
        <v>4599</v>
      </c>
      <c r="D645" s="3928" t="s">
        <v>4600</v>
      </c>
      <c r="E645" s="3928" t="s">
        <v>4601</v>
      </c>
      <c r="F645" s="3928" t="s">
        <v>2486</v>
      </c>
      <c r="G645" s="3928" t="s">
        <v>24</v>
      </c>
      <c r="H645" s="3928" t="s">
        <v>3297</v>
      </c>
      <c r="I645" s="3928" t="s">
        <v>811</v>
      </c>
    </row>
    <row r="646" spans="1:9" ht="11.25" customHeight="1">
      <c r="A646" s="3928" t="s">
        <v>2258</v>
      </c>
      <c r="B646" s="3928" t="s">
        <v>14</v>
      </c>
      <c r="C646" s="3928" t="s">
        <v>4602</v>
      </c>
      <c r="D646" s="3928" t="s">
        <v>4603</v>
      </c>
      <c r="E646" s="3928" t="s">
        <v>4604</v>
      </c>
      <c r="F646" s="3928" t="s">
        <v>2552</v>
      </c>
      <c r="G646" s="3928" t="s">
        <v>24</v>
      </c>
      <c r="H646" s="3928" t="s">
        <v>24</v>
      </c>
      <c r="I646" s="3928" t="s">
        <v>811</v>
      </c>
    </row>
    <row r="647" spans="1:9" ht="11.25" customHeight="1">
      <c r="A647" s="3928" t="s">
        <v>2258</v>
      </c>
      <c r="B647" s="3928" t="s">
        <v>14</v>
      </c>
      <c r="C647" s="3928" t="s">
        <v>4605</v>
      </c>
      <c r="D647" s="3928" t="s">
        <v>4606</v>
      </c>
      <c r="E647" s="3928" t="s">
        <v>4607</v>
      </c>
      <c r="F647" s="3928" t="s">
        <v>2486</v>
      </c>
      <c r="G647" s="3928" t="s">
        <v>4608</v>
      </c>
      <c r="H647" s="3928" t="s">
        <v>24</v>
      </c>
      <c r="I647" s="3928" t="s">
        <v>811</v>
      </c>
    </row>
    <row r="648" spans="1:9" ht="11.25" customHeight="1">
      <c r="A648" s="3928" t="s">
        <v>2258</v>
      </c>
      <c r="B648" s="3928" t="s">
        <v>14</v>
      </c>
      <c r="C648" s="3928" t="s">
        <v>4609</v>
      </c>
      <c r="D648" s="3928" t="s">
        <v>4610</v>
      </c>
      <c r="E648" s="3928" t="s">
        <v>4611</v>
      </c>
      <c r="F648" s="3928" t="s">
        <v>2451</v>
      </c>
      <c r="G648" s="3928" t="s">
        <v>24</v>
      </c>
      <c r="H648" s="3928" t="s">
        <v>24</v>
      </c>
      <c r="I648" s="3928" t="s">
        <v>811</v>
      </c>
    </row>
    <row r="649" spans="1:9" ht="11.25" customHeight="1">
      <c r="A649" s="3928" t="s">
        <v>2258</v>
      </c>
      <c r="B649" s="3928" t="s">
        <v>14</v>
      </c>
      <c r="C649" s="3928" t="s">
        <v>4612</v>
      </c>
      <c r="D649" s="3928" t="s">
        <v>4613</v>
      </c>
      <c r="E649" s="3928" t="s">
        <v>4614</v>
      </c>
      <c r="F649" s="3928" t="s">
        <v>2424</v>
      </c>
      <c r="G649" s="3928" t="s">
        <v>24</v>
      </c>
      <c r="H649" s="3928" t="s">
        <v>24</v>
      </c>
      <c r="I649" s="3928" t="s">
        <v>811</v>
      </c>
    </row>
    <row r="650" spans="1:9" ht="11.25" customHeight="1">
      <c r="A650" s="3928" t="s">
        <v>2258</v>
      </c>
      <c r="B650" s="3928" t="s">
        <v>14</v>
      </c>
      <c r="C650" s="3928" t="s">
        <v>4615</v>
      </c>
      <c r="D650" s="3928" t="s">
        <v>4616</v>
      </c>
      <c r="E650" s="3928" t="s">
        <v>4617</v>
      </c>
      <c r="F650" s="3928" t="s">
        <v>2535</v>
      </c>
      <c r="G650" s="3928" t="s">
        <v>24</v>
      </c>
      <c r="H650" s="3928" t="s">
        <v>24</v>
      </c>
      <c r="I650" s="3928" t="s">
        <v>811</v>
      </c>
    </row>
    <row r="651" spans="1:9" ht="11.25" customHeight="1">
      <c r="A651" s="3928" t="s">
        <v>2258</v>
      </c>
      <c r="B651" s="3928" t="s">
        <v>14</v>
      </c>
      <c r="C651" s="3928" t="s">
        <v>4618</v>
      </c>
      <c r="D651" s="3928" t="s">
        <v>4619</v>
      </c>
      <c r="E651" s="3928" t="s">
        <v>4620</v>
      </c>
      <c r="F651" s="3928" t="s">
        <v>2289</v>
      </c>
      <c r="G651" s="3928" t="s">
        <v>4621</v>
      </c>
      <c r="H651" s="3928" t="s">
        <v>24</v>
      </c>
      <c r="I651" s="3928" t="s">
        <v>811</v>
      </c>
    </row>
    <row r="652" spans="1:9" ht="11.25" customHeight="1">
      <c r="A652" s="3928" t="s">
        <v>2258</v>
      </c>
      <c r="B652" s="3928" t="s">
        <v>14</v>
      </c>
      <c r="C652" s="3928" t="s">
        <v>4622</v>
      </c>
      <c r="D652" s="3928" t="s">
        <v>4623</v>
      </c>
      <c r="E652" s="3928" t="s">
        <v>4624</v>
      </c>
      <c r="F652" s="3928" t="s">
        <v>2464</v>
      </c>
      <c r="G652" s="3928" t="s">
        <v>4625</v>
      </c>
      <c r="H652" s="3928" t="s">
        <v>24</v>
      </c>
      <c r="I652" s="3928" t="s">
        <v>811</v>
      </c>
    </row>
    <row r="653" spans="1:9" ht="11.25" customHeight="1">
      <c r="A653" s="3928" t="s">
        <v>2258</v>
      </c>
      <c r="B653" s="3928" t="s">
        <v>14</v>
      </c>
      <c r="C653" s="3928" t="s">
        <v>4626</v>
      </c>
      <c r="D653" s="3928" t="s">
        <v>4627</v>
      </c>
      <c r="E653" s="3928" t="s">
        <v>4628</v>
      </c>
      <c r="F653" s="3928" t="s">
        <v>2522</v>
      </c>
      <c r="G653" s="3928" t="s">
        <v>24</v>
      </c>
      <c r="H653" s="3928" t="s">
        <v>2263</v>
      </c>
      <c r="I653" s="3928" t="s">
        <v>811</v>
      </c>
    </row>
    <row r="654" spans="1:9" ht="11.25" customHeight="1">
      <c r="A654" s="3928" t="s">
        <v>2258</v>
      </c>
      <c r="B654" s="3928" t="s">
        <v>14</v>
      </c>
      <c r="C654" s="3928" t="s">
        <v>4629</v>
      </c>
      <c r="D654" s="3928" t="s">
        <v>4630</v>
      </c>
      <c r="E654" s="3928" t="s">
        <v>4631</v>
      </c>
      <c r="F654" s="3928" t="s">
        <v>2522</v>
      </c>
      <c r="G654" s="3928" t="s">
        <v>4632</v>
      </c>
      <c r="H654" s="3928" t="s">
        <v>24</v>
      </c>
      <c r="I654" s="3928" t="s">
        <v>811</v>
      </c>
    </row>
    <row r="655" spans="1:9" ht="11.25" customHeight="1">
      <c r="A655" s="3928" t="s">
        <v>2258</v>
      </c>
      <c r="B655" s="3928" t="s">
        <v>14</v>
      </c>
      <c r="C655" s="3928" t="s">
        <v>4633</v>
      </c>
      <c r="D655" s="3928" t="s">
        <v>4634</v>
      </c>
      <c r="E655" s="3928" t="s">
        <v>4635</v>
      </c>
      <c r="F655" s="3928" t="s">
        <v>2294</v>
      </c>
      <c r="G655" s="3928" t="s">
        <v>24</v>
      </c>
      <c r="H655" s="3928" t="s">
        <v>2263</v>
      </c>
      <c r="I655" s="3928" t="s">
        <v>811</v>
      </c>
    </row>
    <row r="656" spans="1:9" ht="11.25" customHeight="1">
      <c r="A656" s="3928" t="s">
        <v>2258</v>
      </c>
      <c r="B656" s="3928" t="s">
        <v>14</v>
      </c>
      <c r="C656" s="3928" t="s">
        <v>4636</v>
      </c>
      <c r="D656" s="3928" t="s">
        <v>4637</v>
      </c>
      <c r="E656" s="3928" t="s">
        <v>4638</v>
      </c>
      <c r="F656" s="3928" t="s">
        <v>2414</v>
      </c>
      <c r="G656" s="3928" t="s">
        <v>4639</v>
      </c>
      <c r="H656" s="3928" t="s">
        <v>24</v>
      </c>
      <c r="I656" s="3928" t="s">
        <v>811</v>
      </c>
    </row>
    <row r="657" spans="1:9" ht="11.25" customHeight="1">
      <c r="A657" s="3928" t="s">
        <v>2258</v>
      </c>
      <c r="B657" s="3928" t="s">
        <v>14</v>
      </c>
      <c r="C657" s="3928" t="s">
        <v>4640</v>
      </c>
      <c r="D657" s="3928" t="s">
        <v>4641</v>
      </c>
      <c r="E657" s="3928" t="s">
        <v>4642</v>
      </c>
      <c r="F657" s="3928" t="s">
        <v>4166</v>
      </c>
      <c r="G657" s="3928" t="s">
        <v>24</v>
      </c>
      <c r="H657" s="3928" t="s">
        <v>3068</v>
      </c>
      <c r="I657" s="3928" t="s">
        <v>811</v>
      </c>
    </row>
    <row r="658" spans="1:9" ht="11.25" customHeight="1">
      <c r="A658" s="3928" t="s">
        <v>2258</v>
      </c>
      <c r="B658" s="3928" t="s">
        <v>14</v>
      </c>
      <c r="C658" s="3928" t="s">
        <v>4643</v>
      </c>
      <c r="D658" s="3928" t="s">
        <v>4644</v>
      </c>
      <c r="E658" s="3928" t="s">
        <v>4645</v>
      </c>
      <c r="F658" s="3928" t="s">
        <v>4646</v>
      </c>
      <c r="G658" s="3928" t="s">
        <v>24</v>
      </c>
      <c r="H658" s="3928" t="s">
        <v>24</v>
      </c>
      <c r="I658" s="3928" t="s">
        <v>811</v>
      </c>
    </row>
    <row r="659" spans="1:9" ht="11.25" customHeight="1">
      <c r="A659" s="3928" t="s">
        <v>2258</v>
      </c>
      <c r="B659" s="3928" t="s">
        <v>14</v>
      </c>
      <c r="C659" s="3928" t="s">
        <v>4647</v>
      </c>
      <c r="D659" s="3928" t="s">
        <v>4648</v>
      </c>
      <c r="E659" s="3928" t="s">
        <v>4649</v>
      </c>
      <c r="F659" s="3928" t="s">
        <v>2863</v>
      </c>
      <c r="G659" s="3928" t="s">
        <v>24</v>
      </c>
      <c r="H659" s="3928" t="s">
        <v>24</v>
      </c>
      <c r="I659" s="3928" t="s">
        <v>811</v>
      </c>
    </row>
    <row r="660" spans="1:9" ht="11.25" customHeight="1">
      <c r="A660" s="3928" t="s">
        <v>2258</v>
      </c>
      <c r="B660" s="3928" t="s">
        <v>14</v>
      </c>
      <c r="C660" s="3928" t="s">
        <v>4650</v>
      </c>
      <c r="D660" s="3928" t="s">
        <v>4651</v>
      </c>
      <c r="E660" s="3928" t="s">
        <v>4652</v>
      </c>
      <c r="F660" s="3928" t="s">
        <v>2486</v>
      </c>
      <c r="G660" s="3928" t="s">
        <v>24</v>
      </c>
      <c r="H660" s="3928" t="s">
        <v>24</v>
      </c>
      <c r="I660" s="3928" t="s">
        <v>811</v>
      </c>
    </row>
    <row r="661" spans="1:9" ht="11.25" customHeight="1">
      <c r="A661" s="3928" t="s">
        <v>2258</v>
      </c>
      <c r="B661" s="3928" t="s">
        <v>14</v>
      </c>
      <c r="C661" s="3928" t="s">
        <v>4653</v>
      </c>
      <c r="D661" s="3928" t="s">
        <v>4654</v>
      </c>
      <c r="E661" s="3928" t="s">
        <v>4655</v>
      </c>
      <c r="F661" s="3928" t="s">
        <v>2638</v>
      </c>
      <c r="G661" s="3928" t="s">
        <v>24</v>
      </c>
      <c r="H661" s="3928" t="s">
        <v>3168</v>
      </c>
      <c r="I661" s="3928" t="s">
        <v>811</v>
      </c>
    </row>
    <row r="662" spans="1:9" ht="11.25" customHeight="1">
      <c r="A662" s="3928" t="s">
        <v>2258</v>
      </c>
      <c r="B662" s="3928" t="s">
        <v>14</v>
      </c>
      <c r="C662" s="3928" t="s">
        <v>4656</v>
      </c>
      <c r="D662" s="3928" t="s">
        <v>4657</v>
      </c>
      <c r="E662" s="3928" t="s">
        <v>4658</v>
      </c>
      <c r="F662" s="3928" t="s">
        <v>2414</v>
      </c>
      <c r="G662" s="3928" t="s">
        <v>4659</v>
      </c>
      <c r="H662" s="3928" t="s">
        <v>24</v>
      </c>
      <c r="I662" s="3928" t="s">
        <v>811</v>
      </c>
    </row>
    <row r="663" spans="1:9" ht="11.25" customHeight="1">
      <c r="A663" s="3928" t="s">
        <v>2258</v>
      </c>
      <c r="B663" s="3928" t="s">
        <v>14</v>
      </c>
      <c r="C663" s="3928" t="s">
        <v>4660</v>
      </c>
      <c r="D663" s="3928" t="s">
        <v>4661</v>
      </c>
      <c r="E663" s="3928" t="s">
        <v>4662</v>
      </c>
      <c r="F663" s="3928" t="s">
        <v>2675</v>
      </c>
      <c r="G663" s="3928" t="s">
        <v>4663</v>
      </c>
      <c r="H663" s="3928" t="s">
        <v>24</v>
      </c>
      <c r="I663" s="3928" t="s">
        <v>811</v>
      </c>
    </row>
    <row r="664" spans="1:9" ht="11.25" customHeight="1">
      <c r="A664" s="3928" t="s">
        <v>2258</v>
      </c>
      <c r="B664" s="3928" t="s">
        <v>14</v>
      </c>
      <c r="C664" s="3928" t="s">
        <v>4664</v>
      </c>
      <c r="D664" s="3928" t="s">
        <v>4665</v>
      </c>
      <c r="E664" s="3928" t="s">
        <v>4666</v>
      </c>
      <c r="F664" s="3928" t="s">
        <v>2294</v>
      </c>
      <c r="G664" s="3928" t="s">
        <v>4667</v>
      </c>
      <c r="H664" s="3928" t="s">
        <v>2475</v>
      </c>
      <c r="I664" s="3928" t="s">
        <v>811</v>
      </c>
    </row>
    <row r="665" spans="1:9" ht="11.25" customHeight="1">
      <c r="A665" s="3928" t="s">
        <v>2258</v>
      </c>
      <c r="B665" s="3928" t="s">
        <v>14</v>
      </c>
      <c r="C665" s="3928" t="s">
        <v>4668</v>
      </c>
      <c r="D665" s="3928" t="s">
        <v>4669</v>
      </c>
      <c r="E665" s="3928" t="s">
        <v>4670</v>
      </c>
      <c r="F665" s="3928" t="s">
        <v>2414</v>
      </c>
      <c r="G665" s="3928" t="s">
        <v>4671</v>
      </c>
      <c r="H665" s="3928" t="s">
        <v>24</v>
      </c>
      <c r="I665" s="3928" t="s">
        <v>811</v>
      </c>
    </row>
    <row r="666" spans="1:9" ht="11.25" customHeight="1">
      <c r="A666" s="3928" t="s">
        <v>2258</v>
      </c>
      <c r="B666" s="3928" t="s">
        <v>14</v>
      </c>
      <c r="C666" s="3928" t="s">
        <v>4672</v>
      </c>
      <c r="D666" s="3928" t="s">
        <v>4673</v>
      </c>
      <c r="E666" s="3928" t="s">
        <v>4674</v>
      </c>
      <c r="F666" s="3928" t="s">
        <v>2397</v>
      </c>
      <c r="G666" s="3928" t="s">
        <v>4675</v>
      </c>
      <c r="H666" s="3928" t="s">
        <v>24</v>
      </c>
      <c r="I666" s="3928" t="s">
        <v>811</v>
      </c>
    </row>
    <row r="667" spans="1:9" ht="11.25" customHeight="1">
      <c r="A667" s="3928" t="s">
        <v>2258</v>
      </c>
      <c r="B667" s="3928" t="s">
        <v>14</v>
      </c>
      <c r="C667" s="3928" t="s">
        <v>4676</v>
      </c>
      <c r="D667" s="3928" t="s">
        <v>4677</v>
      </c>
      <c r="E667" s="3928" t="s">
        <v>4678</v>
      </c>
      <c r="F667" s="3928" t="s">
        <v>2513</v>
      </c>
      <c r="G667" s="3928" t="s">
        <v>24</v>
      </c>
      <c r="H667" s="3928" t="s">
        <v>2263</v>
      </c>
      <c r="I667" s="3928" t="s">
        <v>811</v>
      </c>
    </row>
    <row r="668" spans="1:9" ht="11.25" customHeight="1">
      <c r="A668" s="3928" t="s">
        <v>2258</v>
      </c>
      <c r="B668" s="3928" t="s">
        <v>14</v>
      </c>
      <c r="C668" s="3928" t="s">
        <v>4679</v>
      </c>
      <c r="D668" s="3928" t="s">
        <v>4680</v>
      </c>
      <c r="E668" s="3928" t="s">
        <v>4681</v>
      </c>
      <c r="F668" s="3928" t="s">
        <v>2675</v>
      </c>
      <c r="G668" s="3928" t="s">
        <v>4682</v>
      </c>
      <c r="H668" s="3928" t="s">
        <v>24</v>
      </c>
      <c r="I668" s="3928" t="s">
        <v>811</v>
      </c>
    </row>
    <row r="669" spans="1:9" ht="11.25" customHeight="1">
      <c r="A669" s="3928" t="s">
        <v>2258</v>
      </c>
      <c r="B669" s="3928" t="s">
        <v>14</v>
      </c>
      <c r="C669" s="3928" t="s">
        <v>4683</v>
      </c>
      <c r="D669" s="3928" t="s">
        <v>4684</v>
      </c>
      <c r="E669" s="3928" t="s">
        <v>4685</v>
      </c>
      <c r="F669" s="3928" t="s">
        <v>2294</v>
      </c>
      <c r="G669" s="3928" t="s">
        <v>24</v>
      </c>
      <c r="H669" s="3928" t="s">
        <v>24</v>
      </c>
      <c r="I669" s="3928" t="s">
        <v>811</v>
      </c>
    </row>
    <row r="670" spans="1:9" ht="11.25" customHeight="1">
      <c r="A670" s="3928" t="s">
        <v>2258</v>
      </c>
      <c r="B670" s="3928" t="s">
        <v>14</v>
      </c>
      <c r="C670" s="3928" t="s">
        <v>4686</v>
      </c>
      <c r="D670" s="3928" t="s">
        <v>4687</v>
      </c>
      <c r="E670" s="3928" t="s">
        <v>4688</v>
      </c>
      <c r="F670" s="3928" t="s">
        <v>2289</v>
      </c>
      <c r="G670" s="3928" t="s">
        <v>4689</v>
      </c>
      <c r="H670" s="3928" t="s">
        <v>24</v>
      </c>
      <c r="I670" s="3928" t="s">
        <v>811</v>
      </c>
    </row>
    <row r="671" spans="1:9" ht="11.25" customHeight="1">
      <c r="A671" s="3928" t="s">
        <v>2258</v>
      </c>
      <c r="B671" s="3928" t="s">
        <v>14</v>
      </c>
      <c r="C671" s="3928" t="s">
        <v>4690</v>
      </c>
      <c r="D671" s="3928" t="s">
        <v>4691</v>
      </c>
      <c r="E671" s="3928" t="s">
        <v>4692</v>
      </c>
      <c r="F671" s="3928" t="s">
        <v>2289</v>
      </c>
      <c r="G671" s="3928" t="s">
        <v>4693</v>
      </c>
      <c r="H671" s="3928" t="s">
        <v>24</v>
      </c>
      <c r="I671" s="3928" t="s">
        <v>811</v>
      </c>
    </row>
    <row r="672" spans="1:9" ht="11.25" customHeight="1">
      <c r="A672" s="3928" t="s">
        <v>2258</v>
      </c>
      <c r="B672" s="3928" t="s">
        <v>14</v>
      </c>
      <c r="C672" s="3928" t="s">
        <v>4694</v>
      </c>
      <c r="D672" s="3928" t="s">
        <v>4695</v>
      </c>
      <c r="E672" s="3928" t="s">
        <v>4696</v>
      </c>
      <c r="F672" s="3928" t="s">
        <v>2354</v>
      </c>
      <c r="G672" s="3928" t="s">
        <v>24</v>
      </c>
      <c r="H672" s="3928" t="s">
        <v>3068</v>
      </c>
      <c r="I672" s="3928" t="s">
        <v>811</v>
      </c>
    </row>
    <row r="673" spans="1:9" ht="11.25" customHeight="1">
      <c r="A673" s="3928" t="s">
        <v>2258</v>
      </c>
      <c r="B673" s="3928" t="s">
        <v>14</v>
      </c>
      <c r="C673" s="3928" t="s">
        <v>4697</v>
      </c>
      <c r="D673" s="3928" t="s">
        <v>4698</v>
      </c>
      <c r="E673" s="3928" t="s">
        <v>4699</v>
      </c>
      <c r="F673" s="3928" t="s">
        <v>2397</v>
      </c>
      <c r="G673" s="3928" t="s">
        <v>4700</v>
      </c>
      <c r="H673" s="3928" t="s">
        <v>24</v>
      </c>
      <c r="I673" s="3928" t="s">
        <v>811</v>
      </c>
    </row>
    <row r="674" spans="1:9" ht="11.25" customHeight="1">
      <c r="A674" s="3928" t="s">
        <v>2258</v>
      </c>
      <c r="B674" s="3928" t="s">
        <v>14</v>
      </c>
      <c r="C674" s="3928" t="s">
        <v>4701</v>
      </c>
      <c r="D674" s="3928" t="s">
        <v>4702</v>
      </c>
      <c r="E674" s="3928" t="s">
        <v>4703</v>
      </c>
      <c r="F674" s="3928" t="s">
        <v>49</v>
      </c>
      <c r="G674" s="3928" t="s">
        <v>4704</v>
      </c>
      <c r="H674" s="3928" t="s">
        <v>24</v>
      </c>
      <c r="I674" s="3928" t="s">
        <v>811</v>
      </c>
    </row>
    <row r="675" spans="1:9" ht="11.25" customHeight="1">
      <c r="A675" s="3928" t="s">
        <v>2258</v>
      </c>
      <c r="B675" s="3928" t="s">
        <v>14</v>
      </c>
      <c r="C675" s="3928" t="s">
        <v>4705</v>
      </c>
      <c r="D675" s="3928" t="s">
        <v>4706</v>
      </c>
      <c r="E675" s="3928" t="s">
        <v>4707</v>
      </c>
      <c r="F675" s="3928" t="s">
        <v>3509</v>
      </c>
      <c r="G675" s="3928" t="s">
        <v>24</v>
      </c>
      <c r="H675" s="3928" t="s">
        <v>24</v>
      </c>
      <c r="I675" s="3928" t="s">
        <v>811</v>
      </c>
    </row>
    <row r="676" spans="1:9" ht="11.25" customHeight="1">
      <c r="A676" s="3928" t="s">
        <v>2258</v>
      </c>
      <c r="B676" s="3928" t="s">
        <v>14</v>
      </c>
      <c r="C676" s="3928" t="s">
        <v>4708</v>
      </c>
      <c r="D676" s="3928" t="s">
        <v>4709</v>
      </c>
      <c r="E676" s="3928" t="s">
        <v>4710</v>
      </c>
      <c r="F676" s="3928" t="s">
        <v>2771</v>
      </c>
      <c r="G676" s="3928" t="s">
        <v>24</v>
      </c>
      <c r="H676" s="3928" t="s">
        <v>24</v>
      </c>
      <c r="I676" s="3928" t="s">
        <v>811</v>
      </c>
    </row>
    <row r="677" spans="1:9" ht="11.25" customHeight="1">
      <c r="A677" s="3928" t="s">
        <v>2258</v>
      </c>
      <c r="B677" s="3928" t="s">
        <v>14</v>
      </c>
      <c r="C677" s="3928" t="s">
        <v>4711</v>
      </c>
      <c r="D677" s="3928" t="s">
        <v>4712</v>
      </c>
      <c r="E677" s="3928" t="s">
        <v>4713</v>
      </c>
      <c r="F677" s="3928" t="s">
        <v>2473</v>
      </c>
      <c r="G677" s="3928" t="s">
        <v>24</v>
      </c>
      <c r="H677" s="3928" t="s">
        <v>3012</v>
      </c>
      <c r="I677" s="3928" t="s">
        <v>811</v>
      </c>
    </row>
    <row r="678" spans="1:9" ht="11.25" customHeight="1">
      <c r="A678" s="3928" t="s">
        <v>2258</v>
      </c>
      <c r="B678" s="3928" t="s">
        <v>14</v>
      </c>
      <c r="C678" s="3928" t="s">
        <v>4714</v>
      </c>
      <c r="D678" s="3928" t="s">
        <v>4715</v>
      </c>
      <c r="E678" s="3928" t="s">
        <v>4716</v>
      </c>
      <c r="F678" s="3928" t="s">
        <v>2464</v>
      </c>
      <c r="G678" s="3928" t="s">
        <v>4717</v>
      </c>
      <c r="H678" s="3928" t="s">
        <v>24</v>
      </c>
      <c r="I678" s="3928" t="s">
        <v>811</v>
      </c>
    </row>
    <row r="679" spans="1:9" ht="11.25" customHeight="1">
      <c r="A679" s="3928" t="s">
        <v>2258</v>
      </c>
      <c r="B679" s="3928" t="s">
        <v>14</v>
      </c>
      <c r="C679" s="3928" t="s">
        <v>4718</v>
      </c>
      <c r="D679" s="3928" t="s">
        <v>4719</v>
      </c>
      <c r="E679" s="3928" t="s">
        <v>4720</v>
      </c>
      <c r="F679" s="3928" t="s">
        <v>4721</v>
      </c>
      <c r="G679" s="3928" t="s">
        <v>4722</v>
      </c>
      <c r="H679" s="3928" t="s">
        <v>24</v>
      </c>
      <c r="I679" s="3928" t="s">
        <v>811</v>
      </c>
    </row>
    <row r="680" spans="1:9" ht="11.25" customHeight="1">
      <c r="A680" s="3928" t="s">
        <v>2258</v>
      </c>
      <c r="B680" s="3928" t="s">
        <v>14</v>
      </c>
      <c r="C680" s="3928" t="s">
        <v>4723</v>
      </c>
      <c r="D680" s="3928" t="s">
        <v>4724</v>
      </c>
      <c r="E680" s="3928" t="s">
        <v>4725</v>
      </c>
      <c r="F680" s="3928" t="s">
        <v>2780</v>
      </c>
      <c r="G680" s="3928" t="s">
        <v>24</v>
      </c>
      <c r="H680" s="3928" t="s">
        <v>2263</v>
      </c>
      <c r="I680" s="3928" t="s">
        <v>811</v>
      </c>
    </row>
    <row r="681" spans="1:9" ht="11.25" customHeight="1">
      <c r="A681" s="3928" t="s">
        <v>2258</v>
      </c>
      <c r="B681" s="3928" t="s">
        <v>14</v>
      </c>
      <c r="C681" s="3928" t="s">
        <v>4726</v>
      </c>
      <c r="D681" s="3928" t="s">
        <v>4727</v>
      </c>
      <c r="E681" s="3928" t="s">
        <v>4728</v>
      </c>
      <c r="F681" s="3928" t="s">
        <v>2675</v>
      </c>
      <c r="G681" s="3928" t="s">
        <v>24</v>
      </c>
      <c r="H681" s="3928" t="s">
        <v>3068</v>
      </c>
      <c r="I681" s="3928" t="s">
        <v>811</v>
      </c>
    </row>
    <row r="682" spans="1:9" ht="11.25" customHeight="1">
      <c r="A682" s="3928" t="s">
        <v>2258</v>
      </c>
      <c r="B682" s="3928" t="s">
        <v>14</v>
      </c>
      <c r="C682" s="3928" t="s">
        <v>4729</v>
      </c>
      <c r="D682" s="3928" t="s">
        <v>4730</v>
      </c>
      <c r="E682" s="3928" t="s">
        <v>4731</v>
      </c>
      <c r="F682" s="3928" t="s">
        <v>2675</v>
      </c>
      <c r="G682" s="3928" t="s">
        <v>4732</v>
      </c>
      <c r="H682" s="3928" t="s">
        <v>24</v>
      </c>
      <c r="I682" s="3928" t="s">
        <v>811</v>
      </c>
    </row>
    <row r="683" spans="1:9" ht="11.25" customHeight="1">
      <c r="A683" s="3928" t="s">
        <v>2258</v>
      </c>
      <c r="B683" s="3928" t="s">
        <v>14</v>
      </c>
      <c r="C683" s="3928" t="s">
        <v>4733</v>
      </c>
      <c r="D683" s="3928" t="s">
        <v>4734</v>
      </c>
      <c r="E683" s="3928" t="s">
        <v>4735</v>
      </c>
      <c r="F683" s="3928" t="s">
        <v>2289</v>
      </c>
      <c r="G683" s="3928" t="s">
        <v>4736</v>
      </c>
      <c r="H683" s="3928" t="s">
        <v>24</v>
      </c>
      <c r="I683" s="3928" t="s">
        <v>811</v>
      </c>
    </row>
    <row r="684" spans="1:9" ht="11.25" customHeight="1">
      <c r="A684" s="3928" t="s">
        <v>2258</v>
      </c>
      <c r="B684" s="3928" t="s">
        <v>14</v>
      </c>
      <c r="C684" s="3928" t="s">
        <v>4737</v>
      </c>
      <c r="D684" s="3928" t="s">
        <v>4738</v>
      </c>
      <c r="E684" s="3928" t="s">
        <v>4739</v>
      </c>
      <c r="F684" s="3928" t="s">
        <v>2522</v>
      </c>
      <c r="G684" s="3928" t="s">
        <v>24</v>
      </c>
      <c r="H684" s="3928" t="s">
        <v>4740</v>
      </c>
      <c r="I684" s="3928" t="s">
        <v>811</v>
      </c>
    </row>
    <row r="685" spans="1:9" ht="11.25" customHeight="1">
      <c r="A685" s="3928" t="s">
        <v>2258</v>
      </c>
      <c r="B685" s="3928" t="s">
        <v>14</v>
      </c>
      <c r="C685" s="3928" t="s">
        <v>4741</v>
      </c>
      <c r="D685" s="3928" t="s">
        <v>4742</v>
      </c>
      <c r="E685" s="3928" t="s">
        <v>4743</v>
      </c>
      <c r="F685" s="3928" t="s">
        <v>2638</v>
      </c>
      <c r="G685" s="3928" t="s">
        <v>4744</v>
      </c>
      <c r="H685" s="3928" t="s">
        <v>24</v>
      </c>
      <c r="I685" s="3928" t="s">
        <v>811</v>
      </c>
    </row>
    <row r="686" spans="1:9" ht="11.25" customHeight="1">
      <c r="A686" s="3928" t="s">
        <v>2258</v>
      </c>
      <c r="B686" s="3928" t="s">
        <v>14</v>
      </c>
      <c r="C686" s="3928" t="s">
        <v>4745</v>
      </c>
      <c r="D686" s="3928" t="s">
        <v>4746</v>
      </c>
      <c r="E686" s="3928" t="s">
        <v>4747</v>
      </c>
      <c r="F686" s="3928" t="s">
        <v>2262</v>
      </c>
      <c r="G686" s="3928" t="s">
        <v>24</v>
      </c>
      <c r="H686" s="3928" t="s">
        <v>24</v>
      </c>
      <c r="I686" s="3928" t="s">
        <v>811</v>
      </c>
    </row>
    <row r="687" spans="1:9" ht="11.25" customHeight="1">
      <c r="A687" s="3928" t="s">
        <v>2258</v>
      </c>
      <c r="B687" s="3928" t="s">
        <v>14</v>
      </c>
      <c r="C687" s="3928" t="s">
        <v>4748</v>
      </c>
      <c r="D687" s="3928" t="s">
        <v>4749</v>
      </c>
      <c r="E687" s="3928" t="s">
        <v>4750</v>
      </c>
      <c r="F687" s="3928" t="s">
        <v>2429</v>
      </c>
      <c r="G687" s="3928" t="s">
        <v>24</v>
      </c>
      <c r="H687" s="3928" t="s">
        <v>24</v>
      </c>
      <c r="I687" s="3928" t="s">
        <v>811</v>
      </c>
    </row>
    <row r="688" spans="1:9" ht="11.25" customHeight="1">
      <c r="A688" s="3928" t="s">
        <v>2258</v>
      </c>
      <c r="B688" s="3928" t="s">
        <v>14</v>
      </c>
      <c r="C688" s="3928" t="s">
        <v>4751</v>
      </c>
      <c r="D688" s="3928" t="s">
        <v>4752</v>
      </c>
      <c r="E688" s="3928" t="s">
        <v>4753</v>
      </c>
      <c r="F688" s="3928" t="s">
        <v>4754</v>
      </c>
      <c r="G688" s="3928" t="s">
        <v>24</v>
      </c>
      <c r="H688" s="3928" t="s">
        <v>24</v>
      </c>
      <c r="I688" s="3928" t="s">
        <v>811</v>
      </c>
    </row>
    <row r="689" spans="1:9" ht="11.25" customHeight="1">
      <c r="A689" s="3928" t="s">
        <v>2258</v>
      </c>
      <c r="B689" s="3928" t="s">
        <v>14</v>
      </c>
      <c r="C689" s="3928" t="s">
        <v>4755</v>
      </c>
      <c r="D689" s="3928" t="s">
        <v>4756</v>
      </c>
      <c r="E689" s="3928" t="s">
        <v>4757</v>
      </c>
      <c r="F689" s="3928" t="s">
        <v>2567</v>
      </c>
      <c r="G689" s="3928" t="s">
        <v>24</v>
      </c>
      <c r="H689" s="3928" t="s">
        <v>24</v>
      </c>
      <c r="I689" s="3928" t="s">
        <v>811</v>
      </c>
    </row>
    <row r="690" spans="1:9" ht="11.25" customHeight="1">
      <c r="A690" s="3928" t="s">
        <v>2258</v>
      </c>
      <c r="B690" s="3928" t="s">
        <v>14</v>
      </c>
      <c r="C690" s="3928" t="s">
        <v>4758</v>
      </c>
      <c r="D690" s="3928" t="s">
        <v>4759</v>
      </c>
      <c r="E690" s="3928" t="s">
        <v>4760</v>
      </c>
      <c r="F690" s="3928" t="s">
        <v>2309</v>
      </c>
      <c r="G690" s="3928" t="s">
        <v>24</v>
      </c>
      <c r="H690" s="3928" t="s">
        <v>3068</v>
      </c>
      <c r="I690" s="3928" t="s">
        <v>811</v>
      </c>
    </row>
    <row r="691" spans="1:9" ht="11.25" customHeight="1">
      <c r="A691" s="3928" t="s">
        <v>2258</v>
      </c>
      <c r="B691" s="3928" t="s">
        <v>14</v>
      </c>
      <c r="C691" s="3928" t="s">
        <v>4761</v>
      </c>
      <c r="D691" s="3928" t="s">
        <v>4762</v>
      </c>
      <c r="E691" s="3928" t="s">
        <v>4763</v>
      </c>
      <c r="F691" s="3928" t="s">
        <v>2965</v>
      </c>
      <c r="G691" s="3928" t="s">
        <v>24</v>
      </c>
      <c r="H691" s="3928" t="s">
        <v>24</v>
      </c>
      <c r="I691" s="3928" t="s">
        <v>811</v>
      </c>
    </row>
    <row r="692" spans="1:9" ht="11.25" customHeight="1">
      <c r="A692" s="3928" t="s">
        <v>2258</v>
      </c>
      <c r="B692" s="3928" t="s">
        <v>14</v>
      </c>
      <c r="C692" s="3928" t="s">
        <v>4764</v>
      </c>
      <c r="D692" s="3928" t="s">
        <v>4765</v>
      </c>
      <c r="E692" s="3928" t="s">
        <v>4766</v>
      </c>
      <c r="F692" s="3928" t="s">
        <v>2486</v>
      </c>
      <c r="G692" s="3928" t="s">
        <v>24</v>
      </c>
      <c r="H692" s="3928" t="s">
        <v>4767</v>
      </c>
      <c r="I692" s="3928" t="s">
        <v>811</v>
      </c>
    </row>
    <row r="693" spans="1:9" ht="11.25" customHeight="1">
      <c r="A693" s="3928" t="s">
        <v>2258</v>
      </c>
      <c r="B693" s="3928" t="s">
        <v>14</v>
      </c>
      <c r="C693" s="3928" t="s">
        <v>4768</v>
      </c>
      <c r="D693" s="3928" t="s">
        <v>4769</v>
      </c>
      <c r="E693" s="3928" t="s">
        <v>4770</v>
      </c>
      <c r="F693" s="3928" t="s">
        <v>3406</v>
      </c>
      <c r="G693" s="3928" t="s">
        <v>24</v>
      </c>
      <c r="H693" s="3928" t="s">
        <v>24</v>
      </c>
      <c r="I693" s="3928" t="s">
        <v>811</v>
      </c>
    </row>
    <row r="694" spans="1:9" ht="11.25" customHeight="1">
      <c r="A694" s="3928" t="s">
        <v>2258</v>
      </c>
      <c r="B694" s="3928" t="s">
        <v>14</v>
      </c>
      <c r="C694" s="3928" t="s">
        <v>4771</v>
      </c>
      <c r="D694" s="3928" t="s">
        <v>630</v>
      </c>
      <c r="E694" s="3928" t="s">
        <v>4772</v>
      </c>
      <c r="F694" s="3928" t="s">
        <v>2486</v>
      </c>
      <c r="G694" s="3928" t="s">
        <v>3631</v>
      </c>
      <c r="H694" s="3928" t="s">
        <v>24</v>
      </c>
      <c r="I694" s="3928" t="s">
        <v>811</v>
      </c>
    </row>
    <row r="695" spans="1:9" ht="11.25" customHeight="1">
      <c r="A695" s="3928" t="s">
        <v>2258</v>
      </c>
      <c r="B695" s="3928" t="s">
        <v>14</v>
      </c>
      <c r="C695" s="3928" t="s">
        <v>4773</v>
      </c>
      <c r="D695" s="3928" t="s">
        <v>4774</v>
      </c>
      <c r="E695" s="3928" t="s">
        <v>4775</v>
      </c>
      <c r="F695" s="3928" t="s">
        <v>2473</v>
      </c>
      <c r="G695" s="3928" t="s">
        <v>4776</v>
      </c>
      <c r="H695" s="3928" t="s">
        <v>24</v>
      </c>
      <c r="I695" s="3928" t="s">
        <v>811</v>
      </c>
    </row>
    <row r="696" spans="1:9" ht="11.25" customHeight="1">
      <c r="A696" s="3928" t="s">
        <v>2258</v>
      </c>
      <c r="B696" s="3928" t="s">
        <v>14</v>
      </c>
      <c r="C696" s="3928" t="s">
        <v>4777</v>
      </c>
      <c r="D696" s="3928" t="s">
        <v>4778</v>
      </c>
      <c r="E696" s="3928" t="s">
        <v>4779</v>
      </c>
      <c r="F696" s="3928" t="s">
        <v>2451</v>
      </c>
      <c r="G696" s="3928" t="s">
        <v>24</v>
      </c>
      <c r="H696" s="3928" t="s">
        <v>3297</v>
      </c>
      <c r="I696" s="3928" t="s">
        <v>811</v>
      </c>
    </row>
    <row r="697" spans="1:9" ht="11.25" customHeight="1">
      <c r="A697" s="3928" t="s">
        <v>2258</v>
      </c>
      <c r="B697" s="3928" t="s">
        <v>14</v>
      </c>
      <c r="C697" s="3928" t="s">
        <v>4780</v>
      </c>
      <c r="D697" s="3928" t="s">
        <v>4781</v>
      </c>
      <c r="E697" s="3928" t="s">
        <v>4782</v>
      </c>
      <c r="F697" s="3928" t="s">
        <v>2907</v>
      </c>
      <c r="G697" s="3928" t="s">
        <v>4783</v>
      </c>
      <c r="H697" s="3928" t="s">
        <v>2945</v>
      </c>
      <c r="I697" s="3928" t="s">
        <v>811</v>
      </c>
    </row>
    <row r="698" spans="1:9" ht="11.25" customHeight="1">
      <c r="A698" s="3928" t="s">
        <v>2258</v>
      </c>
      <c r="B698" s="3928" t="s">
        <v>14</v>
      </c>
      <c r="C698" s="3928" t="s">
        <v>4784</v>
      </c>
      <c r="D698" s="3928" t="s">
        <v>4785</v>
      </c>
      <c r="E698" s="3928" t="s">
        <v>4786</v>
      </c>
      <c r="F698" s="3928" t="s">
        <v>3023</v>
      </c>
      <c r="G698" s="3928" t="s">
        <v>24</v>
      </c>
      <c r="H698" s="3928" t="s">
        <v>2263</v>
      </c>
      <c r="I698" s="3928" t="s">
        <v>811</v>
      </c>
    </row>
    <row r="699" spans="1:9" ht="11.25" customHeight="1">
      <c r="A699" s="3928" t="s">
        <v>2258</v>
      </c>
      <c r="B699" s="3928" t="s">
        <v>14</v>
      </c>
      <c r="C699" s="3928" t="s">
        <v>4787</v>
      </c>
      <c r="D699" s="3928" t="s">
        <v>4788</v>
      </c>
      <c r="E699" s="3928" t="s">
        <v>4789</v>
      </c>
      <c r="F699" s="3928" t="s">
        <v>2473</v>
      </c>
      <c r="G699" s="3928" t="s">
        <v>24</v>
      </c>
      <c r="H699" s="3928" t="s">
        <v>2263</v>
      </c>
      <c r="I699" s="3928" t="s">
        <v>811</v>
      </c>
    </row>
    <row r="700" spans="1:9" ht="11.25" customHeight="1">
      <c r="A700" s="3928" t="s">
        <v>2258</v>
      </c>
      <c r="B700" s="3928" t="s">
        <v>14</v>
      </c>
      <c r="C700" s="3928" t="s">
        <v>4790</v>
      </c>
      <c r="D700" s="3928" t="s">
        <v>4791</v>
      </c>
      <c r="E700" s="3928" t="s">
        <v>3883</v>
      </c>
      <c r="F700" s="3928" t="s">
        <v>4792</v>
      </c>
      <c r="G700" s="3928" t="s">
        <v>24</v>
      </c>
      <c r="H700" s="3928" t="s">
        <v>24</v>
      </c>
      <c r="I700" s="3928" t="s">
        <v>811</v>
      </c>
    </row>
    <row r="701" spans="1:9" ht="11.25" customHeight="1">
      <c r="A701" s="3928" t="s">
        <v>2258</v>
      </c>
      <c r="B701" s="3928" t="s">
        <v>14</v>
      </c>
      <c r="C701" s="3928" t="s">
        <v>4793</v>
      </c>
      <c r="D701" s="3928" t="s">
        <v>4794</v>
      </c>
      <c r="E701" s="3928" t="s">
        <v>4795</v>
      </c>
      <c r="F701" s="3928" t="s">
        <v>2473</v>
      </c>
      <c r="G701" s="3928" t="s">
        <v>24</v>
      </c>
      <c r="H701" s="3928" t="s">
        <v>24</v>
      </c>
      <c r="I701" s="3928" t="s">
        <v>811</v>
      </c>
    </row>
    <row r="702" spans="1:9" ht="11.25" customHeight="1">
      <c r="A702" s="3928" t="s">
        <v>2258</v>
      </c>
      <c r="B702" s="3928" t="s">
        <v>14</v>
      </c>
      <c r="C702" s="3928" t="s">
        <v>4796</v>
      </c>
      <c r="D702" s="3928" t="s">
        <v>4797</v>
      </c>
      <c r="E702" s="3928" t="s">
        <v>4798</v>
      </c>
      <c r="F702" s="3928" t="s">
        <v>2535</v>
      </c>
      <c r="G702" s="3928" t="s">
        <v>24</v>
      </c>
      <c r="H702" s="3928" t="s">
        <v>2263</v>
      </c>
      <c r="I702" s="3928" t="s">
        <v>811</v>
      </c>
    </row>
    <row r="703" spans="1:9" ht="11.25" customHeight="1">
      <c r="A703" s="3928" t="s">
        <v>2258</v>
      </c>
      <c r="B703" s="3928" t="s">
        <v>14</v>
      </c>
      <c r="C703" s="3928" t="s">
        <v>4799</v>
      </c>
      <c r="D703" s="3928" t="s">
        <v>4800</v>
      </c>
      <c r="E703" s="3928" t="s">
        <v>4801</v>
      </c>
      <c r="F703" s="3928" t="s">
        <v>2473</v>
      </c>
      <c r="G703" s="3928" t="s">
        <v>4802</v>
      </c>
      <c r="H703" s="3928" t="s">
        <v>24</v>
      </c>
      <c r="I703" s="3928" t="s">
        <v>811</v>
      </c>
    </row>
    <row r="704" spans="1:9" ht="11.25" customHeight="1">
      <c r="A704" s="3928" t="s">
        <v>2258</v>
      </c>
      <c r="B704" s="3928" t="s">
        <v>14</v>
      </c>
      <c r="C704" s="3928" t="s">
        <v>4803</v>
      </c>
      <c r="D704" s="3928" t="s">
        <v>4804</v>
      </c>
      <c r="E704" s="3928" t="s">
        <v>4805</v>
      </c>
      <c r="F704" s="3928" t="s">
        <v>49</v>
      </c>
      <c r="G704" s="3928" t="s">
        <v>4806</v>
      </c>
      <c r="H704" s="3928" t="s">
        <v>2263</v>
      </c>
      <c r="I704" s="3928" t="s">
        <v>811</v>
      </c>
    </row>
    <row r="705" spans="1:9" ht="11.25" customHeight="1">
      <c r="A705" s="3928" t="s">
        <v>2258</v>
      </c>
      <c r="B705" s="3928" t="s">
        <v>14</v>
      </c>
      <c r="C705" s="3928" t="s">
        <v>4807</v>
      </c>
      <c r="D705" s="3928" t="s">
        <v>4808</v>
      </c>
      <c r="E705" s="3928" t="s">
        <v>4809</v>
      </c>
      <c r="F705" s="3928" t="s">
        <v>2522</v>
      </c>
      <c r="G705" s="3928" t="s">
        <v>4810</v>
      </c>
      <c r="H705" s="3928" t="s">
        <v>2263</v>
      </c>
      <c r="I705" s="3928" t="s">
        <v>811</v>
      </c>
    </row>
    <row r="706" spans="1:9" ht="11.25" customHeight="1">
      <c r="A706" s="3928" t="s">
        <v>2258</v>
      </c>
      <c r="B706" s="3928" t="s">
        <v>14</v>
      </c>
      <c r="C706" s="3928" t="s">
        <v>4811</v>
      </c>
      <c r="D706" s="3928" t="s">
        <v>4812</v>
      </c>
      <c r="E706" s="3928" t="s">
        <v>4813</v>
      </c>
      <c r="F706" s="3928" t="s">
        <v>2486</v>
      </c>
      <c r="G706" s="3928" t="s">
        <v>24</v>
      </c>
      <c r="H706" s="3928" t="s">
        <v>4814</v>
      </c>
      <c r="I706" s="3928" t="s">
        <v>811</v>
      </c>
    </row>
    <row r="707" spans="1:9" ht="11.25" customHeight="1">
      <c r="A707" s="3928" t="s">
        <v>2258</v>
      </c>
      <c r="B707" s="3928" t="s">
        <v>14</v>
      </c>
      <c r="C707" s="3928" t="s">
        <v>4815</v>
      </c>
      <c r="D707" s="3928" t="s">
        <v>4816</v>
      </c>
      <c r="E707" s="3928" t="s">
        <v>4817</v>
      </c>
      <c r="F707" s="3928" t="s">
        <v>2294</v>
      </c>
      <c r="G707" s="3928" t="s">
        <v>4818</v>
      </c>
      <c r="H707" s="3928" t="s">
        <v>24</v>
      </c>
      <c r="I707" s="3928" t="s">
        <v>811</v>
      </c>
    </row>
    <row r="708" spans="1:9" ht="11.25" customHeight="1">
      <c r="A708" s="3928" t="s">
        <v>2258</v>
      </c>
      <c r="B708" s="3928" t="s">
        <v>14</v>
      </c>
      <c r="C708" s="3928" t="s">
        <v>4819</v>
      </c>
      <c r="D708" s="3928" t="s">
        <v>4820</v>
      </c>
      <c r="E708" s="3928" t="s">
        <v>4821</v>
      </c>
      <c r="F708" s="3928" t="s">
        <v>49</v>
      </c>
      <c r="G708" s="3928" t="s">
        <v>24</v>
      </c>
      <c r="H708" s="3928" t="s">
        <v>2263</v>
      </c>
      <c r="I708" s="3928" t="s">
        <v>811</v>
      </c>
    </row>
    <row r="709" spans="1:9" ht="11.25" customHeight="1">
      <c r="A709" s="3928" t="s">
        <v>2258</v>
      </c>
      <c r="B709" s="3928" t="s">
        <v>14</v>
      </c>
      <c r="C709" s="3928" t="s">
        <v>4822</v>
      </c>
      <c r="D709" s="3928" t="s">
        <v>4823</v>
      </c>
      <c r="E709" s="3928" t="s">
        <v>4824</v>
      </c>
      <c r="F709" s="3928" t="s">
        <v>2464</v>
      </c>
      <c r="G709" s="3928" t="s">
        <v>24</v>
      </c>
      <c r="H709" s="3928" t="s">
        <v>2263</v>
      </c>
      <c r="I709" s="3928" t="s">
        <v>811</v>
      </c>
    </row>
    <row r="710" spans="1:9" ht="11.25" customHeight="1">
      <c r="A710" s="3928" t="s">
        <v>2258</v>
      </c>
      <c r="B710" s="3928" t="s">
        <v>14</v>
      </c>
      <c r="C710" s="3928" t="s">
        <v>4825</v>
      </c>
      <c r="D710" s="3928" t="s">
        <v>4826</v>
      </c>
      <c r="E710" s="3928" t="s">
        <v>3883</v>
      </c>
      <c r="F710" s="3928" t="s">
        <v>4827</v>
      </c>
      <c r="G710" s="3928" t="s">
        <v>4828</v>
      </c>
      <c r="H710" s="3928" t="s">
        <v>4829</v>
      </c>
      <c r="I710" s="3928" t="s">
        <v>811</v>
      </c>
    </row>
    <row r="711" spans="1:9" ht="11.25" customHeight="1">
      <c r="A711" s="3928" t="s">
        <v>2258</v>
      </c>
      <c r="B711" s="3928" t="s">
        <v>14</v>
      </c>
      <c r="C711" s="3928" t="s">
        <v>4830</v>
      </c>
      <c r="D711" s="3928" t="s">
        <v>4826</v>
      </c>
      <c r="E711" s="3928" t="s">
        <v>3883</v>
      </c>
      <c r="F711" s="3928" t="s">
        <v>4831</v>
      </c>
      <c r="G711" s="3928" t="s">
        <v>4832</v>
      </c>
      <c r="H711" s="3928" t="s">
        <v>24</v>
      </c>
      <c r="I711" s="3928" t="s">
        <v>811</v>
      </c>
    </row>
    <row r="712" spans="1:9" ht="11.25" customHeight="1">
      <c r="A712" s="3928" t="s">
        <v>2258</v>
      </c>
      <c r="B712" s="3928" t="s">
        <v>14</v>
      </c>
      <c r="C712" s="3928" t="s">
        <v>4833</v>
      </c>
      <c r="D712" s="3928" t="s">
        <v>4834</v>
      </c>
      <c r="E712" s="3928" t="s">
        <v>4835</v>
      </c>
      <c r="F712" s="3928" t="s">
        <v>3039</v>
      </c>
      <c r="G712" s="3928" t="s">
        <v>24</v>
      </c>
      <c r="H712" s="3928" t="s">
        <v>2263</v>
      </c>
      <c r="I712" s="3928" t="s">
        <v>811</v>
      </c>
    </row>
    <row r="713" spans="1:9" ht="11.25" customHeight="1">
      <c r="A713" s="3928" t="s">
        <v>2258</v>
      </c>
      <c r="B713" s="3928" t="s">
        <v>14</v>
      </c>
      <c r="C713" s="3928" t="s">
        <v>4836</v>
      </c>
      <c r="D713" s="3928" t="s">
        <v>4837</v>
      </c>
      <c r="E713" s="3928" t="s">
        <v>4838</v>
      </c>
      <c r="F713" s="3928" t="s">
        <v>4839</v>
      </c>
      <c r="G713" s="3928" t="s">
        <v>4840</v>
      </c>
      <c r="H713" s="3928" t="s">
        <v>24</v>
      </c>
      <c r="I713" s="3928" t="s">
        <v>811</v>
      </c>
    </row>
    <row r="714" spans="1:9" ht="11.25" customHeight="1">
      <c r="A714" s="3928" t="s">
        <v>2258</v>
      </c>
      <c r="B714" s="3928" t="s">
        <v>14</v>
      </c>
      <c r="C714" s="3928" t="s">
        <v>4841</v>
      </c>
      <c r="D714" s="3928" t="s">
        <v>4842</v>
      </c>
      <c r="E714" s="3928" t="s">
        <v>4843</v>
      </c>
      <c r="F714" s="3928" t="s">
        <v>4428</v>
      </c>
      <c r="G714" s="3928" t="s">
        <v>4844</v>
      </c>
      <c r="H714" s="3928" t="s">
        <v>24</v>
      </c>
      <c r="I714" s="3928" t="s">
        <v>811</v>
      </c>
    </row>
    <row r="715" spans="1:9" ht="11.25" customHeight="1">
      <c r="A715" s="3928" t="s">
        <v>2258</v>
      </c>
      <c r="B715" s="3928" t="s">
        <v>14</v>
      </c>
      <c r="C715" s="3928" t="s">
        <v>4845</v>
      </c>
      <c r="D715" s="3928" t="s">
        <v>4846</v>
      </c>
      <c r="E715" s="3928" t="s">
        <v>4847</v>
      </c>
      <c r="F715" s="3928" t="s">
        <v>2289</v>
      </c>
      <c r="G715" s="3928" t="s">
        <v>24</v>
      </c>
      <c r="H715" s="3928" t="s">
        <v>24</v>
      </c>
      <c r="I715" s="3928" t="s">
        <v>811</v>
      </c>
    </row>
    <row r="716" spans="1:9" ht="11.25" customHeight="1">
      <c r="A716" s="3928" t="s">
        <v>2258</v>
      </c>
      <c r="B716" s="3928" t="s">
        <v>14</v>
      </c>
      <c r="C716" s="3928" t="s">
        <v>4848</v>
      </c>
      <c r="D716" s="3928" t="s">
        <v>4849</v>
      </c>
      <c r="E716" s="3928" t="s">
        <v>4850</v>
      </c>
      <c r="F716" s="3928" t="s">
        <v>2344</v>
      </c>
      <c r="G716" s="3928" t="s">
        <v>4851</v>
      </c>
      <c r="H716" s="3928" t="s">
        <v>24</v>
      </c>
      <c r="I716" s="3928" t="s">
        <v>811</v>
      </c>
    </row>
    <row r="717" spans="1:9" ht="11.25" customHeight="1">
      <c r="A717" s="3928" t="s">
        <v>2258</v>
      </c>
      <c r="B717" s="3928" t="s">
        <v>14</v>
      </c>
      <c r="C717" s="3928" t="s">
        <v>4852</v>
      </c>
      <c r="D717" s="3928" t="s">
        <v>4853</v>
      </c>
      <c r="E717" s="3928" t="s">
        <v>4854</v>
      </c>
      <c r="F717" s="3928" t="s">
        <v>2552</v>
      </c>
      <c r="G717" s="3928" t="s">
        <v>4855</v>
      </c>
      <c r="H717" s="3928" t="s">
        <v>24</v>
      </c>
      <c r="I717" s="3928" t="s">
        <v>811</v>
      </c>
    </row>
    <row r="718" spans="1:9" ht="11.25" customHeight="1">
      <c r="A718" s="3928" t="s">
        <v>2258</v>
      </c>
      <c r="B718" s="3928" t="s">
        <v>14</v>
      </c>
      <c r="C718" s="3928" t="s">
        <v>4856</v>
      </c>
      <c r="D718" s="3928" t="s">
        <v>4857</v>
      </c>
      <c r="E718" s="3928" t="s">
        <v>4858</v>
      </c>
      <c r="F718" s="3928" t="s">
        <v>2294</v>
      </c>
      <c r="G718" s="3928" t="s">
        <v>4859</v>
      </c>
      <c r="H718" s="3928" t="s">
        <v>24</v>
      </c>
      <c r="I718" s="3928" t="s">
        <v>811</v>
      </c>
    </row>
    <row r="719" spans="1:9" ht="11.25" customHeight="1">
      <c r="A719" s="3928" t="s">
        <v>2258</v>
      </c>
      <c r="B719" s="3928" t="s">
        <v>14</v>
      </c>
      <c r="C719" s="3928" t="s">
        <v>4860</v>
      </c>
      <c r="D719" s="3928" t="s">
        <v>4861</v>
      </c>
      <c r="E719" s="3928" t="s">
        <v>4862</v>
      </c>
      <c r="F719" s="3928" t="s">
        <v>2438</v>
      </c>
      <c r="G719" s="3928" t="s">
        <v>24</v>
      </c>
      <c r="H719" s="3928" t="s">
        <v>24</v>
      </c>
      <c r="I719" s="3928" t="s">
        <v>811</v>
      </c>
    </row>
    <row r="720" spans="1:9" ht="11.25" customHeight="1">
      <c r="A720" s="3928" t="s">
        <v>2258</v>
      </c>
      <c r="B720" s="3928" t="s">
        <v>14</v>
      </c>
      <c r="C720" s="3928" t="s">
        <v>4863</v>
      </c>
      <c r="D720" s="3928" t="s">
        <v>4864</v>
      </c>
      <c r="E720" s="3928" t="s">
        <v>4865</v>
      </c>
      <c r="F720" s="3928" t="s">
        <v>2304</v>
      </c>
      <c r="G720" s="3928" t="s">
        <v>24</v>
      </c>
      <c r="H720" s="3928" t="s">
        <v>24</v>
      </c>
      <c r="I720" s="3928" t="s">
        <v>811</v>
      </c>
    </row>
    <row r="721" spans="1:9" ht="11.25" customHeight="1">
      <c r="A721" s="3928" t="s">
        <v>2258</v>
      </c>
      <c r="B721" s="3928" t="s">
        <v>14</v>
      </c>
      <c r="C721" s="3928" t="s">
        <v>4866</v>
      </c>
      <c r="D721" s="3928" t="s">
        <v>4867</v>
      </c>
      <c r="E721" s="3928" t="s">
        <v>4868</v>
      </c>
      <c r="F721" s="3928" t="s">
        <v>2304</v>
      </c>
      <c r="G721" s="3928" t="s">
        <v>4869</v>
      </c>
      <c r="H721" s="3928" t="s">
        <v>2263</v>
      </c>
      <c r="I721" s="3928" t="s">
        <v>811</v>
      </c>
    </row>
    <row r="722" spans="1:9" ht="11.25" customHeight="1">
      <c r="A722" s="3928" t="s">
        <v>2258</v>
      </c>
      <c r="B722" s="3928" t="s">
        <v>14</v>
      </c>
      <c r="C722" s="3928" t="s">
        <v>4870</v>
      </c>
      <c r="D722" s="3928" t="s">
        <v>4871</v>
      </c>
      <c r="E722" s="3928" t="s">
        <v>4872</v>
      </c>
      <c r="F722" s="3928" t="s">
        <v>2552</v>
      </c>
      <c r="G722" s="3928" t="s">
        <v>24</v>
      </c>
      <c r="H722" s="3928" t="s">
        <v>2263</v>
      </c>
      <c r="I722" s="3928" t="s">
        <v>811</v>
      </c>
    </row>
    <row r="723" spans="1:9" ht="11.25" customHeight="1">
      <c r="A723" s="3928" t="s">
        <v>2258</v>
      </c>
      <c r="B723" s="3928" t="s">
        <v>14</v>
      </c>
      <c r="C723" s="3928" t="s">
        <v>4873</v>
      </c>
      <c r="D723" s="3928" t="s">
        <v>4874</v>
      </c>
      <c r="E723" s="3928" t="s">
        <v>4875</v>
      </c>
      <c r="F723" s="3928" t="s">
        <v>2294</v>
      </c>
      <c r="G723" s="3928" t="s">
        <v>4876</v>
      </c>
      <c r="H723" s="3928" t="s">
        <v>4877</v>
      </c>
      <c r="I723" s="3928" t="s">
        <v>811</v>
      </c>
    </row>
    <row r="724" spans="1:9" ht="11.25" customHeight="1">
      <c r="A724" s="3928" t="s">
        <v>2258</v>
      </c>
      <c r="B724" s="3928" t="s">
        <v>14</v>
      </c>
      <c r="C724" s="3928" t="s">
        <v>4878</v>
      </c>
      <c r="D724" s="3928" t="s">
        <v>4879</v>
      </c>
      <c r="E724" s="3928" t="s">
        <v>4880</v>
      </c>
      <c r="F724" s="3928" t="s">
        <v>2451</v>
      </c>
      <c r="G724" s="3928" t="s">
        <v>24</v>
      </c>
      <c r="H724" s="3928" t="s">
        <v>2263</v>
      </c>
      <c r="I724" s="3928" t="s">
        <v>811</v>
      </c>
    </row>
    <row r="725" spans="1:9" ht="11.25" customHeight="1">
      <c r="A725" s="3928" t="s">
        <v>2258</v>
      </c>
      <c r="B725" s="3928" t="s">
        <v>14</v>
      </c>
      <c r="C725" s="3928" t="s">
        <v>4881</v>
      </c>
      <c r="D725" s="3928" t="s">
        <v>4882</v>
      </c>
      <c r="E725" s="3928" t="s">
        <v>4883</v>
      </c>
      <c r="F725" s="3928" t="s">
        <v>2414</v>
      </c>
      <c r="G725" s="3928" t="s">
        <v>24</v>
      </c>
      <c r="H725" s="3928" t="s">
        <v>2945</v>
      </c>
      <c r="I725" s="3928" t="s">
        <v>811</v>
      </c>
    </row>
    <row r="726" spans="1:9" ht="11.25" customHeight="1">
      <c r="A726" s="3928" t="s">
        <v>2258</v>
      </c>
      <c r="B726" s="3928" t="s">
        <v>14</v>
      </c>
      <c r="C726" s="3928" t="s">
        <v>4884</v>
      </c>
      <c r="D726" s="3928" t="s">
        <v>4882</v>
      </c>
      <c r="E726" s="3928" t="s">
        <v>4885</v>
      </c>
      <c r="F726" s="3928" t="s">
        <v>2414</v>
      </c>
      <c r="G726" s="3928" t="s">
        <v>4886</v>
      </c>
      <c r="H726" s="3928" t="s">
        <v>24</v>
      </c>
      <c r="I726" s="3928" t="s">
        <v>811</v>
      </c>
    </row>
    <row r="727" spans="1:9" ht="11.25" customHeight="1">
      <c r="A727" s="3928" t="s">
        <v>2258</v>
      </c>
      <c r="B727" s="3928" t="s">
        <v>14</v>
      </c>
      <c r="C727" s="3928" t="s">
        <v>4887</v>
      </c>
      <c r="D727" s="3928" t="s">
        <v>4888</v>
      </c>
      <c r="E727" s="3928" t="s">
        <v>4889</v>
      </c>
      <c r="F727" s="3928" t="s">
        <v>2675</v>
      </c>
      <c r="G727" s="3928" t="s">
        <v>4890</v>
      </c>
      <c r="H727" s="3928" t="s">
        <v>24</v>
      </c>
      <c r="I727" s="3928" t="s">
        <v>811</v>
      </c>
    </row>
    <row r="728" spans="1:9" ht="11.25" customHeight="1">
      <c r="A728" s="3928" t="s">
        <v>2258</v>
      </c>
      <c r="B728" s="3928" t="s">
        <v>14</v>
      </c>
      <c r="C728" s="3928" t="s">
        <v>4891</v>
      </c>
      <c r="D728" s="3928" t="s">
        <v>4892</v>
      </c>
      <c r="E728" s="3928" t="s">
        <v>4893</v>
      </c>
      <c r="F728" s="3928" t="s">
        <v>2344</v>
      </c>
      <c r="G728" s="3928" t="s">
        <v>4894</v>
      </c>
      <c r="H728" s="3928" t="s">
        <v>24</v>
      </c>
      <c r="I728" s="3928" t="s">
        <v>811</v>
      </c>
    </row>
    <row r="729" spans="1:9" ht="11.25" customHeight="1">
      <c r="A729" s="3928" t="s">
        <v>2258</v>
      </c>
      <c r="B729" s="3928" t="s">
        <v>14</v>
      </c>
      <c r="C729" s="3928" t="s">
        <v>4895</v>
      </c>
      <c r="D729" s="3928" t="s">
        <v>4896</v>
      </c>
      <c r="E729" s="3928" t="s">
        <v>4897</v>
      </c>
      <c r="F729" s="3928" t="s">
        <v>2349</v>
      </c>
      <c r="G729" s="3928" t="s">
        <v>24</v>
      </c>
      <c r="H729" s="3928" t="s">
        <v>24</v>
      </c>
      <c r="I729" s="3928" t="s">
        <v>811</v>
      </c>
    </row>
    <row r="730" spans="1:9" ht="11.25" customHeight="1">
      <c r="A730" s="3928" t="s">
        <v>2258</v>
      </c>
      <c r="B730" s="3928" t="s">
        <v>14</v>
      </c>
      <c r="C730" s="3928" t="s">
        <v>4898</v>
      </c>
      <c r="D730" s="3928" t="s">
        <v>4899</v>
      </c>
      <c r="E730" s="3928" t="s">
        <v>4900</v>
      </c>
      <c r="F730" s="3928" t="s">
        <v>2397</v>
      </c>
      <c r="G730" s="3928" t="s">
        <v>24</v>
      </c>
      <c r="H730" s="3928" t="s">
        <v>3068</v>
      </c>
      <c r="I730" s="3928" t="s">
        <v>811</v>
      </c>
    </row>
    <row r="731" spans="1:9" ht="11.25" customHeight="1">
      <c r="A731" s="3928" t="s">
        <v>2258</v>
      </c>
      <c r="B731" s="3928" t="s">
        <v>14</v>
      </c>
      <c r="C731" s="3928" t="s">
        <v>4901</v>
      </c>
      <c r="D731" s="3928" t="s">
        <v>4902</v>
      </c>
      <c r="E731" s="3928" t="s">
        <v>4903</v>
      </c>
      <c r="F731" s="3928" t="s">
        <v>4904</v>
      </c>
      <c r="G731" s="3928" t="s">
        <v>24</v>
      </c>
      <c r="H731" s="3928" t="s">
        <v>2263</v>
      </c>
      <c r="I731" s="3928" t="s">
        <v>811</v>
      </c>
    </row>
    <row r="732" spans="1:9" ht="11.25" customHeight="1">
      <c r="A732" s="3928" t="s">
        <v>2258</v>
      </c>
      <c r="B732" s="3928" t="s">
        <v>14</v>
      </c>
      <c r="C732" s="3928" t="s">
        <v>4905</v>
      </c>
      <c r="D732" s="3928" t="s">
        <v>4906</v>
      </c>
      <c r="E732" s="3928" t="s">
        <v>4907</v>
      </c>
      <c r="F732" s="3928" t="s">
        <v>2289</v>
      </c>
      <c r="G732" s="3928" t="s">
        <v>4908</v>
      </c>
      <c r="H732" s="3928" t="s">
        <v>2475</v>
      </c>
      <c r="I732" s="3928" t="s">
        <v>811</v>
      </c>
    </row>
    <row r="733" spans="1:9" ht="11.25" customHeight="1">
      <c r="A733" s="3928" t="s">
        <v>2258</v>
      </c>
      <c r="B733" s="3928" t="s">
        <v>14</v>
      </c>
      <c r="C733" s="3928" t="s">
        <v>4909</v>
      </c>
      <c r="D733" s="3928" t="s">
        <v>4910</v>
      </c>
      <c r="E733" s="3928" t="s">
        <v>4911</v>
      </c>
      <c r="F733" s="3928" t="s">
        <v>2344</v>
      </c>
      <c r="G733" s="3928" t="s">
        <v>24</v>
      </c>
      <c r="H733" s="3928" t="s">
        <v>2263</v>
      </c>
      <c r="I733" s="3928" t="s">
        <v>811</v>
      </c>
    </row>
    <row r="734" spans="1:9" ht="11.25" customHeight="1">
      <c r="A734" s="3928" t="s">
        <v>2258</v>
      </c>
      <c r="B734" s="3928" t="s">
        <v>14</v>
      </c>
      <c r="C734" s="3928" t="s">
        <v>4912</v>
      </c>
      <c r="D734" s="3928" t="s">
        <v>4910</v>
      </c>
      <c r="E734" s="3928" t="s">
        <v>4913</v>
      </c>
      <c r="F734" s="3928" t="s">
        <v>2344</v>
      </c>
      <c r="G734" s="3928" t="s">
        <v>24</v>
      </c>
      <c r="H734" s="3928" t="s">
        <v>4914</v>
      </c>
      <c r="I734" s="3928" t="s">
        <v>811</v>
      </c>
    </row>
    <row r="735" spans="1:9" ht="11.25" customHeight="1">
      <c r="A735" s="3928" t="s">
        <v>2258</v>
      </c>
      <c r="B735" s="3928" t="s">
        <v>14</v>
      </c>
      <c r="C735" s="3928" t="s">
        <v>4915</v>
      </c>
      <c r="D735" s="3928" t="s">
        <v>4916</v>
      </c>
      <c r="E735" s="3928" t="s">
        <v>4917</v>
      </c>
      <c r="F735" s="3928" t="s">
        <v>2464</v>
      </c>
      <c r="G735" s="3928" t="s">
        <v>24</v>
      </c>
      <c r="H735" s="3928" t="s">
        <v>4918</v>
      </c>
      <c r="I735" s="3928" t="s">
        <v>811</v>
      </c>
    </row>
    <row r="736" spans="1:9" ht="11.25" customHeight="1">
      <c r="A736" s="3928" t="s">
        <v>2258</v>
      </c>
      <c r="B736" s="3928" t="s">
        <v>14</v>
      </c>
      <c r="C736" s="3928" t="s">
        <v>4919</v>
      </c>
      <c r="D736" s="3928" t="s">
        <v>4920</v>
      </c>
      <c r="E736" s="3928" t="s">
        <v>4921</v>
      </c>
      <c r="F736" s="3928" t="s">
        <v>2375</v>
      </c>
      <c r="G736" s="3928" t="s">
        <v>2443</v>
      </c>
      <c r="H736" s="3928" t="s">
        <v>24</v>
      </c>
      <c r="I736" s="3928" t="s">
        <v>811</v>
      </c>
    </row>
    <row r="737" spans="1:9" ht="11.25" customHeight="1">
      <c r="A737" s="3928" t="s">
        <v>2258</v>
      </c>
      <c r="B737" s="3928" t="s">
        <v>14</v>
      </c>
      <c r="C737" s="3928" t="s">
        <v>4922</v>
      </c>
      <c r="D737" s="3928" t="s">
        <v>4923</v>
      </c>
      <c r="E737" s="3928" t="s">
        <v>4924</v>
      </c>
      <c r="F737" s="3928" t="s">
        <v>3370</v>
      </c>
      <c r="G737" s="3928" t="s">
        <v>24</v>
      </c>
      <c r="H737" s="3928" t="s">
        <v>2263</v>
      </c>
      <c r="I737" s="3928" t="s">
        <v>811</v>
      </c>
    </row>
    <row r="738" spans="1:9" ht="11.25" customHeight="1">
      <c r="A738" s="3928" t="s">
        <v>2258</v>
      </c>
      <c r="B738" s="3928" t="s">
        <v>14</v>
      </c>
      <c r="C738" s="3928" t="s">
        <v>4925</v>
      </c>
      <c r="D738" s="3928" t="s">
        <v>4926</v>
      </c>
      <c r="E738" s="3928" t="s">
        <v>4927</v>
      </c>
      <c r="F738" s="3928" t="s">
        <v>2587</v>
      </c>
      <c r="G738" s="3928" t="s">
        <v>4928</v>
      </c>
      <c r="H738" s="3928" t="s">
        <v>24</v>
      </c>
      <c r="I738" s="3928" t="s">
        <v>811</v>
      </c>
    </row>
    <row r="739" spans="1:9" ht="11.25" customHeight="1">
      <c r="A739" s="3928" t="s">
        <v>2258</v>
      </c>
      <c r="B739" s="3928" t="s">
        <v>14</v>
      </c>
      <c r="C739" s="3928" t="s">
        <v>4929</v>
      </c>
      <c r="D739" s="3928" t="s">
        <v>4930</v>
      </c>
      <c r="E739" s="3928" t="s">
        <v>4931</v>
      </c>
      <c r="F739" s="3928" t="s">
        <v>2688</v>
      </c>
      <c r="G739" s="3928" t="s">
        <v>4932</v>
      </c>
      <c r="H739" s="3928" t="s">
        <v>24</v>
      </c>
      <c r="I739" s="3928" t="s">
        <v>811</v>
      </c>
    </row>
    <row r="740" spans="1:9" ht="11.25" customHeight="1">
      <c r="A740" s="3928" t="s">
        <v>2258</v>
      </c>
      <c r="B740" s="3928" t="s">
        <v>14</v>
      </c>
      <c r="C740" s="3928" t="s">
        <v>4933</v>
      </c>
      <c r="D740" s="3928" t="s">
        <v>4934</v>
      </c>
      <c r="E740" s="3928" t="s">
        <v>4935</v>
      </c>
      <c r="F740" s="3928" t="s">
        <v>2587</v>
      </c>
      <c r="G740" s="3928" t="s">
        <v>24</v>
      </c>
      <c r="H740" s="3928" t="s">
        <v>24</v>
      </c>
      <c r="I740" s="3928" t="s">
        <v>811</v>
      </c>
    </row>
    <row r="741" spans="1:9" ht="11.25" customHeight="1">
      <c r="A741" s="3928" t="s">
        <v>2258</v>
      </c>
      <c r="B741" s="3928" t="s">
        <v>14</v>
      </c>
      <c r="C741" s="3928" t="s">
        <v>4936</v>
      </c>
      <c r="D741" s="3928" t="s">
        <v>4937</v>
      </c>
      <c r="E741" s="3928" t="s">
        <v>4938</v>
      </c>
      <c r="F741" s="3928" t="s">
        <v>3310</v>
      </c>
      <c r="G741" s="3928" t="s">
        <v>4939</v>
      </c>
      <c r="H741" s="3928" t="s">
        <v>24</v>
      </c>
      <c r="I741" s="3928" t="s">
        <v>811</v>
      </c>
    </row>
    <row r="742" spans="1:9" ht="11.25" customHeight="1">
      <c r="A742" s="3928" t="s">
        <v>2258</v>
      </c>
      <c r="B742" s="3928" t="s">
        <v>14</v>
      </c>
      <c r="C742" s="3928" t="s">
        <v>4940</v>
      </c>
      <c r="D742" s="3928" t="s">
        <v>4941</v>
      </c>
      <c r="E742" s="3928" t="s">
        <v>4942</v>
      </c>
      <c r="F742" s="3928" t="s">
        <v>2796</v>
      </c>
      <c r="G742" s="3928" t="s">
        <v>4943</v>
      </c>
      <c r="H742" s="3928" t="s">
        <v>24</v>
      </c>
      <c r="I742" s="3928" t="s">
        <v>811</v>
      </c>
    </row>
    <row r="743" spans="1:9" ht="11.25" customHeight="1">
      <c r="A743" s="3928" t="s">
        <v>2258</v>
      </c>
      <c r="B743" s="3928" t="s">
        <v>14</v>
      </c>
      <c r="C743" s="3928" t="s">
        <v>4944</v>
      </c>
      <c r="D743" s="3928" t="s">
        <v>4945</v>
      </c>
      <c r="E743" s="3928" t="s">
        <v>4946</v>
      </c>
      <c r="F743" s="3928" t="s">
        <v>49</v>
      </c>
      <c r="G743" s="3928" t="s">
        <v>24</v>
      </c>
      <c r="H743" s="3928" t="s">
        <v>2263</v>
      </c>
      <c r="I743" s="3928" t="s">
        <v>811</v>
      </c>
    </row>
    <row r="744" spans="1:9" ht="11.25" customHeight="1">
      <c r="A744" s="3928" t="s">
        <v>2258</v>
      </c>
      <c r="B744" s="3928" t="s">
        <v>14</v>
      </c>
      <c r="C744" s="3928" t="s">
        <v>4947</v>
      </c>
      <c r="D744" s="3928" t="s">
        <v>4948</v>
      </c>
      <c r="E744" s="3928" t="s">
        <v>4949</v>
      </c>
      <c r="F744" s="3928" t="s">
        <v>4391</v>
      </c>
      <c r="G744" s="3928" t="s">
        <v>4950</v>
      </c>
      <c r="H744" s="3928" t="s">
        <v>2263</v>
      </c>
      <c r="I744" s="3928" t="s">
        <v>811</v>
      </c>
    </row>
    <row r="745" spans="1:9" ht="11.25" customHeight="1">
      <c r="A745" s="3928" t="s">
        <v>2258</v>
      </c>
      <c r="B745" s="3928" t="s">
        <v>14</v>
      </c>
      <c r="C745" s="3928" t="s">
        <v>4951</v>
      </c>
      <c r="D745" s="3928" t="s">
        <v>4952</v>
      </c>
      <c r="E745" s="3928" t="s">
        <v>4953</v>
      </c>
      <c r="F745" s="3928" t="s">
        <v>2929</v>
      </c>
      <c r="G745" s="3928" t="s">
        <v>24</v>
      </c>
      <c r="H745" s="3928" t="s">
        <v>24</v>
      </c>
      <c r="I745" s="3928" t="s">
        <v>811</v>
      </c>
    </row>
    <row r="746" spans="1:9" ht="11.25" customHeight="1">
      <c r="A746" s="3928" t="s">
        <v>2258</v>
      </c>
      <c r="B746" s="3928" t="s">
        <v>14</v>
      </c>
      <c r="C746" s="3928" t="s">
        <v>4954</v>
      </c>
      <c r="D746" s="3928" t="s">
        <v>4955</v>
      </c>
      <c r="E746" s="3928" t="s">
        <v>4956</v>
      </c>
      <c r="F746" s="3928" t="s">
        <v>2419</v>
      </c>
      <c r="G746" s="3928" t="s">
        <v>4957</v>
      </c>
      <c r="H746" s="3928" t="s">
        <v>24</v>
      </c>
      <c r="I746" s="3928" t="s">
        <v>811</v>
      </c>
    </row>
    <row r="747" spans="1:9" ht="11.25" customHeight="1">
      <c r="A747" s="3928" t="s">
        <v>2258</v>
      </c>
      <c r="B747" s="3928" t="s">
        <v>14</v>
      </c>
      <c r="C747" s="3928" t="s">
        <v>4958</v>
      </c>
      <c r="D747" s="3928" t="s">
        <v>4959</v>
      </c>
      <c r="E747" s="3928" t="s">
        <v>4960</v>
      </c>
      <c r="F747" s="3928" t="s">
        <v>2375</v>
      </c>
      <c r="G747" s="3928" t="s">
        <v>24</v>
      </c>
      <c r="H747" s="3928" t="s">
        <v>24</v>
      </c>
      <c r="I747" s="3928" t="s">
        <v>811</v>
      </c>
    </row>
    <row r="748" spans="1:9" ht="11.25" customHeight="1">
      <c r="A748" s="3928" t="s">
        <v>2258</v>
      </c>
      <c r="B748" s="3928" t="s">
        <v>14</v>
      </c>
      <c r="C748" s="3928" t="s">
        <v>4961</v>
      </c>
      <c r="D748" s="3928" t="s">
        <v>4962</v>
      </c>
      <c r="E748" s="3928" t="s">
        <v>4963</v>
      </c>
      <c r="F748" s="3928" t="s">
        <v>2289</v>
      </c>
      <c r="G748" s="3928" t="s">
        <v>4964</v>
      </c>
      <c r="H748" s="3928" t="s">
        <v>24</v>
      </c>
      <c r="I748" s="3928" t="s">
        <v>811</v>
      </c>
    </row>
    <row r="749" spans="1:9" ht="11.25" customHeight="1">
      <c r="A749" s="3928" t="s">
        <v>2258</v>
      </c>
      <c r="B749" s="3928" t="s">
        <v>14</v>
      </c>
      <c r="C749" s="3928" t="s">
        <v>4965</v>
      </c>
      <c r="D749" s="3928" t="s">
        <v>4966</v>
      </c>
      <c r="E749" s="3928" t="s">
        <v>4967</v>
      </c>
      <c r="F749" s="3928" t="s">
        <v>2309</v>
      </c>
      <c r="G749" s="3928" t="s">
        <v>4968</v>
      </c>
      <c r="H749" s="3928" t="s">
        <v>24</v>
      </c>
      <c r="I749" s="3928" t="s">
        <v>811</v>
      </c>
    </row>
    <row r="750" spans="1:9" ht="11.25" customHeight="1">
      <c r="A750" s="3928" t="s">
        <v>2258</v>
      </c>
      <c r="B750" s="3928" t="s">
        <v>14</v>
      </c>
      <c r="C750" s="3928" t="s">
        <v>4969</v>
      </c>
      <c r="D750" s="3928" t="s">
        <v>4970</v>
      </c>
      <c r="E750" s="3928" t="s">
        <v>4971</v>
      </c>
      <c r="F750" s="3928" t="s">
        <v>2438</v>
      </c>
      <c r="G750" s="3928" t="s">
        <v>24</v>
      </c>
      <c r="H750" s="3928" t="s">
        <v>24</v>
      </c>
      <c r="I750" s="3928" t="s">
        <v>811</v>
      </c>
    </row>
    <row r="751" spans="1:9" ht="11.25" customHeight="1">
      <c r="A751" s="3928" t="s">
        <v>2258</v>
      </c>
      <c r="B751" s="3928" t="s">
        <v>14</v>
      </c>
      <c r="C751" s="3928" t="s">
        <v>4972</v>
      </c>
      <c r="D751" s="3928" t="s">
        <v>4973</v>
      </c>
      <c r="E751" s="3928" t="s">
        <v>4974</v>
      </c>
      <c r="F751" s="3928" t="s">
        <v>2438</v>
      </c>
      <c r="G751" s="3928" t="s">
        <v>24</v>
      </c>
      <c r="H751" s="3928" t="s">
        <v>2848</v>
      </c>
      <c r="I751" s="3928" t="s">
        <v>811</v>
      </c>
    </row>
    <row r="752" spans="1:9" ht="11.25" customHeight="1">
      <c r="A752" s="3928" t="s">
        <v>2258</v>
      </c>
      <c r="B752" s="3928" t="s">
        <v>14</v>
      </c>
      <c r="C752" s="3928" t="s">
        <v>4975</v>
      </c>
      <c r="D752" s="3928" t="s">
        <v>4976</v>
      </c>
      <c r="E752" s="3928" t="s">
        <v>4977</v>
      </c>
      <c r="F752" s="3928" t="s">
        <v>2438</v>
      </c>
      <c r="G752" s="3928" t="s">
        <v>24</v>
      </c>
      <c r="H752" s="3928" t="s">
        <v>24</v>
      </c>
      <c r="I752" s="3928" t="s">
        <v>811</v>
      </c>
    </row>
    <row r="753" spans="1:9" ht="11.25" customHeight="1">
      <c r="A753" s="3928" t="s">
        <v>2258</v>
      </c>
      <c r="B753" s="3928" t="s">
        <v>14</v>
      </c>
      <c r="C753" s="3928" t="s">
        <v>4978</v>
      </c>
      <c r="D753" s="3928" t="s">
        <v>4979</v>
      </c>
      <c r="E753" s="3928" t="s">
        <v>4980</v>
      </c>
      <c r="F753" s="3928" t="s">
        <v>2294</v>
      </c>
      <c r="G753" s="3928" t="s">
        <v>4810</v>
      </c>
      <c r="H753" s="3928" t="s">
        <v>24</v>
      </c>
      <c r="I753" s="3928" t="s">
        <v>811</v>
      </c>
    </row>
    <row r="754" spans="1:9" ht="11.25" customHeight="1">
      <c r="A754" s="3928" t="s">
        <v>2258</v>
      </c>
      <c r="B754" s="3928" t="s">
        <v>14</v>
      </c>
      <c r="C754" s="3928" t="s">
        <v>4981</v>
      </c>
      <c r="D754" s="3928" t="s">
        <v>4982</v>
      </c>
      <c r="E754" s="3928" t="s">
        <v>4983</v>
      </c>
      <c r="F754" s="3928" t="s">
        <v>4984</v>
      </c>
      <c r="G754" s="3928" t="s">
        <v>4985</v>
      </c>
      <c r="H754" s="3928" t="s">
        <v>24</v>
      </c>
      <c r="I754" s="3928" t="s">
        <v>811</v>
      </c>
    </row>
    <row r="755" spans="1:9" ht="11.25" customHeight="1">
      <c r="A755" s="3928" t="s">
        <v>2258</v>
      </c>
      <c r="B755" s="3928" t="s">
        <v>14</v>
      </c>
      <c r="C755" s="3928" t="s">
        <v>4986</v>
      </c>
      <c r="D755" s="3928" t="s">
        <v>4987</v>
      </c>
      <c r="E755" s="3928" t="s">
        <v>4988</v>
      </c>
      <c r="F755" s="3928" t="s">
        <v>2535</v>
      </c>
      <c r="G755" s="3928" t="s">
        <v>24</v>
      </c>
      <c r="H755" s="3928" t="s">
        <v>24</v>
      </c>
      <c r="I755" s="3928" t="s">
        <v>811</v>
      </c>
    </row>
    <row r="756" spans="1:9" ht="11.25" customHeight="1">
      <c r="A756" s="3928" t="s">
        <v>2258</v>
      </c>
      <c r="B756" s="3928" t="s">
        <v>14</v>
      </c>
      <c r="C756" s="3928" t="s">
        <v>4989</v>
      </c>
      <c r="D756" s="3928" t="s">
        <v>4990</v>
      </c>
      <c r="E756" s="3928" t="s">
        <v>4991</v>
      </c>
      <c r="F756" s="3928" t="s">
        <v>2929</v>
      </c>
      <c r="G756" s="3928" t="s">
        <v>24</v>
      </c>
      <c r="H756" s="3928" t="s">
        <v>2263</v>
      </c>
      <c r="I756" s="3928" t="s">
        <v>811</v>
      </c>
    </row>
    <row r="757" spans="1:9" ht="11.25" customHeight="1">
      <c r="A757" s="3928" t="s">
        <v>2258</v>
      </c>
      <c r="B757" s="3928" t="s">
        <v>14</v>
      </c>
      <c r="C757" s="3928" t="s">
        <v>4992</v>
      </c>
      <c r="D757" s="3928" t="s">
        <v>4993</v>
      </c>
      <c r="E757" s="3928" t="s">
        <v>4994</v>
      </c>
      <c r="F757" s="3928" t="s">
        <v>2464</v>
      </c>
      <c r="G757" s="3928" t="s">
        <v>24</v>
      </c>
      <c r="H757" s="3928" t="s">
        <v>2263</v>
      </c>
      <c r="I757" s="3928" t="s">
        <v>811</v>
      </c>
    </row>
    <row r="758" spans="1:9" ht="11.25" customHeight="1">
      <c r="A758" s="3928" t="s">
        <v>2258</v>
      </c>
      <c r="B758" s="3928" t="s">
        <v>14</v>
      </c>
      <c r="C758" s="3928" t="s">
        <v>4995</v>
      </c>
      <c r="D758" s="3928" t="s">
        <v>4996</v>
      </c>
      <c r="E758" s="3928" t="s">
        <v>4997</v>
      </c>
      <c r="F758" s="3928" t="s">
        <v>2965</v>
      </c>
      <c r="G758" s="3928" t="s">
        <v>4998</v>
      </c>
      <c r="H758" s="3928" t="s">
        <v>24</v>
      </c>
      <c r="I758" s="3928" t="s">
        <v>811</v>
      </c>
    </row>
    <row r="759" spans="1:9" ht="11.25" customHeight="1">
      <c r="A759" s="3928" t="s">
        <v>2258</v>
      </c>
      <c r="B759" s="3928" t="s">
        <v>14</v>
      </c>
      <c r="C759" s="3928" t="s">
        <v>4999</v>
      </c>
      <c r="D759" s="3928" t="s">
        <v>5000</v>
      </c>
      <c r="E759" s="3928" t="s">
        <v>5001</v>
      </c>
      <c r="F759" s="3928" t="s">
        <v>2473</v>
      </c>
      <c r="G759" s="3928" t="s">
        <v>5002</v>
      </c>
      <c r="H759" s="3928" t="s">
        <v>2263</v>
      </c>
      <c r="I759" s="3928" t="s">
        <v>811</v>
      </c>
    </row>
    <row r="760" spans="1:9" ht="11.25" customHeight="1">
      <c r="A760" s="3928" t="s">
        <v>2258</v>
      </c>
      <c r="B760" s="3928" t="s">
        <v>14</v>
      </c>
      <c r="C760" s="3928" t="s">
        <v>5003</v>
      </c>
      <c r="D760" s="3928" t="s">
        <v>5004</v>
      </c>
      <c r="E760" s="3928" t="s">
        <v>5005</v>
      </c>
      <c r="F760" s="3928" t="s">
        <v>2419</v>
      </c>
      <c r="G760" s="3928" t="s">
        <v>24</v>
      </c>
      <c r="H760" s="3928" t="s">
        <v>24</v>
      </c>
      <c r="I760" s="3928" t="s">
        <v>811</v>
      </c>
    </row>
    <row r="761" spans="1:9" ht="11.25" customHeight="1">
      <c r="A761" s="3928" t="s">
        <v>2258</v>
      </c>
      <c r="B761" s="3928" t="s">
        <v>14</v>
      </c>
      <c r="C761" s="3928" t="s">
        <v>5006</v>
      </c>
      <c r="D761" s="3928" t="s">
        <v>5007</v>
      </c>
      <c r="E761" s="3928" t="s">
        <v>5008</v>
      </c>
      <c r="F761" s="3928" t="s">
        <v>2294</v>
      </c>
      <c r="G761" s="3928" t="s">
        <v>5009</v>
      </c>
      <c r="H761" s="3928" t="s">
        <v>24</v>
      </c>
      <c r="I761" s="3928" t="s">
        <v>811</v>
      </c>
    </row>
    <row r="762" spans="1:9" ht="11.25" customHeight="1">
      <c r="A762" s="3928" t="s">
        <v>2258</v>
      </c>
      <c r="B762" s="3928" t="s">
        <v>14</v>
      </c>
      <c r="C762" s="3928" t="s">
        <v>5010</v>
      </c>
      <c r="D762" s="3928" t="s">
        <v>5011</v>
      </c>
      <c r="E762" s="3928" t="s">
        <v>5012</v>
      </c>
      <c r="F762" s="3928" t="s">
        <v>2354</v>
      </c>
      <c r="G762" s="3928" t="s">
        <v>24</v>
      </c>
      <c r="H762" s="3928" t="s">
        <v>24</v>
      </c>
      <c r="I762" s="3928" t="s">
        <v>811</v>
      </c>
    </row>
    <row r="763" spans="1:9" ht="11.25" customHeight="1">
      <c r="A763" s="3928" t="s">
        <v>2258</v>
      </c>
      <c r="B763" s="3928" t="s">
        <v>14</v>
      </c>
      <c r="C763" s="3928" t="s">
        <v>5013</v>
      </c>
      <c r="D763" s="3928" t="s">
        <v>5014</v>
      </c>
      <c r="E763" s="3928" t="s">
        <v>5015</v>
      </c>
      <c r="F763" s="3928" t="s">
        <v>2289</v>
      </c>
      <c r="G763" s="3928" t="s">
        <v>5016</v>
      </c>
      <c r="H763" s="3928" t="s">
        <v>24</v>
      </c>
      <c r="I763" s="3928" t="s">
        <v>811</v>
      </c>
    </row>
    <row r="764" spans="1:9" ht="11.25" customHeight="1">
      <c r="A764" s="3928" t="s">
        <v>2258</v>
      </c>
      <c r="B764" s="3928" t="s">
        <v>14</v>
      </c>
      <c r="C764" s="3928" t="s">
        <v>5017</v>
      </c>
      <c r="D764" s="3928" t="s">
        <v>5018</v>
      </c>
      <c r="E764" s="3928" t="s">
        <v>5019</v>
      </c>
      <c r="F764" s="3928" t="s">
        <v>2438</v>
      </c>
      <c r="G764" s="3928" t="s">
        <v>24</v>
      </c>
      <c r="H764" s="3928" t="s">
        <v>24</v>
      </c>
      <c r="I764" s="3928" t="s">
        <v>811</v>
      </c>
    </row>
    <row r="765" spans="1:9" ht="11.25" customHeight="1">
      <c r="A765" s="3928" t="s">
        <v>2258</v>
      </c>
      <c r="B765" s="3928" t="s">
        <v>14</v>
      </c>
      <c r="C765" s="3928" t="s">
        <v>5020</v>
      </c>
      <c r="D765" s="3928" t="s">
        <v>5021</v>
      </c>
      <c r="E765" s="3928" t="s">
        <v>5022</v>
      </c>
      <c r="F765" s="3928" t="s">
        <v>2429</v>
      </c>
      <c r="G765" s="3928" t="s">
        <v>5023</v>
      </c>
      <c r="H765" s="3928" t="s">
        <v>5024</v>
      </c>
      <c r="I765" s="3928" t="s">
        <v>811</v>
      </c>
    </row>
    <row r="766" spans="1:9" ht="11.25" customHeight="1">
      <c r="A766" s="3928" t="s">
        <v>2258</v>
      </c>
      <c r="B766" s="3928" t="s">
        <v>14</v>
      </c>
      <c r="C766" s="3928" t="s">
        <v>5025</v>
      </c>
      <c r="D766" s="3928" t="s">
        <v>5026</v>
      </c>
      <c r="E766" s="3928" t="s">
        <v>5027</v>
      </c>
      <c r="F766" s="3928" t="s">
        <v>2294</v>
      </c>
      <c r="G766" s="3928" t="s">
        <v>24</v>
      </c>
      <c r="H766" s="3928" t="s">
        <v>24</v>
      </c>
      <c r="I766" s="3928" t="s">
        <v>811</v>
      </c>
    </row>
    <row r="767" spans="1:9" ht="11.25" customHeight="1">
      <c r="A767" s="3928" t="s">
        <v>2258</v>
      </c>
      <c r="B767" s="3928" t="s">
        <v>14</v>
      </c>
      <c r="C767" s="3928" t="s">
        <v>5028</v>
      </c>
      <c r="D767" s="3928" t="s">
        <v>5029</v>
      </c>
      <c r="E767" s="3928" t="s">
        <v>5030</v>
      </c>
      <c r="F767" s="3928" t="s">
        <v>2289</v>
      </c>
      <c r="G767" s="3928" t="s">
        <v>5031</v>
      </c>
      <c r="H767" s="3928" t="s">
        <v>24</v>
      </c>
      <c r="I767" s="3928" t="s">
        <v>811</v>
      </c>
    </row>
    <row r="768" spans="1:9" ht="11.25" customHeight="1">
      <c r="A768" s="3928" t="s">
        <v>2258</v>
      </c>
      <c r="B768" s="3928" t="s">
        <v>14</v>
      </c>
      <c r="C768" s="3928" t="s">
        <v>5032</v>
      </c>
      <c r="D768" s="3928" t="s">
        <v>5033</v>
      </c>
      <c r="E768" s="3928" t="s">
        <v>5034</v>
      </c>
      <c r="F768" s="3928" t="s">
        <v>2438</v>
      </c>
      <c r="G768" s="3928" t="s">
        <v>24</v>
      </c>
      <c r="H768" s="3928" t="s">
        <v>2263</v>
      </c>
      <c r="I768" s="3928" t="s">
        <v>811</v>
      </c>
    </row>
    <row r="769" spans="1:9" ht="11.25" customHeight="1">
      <c r="A769" s="3928" t="s">
        <v>2258</v>
      </c>
      <c r="B769" s="3928" t="s">
        <v>14</v>
      </c>
      <c r="C769" s="3928" t="s">
        <v>5035</v>
      </c>
      <c r="D769" s="3928" t="s">
        <v>5036</v>
      </c>
      <c r="E769" s="3928" t="s">
        <v>5037</v>
      </c>
      <c r="F769" s="3928" t="s">
        <v>2438</v>
      </c>
      <c r="G769" s="3928" t="s">
        <v>5038</v>
      </c>
      <c r="H769" s="3928" t="s">
        <v>24</v>
      </c>
      <c r="I769" s="3928" t="s">
        <v>811</v>
      </c>
    </row>
    <row r="770" spans="1:9" ht="11.25" customHeight="1">
      <c r="A770" s="3928" t="s">
        <v>2258</v>
      </c>
      <c r="B770" s="3928" t="s">
        <v>14</v>
      </c>
      <c r="C770" s="3928" t="s">
        <v>5039</v>
      </c>
      <c r="D770" s="3928" t="s">
        <v>5040</v>
      </c>
      <c r="E770" s="3928" t="s">
        <v>5041</v>
      </c>
      <c r="F770" s="3928" t="s">
        <v>2486</v>
      </c>
      <c r="G770" s="3928" t="s">
        <v>24</v>
      </c>
      <c r="H770" s="3928" t="s">
        <v>2263</v>
      </c>
      <c r="I770" s="3928" t="s">
        <v>811</v>
      </c>
    </row>
    <row r="771" spans="1:9" ht="11.25" customHeight="1">
      <c r="A771" s="3928" t="s">
        <v>2258</v>
      </c>
      <c r="B771" s="3928" t="s">
        <v>14</v>
      </c>
      <c r="C771" s="3928" t="s">
        <v>5042</v>
      </c>
      <c r="D771" s="3928" t="s">
        <v>5043</v>
      </c>
      <c r="E771" s="3928" t="s">
        <v>5044</v>
      </c>
      <c r="F771" s="3928" t="s">
        <v>2638</v>
      </c>
      <c r="G771" s="3928" t="s">
        <v>24</v>
      </c>
      <c r="H771" s="3928" t="s">
        <v>24</v>
      </c>
      <c r="I771" s="3928" t="s">
        <v>811</v>
      </c>
    </row>
    <row r="772" spans="1:9" ht="11.25" customHeight="1">
      <c r="A772" s="3928" t="s">
        <v>2258</v>
      </c>
      <c r="B772" s="3928" t="s">
        <v>14</v>
      </c>
      <c r="C772" s="3928" t="s">
        <v>5045</v>
      </c>
      <c r="D772" s="3928" t="s">
        <v>5046</v>
      </c>
      <c r="E772" s="3928" t="s">
        <v>5047</v>
      </c>
      <c r="F772" s="3928" t="s">
        <v>2675</v>
      </c>
      <c r="G772" s="3928" t="s">
        <v>24</v>
      </c>
      <c r="H772" s="3928" t="s">
        <v>2263</v>
      </c>
      <c r="I772" s="3928" t="s">
        <v>811</v>
      </c>
    </row>
    <row r="773" spans="1:9" ht="11.25" customHeight="1">
      <c r="A773" s="3928" t="s">
        <v>2258</v>
      </c>
      <c r="B773" s="3928" t="s">
        <v>14</v>
      </c>
      <c r="C773" s="3928" t="s">
        <v>5048</v>
      </c>
      <c r="D773" s="3928" t="s">
        <v>5049</v>
      </c>
      <c r="E773" s="3928" t="s">
        <v>5030</v>
      </c>
      <c r="F773" s="3928" t="s">
        <v>5050</v>
      </c>
      <c r="G773" s="3928" t="s">
        <v>5051</v>
      </c>
      <c r="H773" s="3928" t="s">
        <v>2263</v>
      </c>
      <c r="I773" s="3928" t="s">
        <v>811</v>
      </c>
    </row>
    <row r="774" spans="1:9" ht="11.25" customHeight="1">
      <c r="A774" s="3928" t="s">
        <v>2258</v>
      </c>
      <c r="B774" s="3928" t="s">
        <v>14</v>
      </c>
      <c r="C774" s="3928" t="s">
        <v>5052</v>
      </c>
      <c r="D774" s="3928" t="s">
        <v>5053</v>
      </c>
      <c r="E774" s="3928" t="s">
        <v>5054</v>
      </c>
      <c r="F774" s="3928" t="s">
        <v>5055</v>
      </c>
      <c r="G774" s="3928" t="s">
        <v>24</v>
      </c>
      <c r="H774" s="3928" t="s">
        <v>5056</v>
      </c>
      <c r="I774" s="3928" t="s">
        <v>811</v>
      </c>
    </row>
    <row r="775" spans="1:9" ht="11.25" customHeight="1">
      <c r="A775" s="3928" t="s">
        <v>2258</v>
      </c>
      <c r="B775" s="3928" t="s">
        <v>14</v>
      </c>
      <c r="C775" s="3928" t="s">
        <v>5057</v>
      </c>
      <c r="D775" s="3928" t="s">
        <v>5058</v>
      </c>
      <c r="E775" s="3928" t="s">
        <v>5059</v>
      </c>
      <c r="F775" s="3928" t="s">
        <v>2354</v>
      </c>
      <c r="G775" s="3928" t="s">
        <v>24</v>
      </c>
      <c r="H775" s="3928" t="s">
        <v>3297</v>
      </c>
      <c r="I775" s="3928" t="s">
        <v>811</v>
      </c>
    </row>
    <row r="776" spans="1:9" ht="11.25" customHeight="1">
      <c r="A776" s="3928" t="s">
        <v>2258</v>
      </c>
      <c r="B776" s="3928" t="s">
        <v>14</v>
      </c>
      <c r="C776" s="3928" t="s">
        <v>5060</v>
      </c>
      <c r="D776" s="3928" t="s">
        <v>5061</v>
      </c>
      <c r="E776" s="3928" t="s">
        <v>5062</v>
      </c>
      <c r="F776" s="3928" t="s">
        <v>2780</v>
      </c>
      <c r="G776" s="3928" t="s">
        <v>24</v>
      </c>
      <c r="H776" s="3928" t="s">
        <v>3068</v>
      </c>
      <c r="I776" s="3928" t="s">
        <v>811</v>
      </c>
    </row>
    <row r="777" spans="1:9" ht="11.25" customHeight="1">
      <c r="A777" s="3928" t="s">
        <v>2258</v>
      </c>
      <c r="B777" s="3928" t="s">
        <v>14</v>
      </c>
      <c r="C777" s="3928" t="s">
        <v>5063</v>
      </c>
      <c r="D777" s="3928" t="s">
        <v>5064</v>
      </c>
      <c r="E777" s="3928" t="s">
        <v>5065</v>
      </c>
      <c r="F777" s="3928" t="s">
        <v>2294</v>
      </c>
      <c r="G777" s="3928" t="s">
        <v>5066</v>
      </c>
      <c r="H777" s="3928" t="s">
        <v>24</v>
      </c>
      <c r="I777" s="3928" t="s">
        <v>811</v>
      </c>
    </row>
    <row r="778" spans="1:9" ht="11.25" customHeight="1">
      <c r="A778" s="3928" t="s">
        <v>2258</v>
      </c>
      <c r="B778" s="3928" t="s">
        <v>14</v>
      </c>
      <c r="C778" s="3928" t="s">
        <v>5067</v>
      </c>
      <c r="D778" s="3928" t="s">
        <v>5068</v>
      </c>
      <c r="E778" s="3928" t="s">
        <v>5069</v>
      </c>
      <c r="F778" s="3928" t="s">
        <v>2429</v>
      </c>
      <c r="G778" s="3928" t="s">
        <v>5070</v>
      </c>
      <c r="H778" s="3928" t="s">
        <v>2263</v>
      </c>
      <c r="I778" s="3928" t="s">
        <v>811</v>
      </c>
    </row>
    <row r="779" spans="1:9" ht="11.25" customHeight="1">
      <c r="A779" s="3928" t="s">
        <v>2258</v>
      </c>
      <c r="B779" s="3928" t="s">
        <v>14</v>
      </c>
      <c r="C779" s="3928" t="s">
        <v>5071</v>
      </c>
      <c r="D779" s="3928" t="s">
        <v>5068</v>
      </c>
      <c r="E779" s="3928" t="s">
        <v>5072</v>
      </c>
      <c r="F779" s="3928" t="s">
        <v>2429</v>
      </c>
      <c r="G779" s="3928" t="s">
        <v>24</v>
      </c>
      <c r="H779" s="3928" t="s">
        <v>3522</v>
      </c>
      <c r="I779" s="3928" t="s">
        <v>811</v>
      </c>
    </row>
    <row r="780" spans="1:9" ht="11.25" customHeight="1">
      <c r="A780" s="3928" t="s">
        <v>2258</v>
      </c>
      <c r="B780" s="3928" t="s">
        <v>14</v>
      </c>
      <c r="C780" s="3928" t="s">
        <v>5073</v>
      </c>
      <c r="D780" s="3928" t="s">
        <v>5074</v>
      </c>
      <c r="E780" s="3928" t="s">
        <v>5075</v>
      </c>
      <c r="F780" s="3928" t="s">
        <v>2429</v>
      </c>
      <c r="G780" s="3928" t="s">
        <v>24</v>
      </c>
      <c r="H780" s="3928" t="s">
        <v>24</v>
      </c>
      <c r="I780" s="3928" t="s">
        <v>811</v>
      </c>
    </row>
    <row r="781" spans="1:9" ht="11.25" customHeight="1">
      <c r="A781" s="3928" t="s">
        <v>2258</v>
      </c>
      <c r="B781" s="3928" t="s">
        <v>14</v>
      </c>
      <c r="C781" s="3928" t="s">
        <v>5076</v>
      </c>
      <c r="D781" s="3928" t="s">
        <v>5077</v>
      </c>
      <c r="E781" s="3928" t="s">
        <v>5078</v>
      </c>
      <c r="F781" s="3928" t="s">
        <v>2429</v>
      </c>
      <c r="G781" s="3928" t="s">
        <v>5079</v>
      </c>
      <c r="H781" s="3928" t="s">
        <v>2263</v>
      </c>
      <c r="I781" s="3928" t="s">
        <v>811</v>
      </c>
    </row>
    <row r="782" spans="1:9" ht="11.25" customHeight="1">
      <c r="A782" s="3928" t="s">
        <v>2258</v>
      </c>
      <c r="B782" s="3928" t="s">
        <v>14</v>
      </c>
      <c r="C782" s="3928" t="s">
        <v>5080</v>
      </c>
      <c r="D782" s="3928" t="s">
        <v>5081</v>
      </c>
      <c r="E782" s="3928" t="s">
        <v>5082</v>
      </c>
      <c r="F782" s="3928" t="s">
        <v>2965</v>
      </c>
      <c r="G782" s="3928" t="s">
        <v>5083</v>
      </c>
      <c r="H782" s="3928" t="s">
        <v>24</v>
      </c>
      <c r="I782" s="3928" t="s">
        <v>811</v>
      </c>
    </row>
    <row r="783" spans="1:9" ht="11.25" customHeight="1">
      <c r="A783" s="3928" t="s">
        <v>2258</v>
      </c>
      <c r="B783" s="3928" t="s">
        <v>14</v>
      </c>
      <c r="C783" s="3928" t="s">
        <v>5084</v>
      </c>
      <c r="D783" s="3928" t="s">
        <v>5085</v>
      </c>
      <c r="E783" s="3928" t="s">
        <v>5086</v>
      </c>
      <c r="F783" s="3928" t="s">
        <v>2638</v>
      </c>
      <c r="G783" s="3928" t="s">
        <v>5087</v>
      </c>
      <c r="H783" s="3928" t="s">
        <v>24</v>
      </c>
      <c r="I783" s="3928" t="s">
        <v>811</v>
      </c>
    </row>
    <row r="784" spans="1:9" ht="11.25" customHeight="1">
      <c r="A784" s="3928" t="s">
        <v>2258</v>
      </c>
      <c r="B784" s="3928" t="s">
        <v>14</v>
      </c>
      <c r="C784" s="3928" t="s">
        <v>5088</v>
      </c>
      <c r="D784" s="3928" t="s">
        <v>5089</v>
      </c>
      <c r="E784" s="3928" t="s">
        <v>5090</v>
      </c>
      <c r="F784" s="3928" t="s">
        <v>4792</v>
      </c>
      <c r="G784" s="3928" t="s">
        <v>24</v>
      </c>
      <c r="H784" s="3928" t="s">
        <v>2263</v>
      </c>
      <c r="I784" s="3928" t="s">
        <v>811</v>
      </c>
    </row>
    <row r="785" spans="1:9" ht="11.25" customHeight="1">
      <c r="A785" s="3928" t="s">
        <v>2258</v>
      </c>
      <c r="B785" s="3928" t="s">
        <v>14</v>
      </c>
      <c r="C785" s="3928" t="s">
        <v>5091</v>
      </c>
      <c r="D785" s="3928" t="s">
        <v>5092</v>
      </c>
      <c r="E785" s="3928" t="s">
        <v>5093</v>
      </c>
      <c r="F785" s="3928" t="s">
        <v>2486</v>
      </c>
      <c r="G785" s="3928" t="s">
        <v>5094</v>
      </c>
      <c r="H785" s="3928" t="s">
        <v>24</v>
      </c>
      <c r="I785" s="3928" t="s">
        <v>811</v>
      </c>
    </row>
    <row r="786" spans="1:9" ht="11.25" customHeight="1">
      <c r="A786" s="3928" t="s">
        <v>2258</v>
      </c>
      <c r="B786" s="3928" t="s">
        <v>14</v>
      </c>
      <c r="C786" s="3928" t="s">
        <v>5095</v>
      </c>
      <c r="D786" s="3928" t="s">
        <v>5096</v>
      </c>
      <c r="E786" s="3928" t="s">
        <v>5097</v>
      </c>
      <c r="F786" s="3928" t="s">
        <v>5098</v>
      </c>
      <c r="G786" s="3928" t="s">
        <v>24</v>
      </c>
      <c r="H786" s="3928" t="s">
        <v>5099</v>
      </c>
      <c r="I786" s="3928" t="s">
        <v>811</v>
      </c>
    </row>
    <row r="787" spans="1:9" ht="11.25" customHeight="1">
      <c r="A787" s="3928" t="s">
        <v>2258</v>
      </c>
      <c r="B787" s="3928" t="s">
        <v>14</v>
      </c>
      <c r="C787" s="3928" t="s">
        <v>5100</v>
      </c>
      <c r="D787" s="3928" t="s">
        <v>5101</v>
      </c>
      <c r="E787" s="3928" t="s">
        <v>5102</v>
      </c>
      <c r="F787" s="3928" t="s">
        <v>49</v>
      </c>
      <c r="G787" s="3928" t="s">
        <v>2443</v>
      </c>
      <c r="H787" s="3928" t="s">
        <v>24</v>
      </c>
      <c r="I787" s="3928" t="s">
        <v>811</v>
      </c>
    </row>
    <row r="788" spans="1:9" ht="11.25" customHeight="1">
      <c r="A788" s="3928" t="s">
        <v>2258</v>
      </c>
      <c r="B788" s="3928" t="s">
        <v>14</v>
      </c>
      <c r="C788" s="3928" t="s">
        <v>5103</v>
      </c>
      <c r="D788" s="3928" t="s">
        <v>5104</v>
      </c>
      <c r="E788" s="3928" t="s">
        <v>5105</v>
      </c>
      <c r="F788" s="3928" t="s">
        <v>2397</v>
      </c>
      <c r="G788" s="3928" t="s">
        <v>5106</v>
      </c>
      <c r="H788" s="3928" t="s">
        <v>24</v>
      </c>
      <c r="I788" s="3928" t="s">
        <v>811</v>
      </c>
    </row>
    <row r="789" spans="1:9" ht="11.25" customHeight="1">
      <c r="A789" s="3928" t="s">
        <v>2258</v>
      </c>
      <c r="B789" s="3928" t="s">
        <v>14</v>
      </c>
      <c r="C789" s="3928" t="s">
        <v>5107</v>
      </c>
      <c r="D789" s="3928" t="s">
        <v>5108</v>
      </c>
      <c r="E789" s="3928" t="s">
        <v>5109</v>
      </c>
      <c r="F789" s="3928" t="s">
        <v>2486</v>
      </c>
      <c r="G789" s="3928" t="s">
        <v>5110</v>
      </c>
      <c r="H789" s="3928" t="s">
        <v>24</v>
      </c>
      <c r="I789" s="3928" t="s">
        <v>811</v>
      </c>
    </row>
    <row r="790" spans="1:9" ht="11.25" customHeight="1">
      <c r="A790" s="3928" t="s">
        <v>2258</v>
      </c>
      <c r="B790" s="3928" t="s">
        <v>14</v>
      </c>
      <c r="C790" s="3928" t="s">
        <v>5111</v>
      </c>
      <c r="D790" s="3928" t="s">
        <v>5112</v>
      </c>
      <c r="E790" s="3928" t="s">
        <v>5113</v>
      </c>
      <c r="F790" s="3928" t="s">
        <v>2397</v>
      </c>
      <c r="G790" s="3928" t="s">
        <v>5114</v>
      </c>
      <c r="H790" s="3928" t="s">
        <v>24</v>
      </c>
      <c r="I790" s="3928" t="s">
        <v>811</v>
      </c>
    </row>
    <row r="791" spans="1:9" ht="11.25" customHeight="1">
      <c r="A791" s="3928" t="s">
        <v>2258</v>
      </c>
      <c r="B791" s="3928" t="s">
        <v>14</v>
      </c>
      <c r="C791" s="3928" t="s">
        <v>5115</v>
      </c>
      <c r="D791" s="3928" t="s">
        <v>5116</v>
      </c>
      <c r="E791" s="3928" t="s">
        <v>5117</v>
      </c>
      <c r="F791" s="3928" t="s">
        <v>2675</v>
      </c>
      <c r="G791" s="3928" t="s">
        <v>24</v>
      </c>
      <c r="H791" s="3928" t="s">
        <v>2263</v>
      </c>
      <c r="I791" s="3928" t="s">
        <v>811</v>
      </c>
    </row>
    <row r="792" spans="1:9" ht="11.25" customHeight="1">
      <c r="A792" s="3928" t="s">
        <v>2258</v>
      </c>
      <c r="B792" s="3928" t="s">
        <v>14</v>
      </c>
      <c r="C792" s="3928" t="s">
        <v>5118</v>
      </c>
      <c r="D792" s="3928" t="s">
        <v>5119</v>
      </c>
      <c r="E792" s="3928" t="s">
        <v>5120</v>
      </c>
      <c r="F792" s="3928" t="s">
        <v>2587</v>
      </c>
      <c r="G792" s="3928" t="s">
        <v>24</v>
      </c>
      <c r="H792" s="3928" t="s">
        <v>24</v>
      </c>
      <c r="I792" s="3928" t="s">
        <v>811</v>
      </c>
    </row>
    <row r="793" spans="1:9" ht="11.25" customHeight="1">
      <c r="A793" s="3928" t="s">
        <v>2258</v>
      </c>
      <c r="B793" s="3928" t="s">
        <v>14</v>
      </c>
      <c r="C793" s="3928" t="s">
        <v>5121</v>
      </c>
      <c r="D793" s="3928" t="s">
        <v>5122</v>
      </c>
      <c r="E793" s="3928" t="s">
        <v>5123</v>
      </c>
      <c r="F793" s="3928" t="s">
        <v>2405</v>
      </c>
      <c r="G793" s="3928" t="s">
        <v>5124</v>
      </c>
      <c r="H793" s="3928" t="s">
        <v>24</v>
      </c>
      <c r="I793" s="3928" t="s">
        <v>811</v>
      </c>
    </row>
    <row r="794" spans="1:9" ht="11.25" customHeight="1">
      <c r="A794" s="3928" t="s">
        <v>2258</v>
      </c>
      <c r="B794" s="3928" t="s">
        <v>14</v>
      </c>
      <c r="C794" s="3928" t="s">
        <v>5125</v>
      </c>
      <c r="D794" s="3928" t="s">
        <v>5126</v>
      </c>
      <c r="E794" s="3928" t="s">
        <v>5127</v>
      </c>
      <c r="F794" s="3928" t="s">
        <v>2567</v>
      </c>
      <c r="G794" s="3928" t="s">
        <v>24</v>
      </c>
      <c r="H794" s="3928" t="s">
        <v>24</v>
      </c>
      <c r="I794" s="3928" t="s">
        <v>811</v>
      </c>
    </row>
    <row r="795" spans="1:9" ht="11.25" customHeight="1">
      <c r="A795" s="3928" t="s">
        <v>2258</v>
      </c>
      <c r="B795" s="3928" t="s">
        <v>14</v>
      </c>
      <c r="C795" s="3928" t="s">
        <v>5128</v>
      </c>
      <c r="D795" s="3928" t="s">
        <v>5129</v>
      </c>
      <c r="E795" s="3928" t="s">
        <v>5130</v>
      </c>
      <c r="F795" s="3928" t="s">
        <v>2469</v>
      </c>
      <c r="G795" s="3928" t="s">
        <v>24</v>
      </c>
      <c r="H795" s="3928" t="s">
        <v>24</v>
      </c>
      <c r="I795" s="3928" t="s">
        <v>811</v>
      </c>
    </row>
    <row r="796" spans="1:9" ht="11.25" customHeight="1">
      <c r="A796" s="3928" t="s">
        <v>2258</v>
      </c>
      <c r="B796" s="3928" t="s">
        <v>14</v>
      </c>
      <c r="C796" s="3928" t="s">
        <v>5131</v>
      </c>
      <c r="D796" s="3928" t="s">
        <v>5132</v>
      </c>
      <c r="E796" s="3928" t="s">
        <v>5133</v>
      </c>
      <c r="F796" s="3928" t="s">
        <v>2309</v>
      </c>
      <c r="G796" s="3928" t="s">
        <v>24</v>
      </c>
      <c r="H796" s="3928" t="s">
        <v>2263</v>
      </c>
      <c r="I796" s="3928" t="s">
        <v>811</v>
      </c>
    </row>
    <row r="797" spans="1:9" ht="11.25" customHeight="1">
      <c r="A797" s="3928" t="s">
        <v>2258</v>
      </c>
      <c r="B797" s="3928" t="s">
        <v>14</v>
      </c>
      <c r="C797" s="3928" t="s">
        <v>5134</v>
      </c>
      <c r="D797" s="3928" t="s">
        <v>5135</v>
      </c>
      <c r="E797" s="3928" t="s">
        <v>5136</v>
      </c>
      <c r="F797" s="3928" t="s">
        <v>2294</v>
      </c>
      <c r="G797" s="3928" t="s">
        <v>5137</v>
      </c>
      <c r="H797" s="3928" t="s">
        <v>2945</v>
      </c>
      <c r="I797" s="3928" t="s">
        <v>811</v>
      </c>
    </row>
    <row r="798" spans="1:9" ht="11.25" customHeight="1">
      <c r="A798" s="3928" t="s">
        <v>2258</v>
      </c>
      <c r="B798" s="3928" t="s">
        <v>14</v>
      </c>
      <c r="C798" s="3928" t="s">
        <v>5138</v>
      </c>
      <c r="D798" s="3928" t="s">
        <v>5139</v>
      </c>
      <c r="E798" s="3928" t="s">
        <v>5140</v>
      </c>
      <c r="F798" s="3928" t="s">
        <v>2688</v>
      </c>
      <c r="G798" s="3928" t="s">
        <v>5141</v>
      </c>
      <c r="H798" s="3928" t="s">
        <v>24</v>
      </c>
      <c r="I798" s="3928" t="s">
        <v>811</v>
      </c>
    </row>
    <row r="799" spans="1:9" ht="11.25" customHeight="1">
      <c r="A799" s="3928" t="s">
        <v>2258</v>
      </c>
      <c r="B799" s="3928" t="s">
        <v>14</v>
      </c>
      <c r="C799" s="3928" t="s">
        <v>5142</v>
      </c>
      <c r="D799" s="3928" t="s">
        <v>5143</v>
      </c>
      <c r="E799" s="3928" t="s">
        <v>5144</v>
      </c>
      <c r="F799" s="3928" t="s">
        <v>2473</v>
      </c>
      <c r="G799" s="3928" t="s">
        <v>5145</v>
      </c>
      <c r="H799" s="3928" t="s">
        <v>24</v>
      </c>
      <c r="I799" s="3928" t="s">
        <v>811</v>
      </c>
    </row>
    <row r="800" spans="1:9" ht="11.25" customHeight="1">
      <c r="A800" s="3928" t="s">
        <v>2258</v>
      </c>
      <c r="B800" s="3928" t="s">
        <v>14</v>
      </c>
      <c r="C800" s="3928" t="s">
        <v>5146</v>
      </c>
      <c r="D800" s="3928" t="s">
        <v>5147</v>
      </c>
      <c r="E800" s="3928" t="s">
        <v>5120</v>
      </c>
      <c r="F800" s="3928" t="s">
        <v>5148</v>
      </c>
      <c r="G800" s="3928" t="s">
        <v>24</v>
      </c>
      <c r="H800" s="3928" t="s">
        <v>24</v>
      </c>
      <c r="I800" s="3928" t="s">
        <v>811</v>
      </c>
    </row>
    <row r="801" spans="1:9" ht="11.25" customHeight="1">
      <c r="A801" s="3928" t="s">
        <v>2258</v>
      </c>
      <c r="B801" s="3928" t="s">
        <v>14</v>
      </c>
      <c r="C801" s="3928" t="s">
        <v>5149</v>
      </c>
      <c r="D801" s="3928" t="s">
        <v>5150</v>
      </c>
      <c r="E801" s="3928" t="s">
        <v>5151</v>
      </c>
      <c r="F801" s="3928" t="s">
        <v>2587</v>
      </c>
      <c r="G801" s="3928" t="s">
        <v>24</v>
      </c>
      <c r="H801" s="3928" t="s">
        <v>24</v>
      </c>
      <c r="I801" s="3928" t="s">
        <v>811</v>
      </c>
    </row>
    <row r="802" spans="1:9" ht="11.25" customHeight="1">
      <c r="A802" s="3928" t="s">
        <v>2258</v>
      </c>
      <c r="B802" s="3928" t="s">
        <v>14</v>
      </c>
      <c r="C802" s="3928" t="s">
        <v>5152</v>
      </c>
      <c r="D802" s="3928" t="s">
        <v>5153</v>
      </c>
      <c r="E802" s="3928" t="s">
        <v>5154</v>
      </c>
      <c r="F802" s="3928" t="s">
        <v>4839</v>
      </c>
      <c r="G802" s="3928" t="s">
        <v>24</v>
      </c>
      <c r="H802" s="3928" t="s">
        <v>24</v>
      </c>
      <c r="I802" s="3928" t="s">
        <v>811</v>
      </c>
    </row>
    <row r="803" spans="1:9" ht="11.25" customHeight="1">
      <c r="A803" s="3928" t="s">
        <v>2258</v>
      </c>
      <c r="B803" s="3928" t="s">
        <v>14</v>
      </c>
      <c r="C803" s="3928" t="s">
        <v>5155</v>
      </c>
      <c r="D803" s="3928" t="s">
        <v>5156</v>
      </c>
      <c r="E803" s="3928" t="s">
        <v>5154</v>
      </c>
      <c r="F803" s="3928" t="s">
        <v>5157</v>
      </c>
      <c r="G803" s="3928" t="s">
        <v>24</v>
      </c>
      <c r="H803" s="3928" t="s">
        <v>2263</v>
      </c>
      <c r="I803" s="3928" t="s">
        <v>811</v>
      </c>
    </row>
    <row r="804" spans="1:9" ht="11.25" customHeight="1">
      <c r="A804" s="3928" t="s">
        <v>2258</v>
      </c>
      <c r="B804" s="3928" t="s">
        <v>14</v>
      </c>
      <c r="C804" s="3928" t="s">
        <v>5158</v>
      </c>
      <c r="D804" s="3928" t="s">
        <v>5159</v>
      </c>
      <c r="E804" s="3928" t="s">
        <v>5160</v>
      </c>
      <c r="F804" s="3928" t="s">
        <v>2344</v>
      </c>
      <c r="G804" s="3928" t="s">
        <v>24</v>
      </c>
      <c r="H804" s="3928" t="s">
        <v>24</v>
      </c>
      <c r="I804" s="3928" t="s">
        <v>811</v>
      </c>
    </row>
    <row r="805" spans="1:9" ht="11.25" customHeight="1">
      <c r="A805" s="3928" t="s">
        <v>2258</v>
      </c>
      <c r="B805" s="3928" t="s">
        <v>14</v>
      </c>
      <c r="C805" s="3928" t="s">
        <v>5161</v>
      </c>
      <c r="D805" s="3928" t="s">
        <v>5162</v>
      </c>
      <c r="E805" s="3928" t="s">
        <v>5163</v>
      </c>
      <c r="F805" s="3928" t="s">
        <v>5164</v>
      </c>
      <c r="G805" s="3928" t="s">
        <v>5165</v>
      </c>
      <c r="H805" s="3928" t="s">
        <v>24</v>
      </c>
      <c r="I805" s="3928" t="s">
        <v>811</v>
      </c>
    </row>
    <row r="806" spans="1:9" ht="11.25" customHeight="1">
      <c r="A806" s="3928" t="s">
        <v>2258</v>
      </c>
      <c r="B806" s="3928" t="s">
        <v>14</v>
      </c>
      <c r="C806" s="3928" t="s">
        <v>5166</v>
      </c>
      <c r="D806" s="3928" t="s">
        <v>5167</v>
      </c>
      <c r="E806" s="3928" t="s">
        <v>5168</v>
      </c>
      <c r="F806" s="3928" t="s">
        <v>49</v>
      </c>
      <c r="G806" s="3928" t="s">
        <v>24</v>
      </c>
      <c r="H806" s="3928" t="s">
        <v>5169</v>
      </c>
      <c r="I806" s="3928" t="s">
        <v>811</v>
      </c>
    </row>
    <row r="807" spans="1:9" ht="11.25" customHeight="1">
      <c r="A807" s="3928" t="s">
        <v>2258</v>
      </c>
      <c r="B807" s="3928" t="s">
        <v>14</v>
      </c>
      <c r="C807" s="3928" t="s">
        <v>5170</v>
      </c>
      <c r="D807" s="3928" t="s">
        <v>5171</v>
      </c>
      <c r="E807" s="3928" t="s">
        <v>5172</v>
      </c>
      <c r="F807" s="3928" t="s">
        <v>2965</v>
      </c>
      <c r="G807" s="3928" t="s">
        <v>5173</v>
      </c>
      <c r="H807" s="3928" t="s">
        <v>2263</v>
      </c>
      <c r="I807" s="3928" t="s">
        <v>811</v>
      </c>
    </row>
    <row r="808" spans="1:9" ht="11.25" customHeight="1">
      <c r="A808" s="3928" t="s">
        <v>2258</v>
      </c>
      <c r="B808" s="3928" t="s">
        <v>14</v>
      </c>
      <c r="C808" s="3928" t="s">
        <v>5174</v>
      </c>
      <c r="D808" s="3928" t="s">
        <v>5175</v>
      </c>
      <c r="E808" s="3928" t="s">
        <v>5176</v>
      </c>
      <c r="F808" s="3928" t="s">
        <v>2414</v>
      </c>
      <c r="G808" s="3928" t="s">
        <v>2263</v>
      </c>
      <c r="H808" s="3928" t="s">
        <v>2263</v>
      </c>
      <c r="I808" s="3928" t="s">
        <v>811</v>
      </c>
    </row>
    <row r="809" spans="1:9" ht="11.25" customHeight="1">
      <c r="A809" s="3928" t="s">
        <v>2258</v>
      </c>
      <c r="B809" s="3928" t="s">
        <v>14</v>
      </c>
      <c r="C809" s="3928" t="s">
        <v>5177</v>
      </c>
      <c r="D809" s="3928" t="s">
        <v>5178</v>
      </c>
      <c r="E809" s="3928" t="s">
        <v>5179</v>
      </c>
      <c r="F809" s="3928" t="s">
        <v>2780</v>
      </c>
      <c r="G809" s="3928" t="s">
        <v>24</v>
      </c>
      <c r="H809" s="3928" t="s">
        <v>2263</v>
      </c>
      <c r="I809" s="3928" t="s">
        <v>811</v>
      </c>
    </row>
    <row r="810" spans="1:9" ht="11.25" customHeight="1">
      <c r="A810" s="3928" t="s">
        <v>2258</v>
      </c>
      <c r="B810" s="3928" t="s">
        <v>14</v>
      </c>
      <c r="C810" s="3928" t="s">
        <v>5180</v>
      </c>
      <c r="D810" s="3928" t="s">
        <v>5181</v>
      </c>
      <c r="E810" s="3928" t="s">
        <v>5182</v>
      </c>
      <c r="F810" s="3928" t="s">
        <v>2624</v>
      </c>
      <c r="G810" s="3928" t="s">
        <v>24</v>
      </c>
      <c r="H810" s="3928" t="s">
        <v>2263</v>
      </c>
      <c r="I810" s="3928" t="s">
        <v>811</v>
      </c>
    </row>
    <row r="811" spans="1:9" ht="11.25" customHeight="1">
      <c r="A811" s="3928" t="s">
        <v>2258</v>
      </c>
      <c r="B811" s="3928" t="s">
        <v>14</v>
      </c>
      <c r="C811" s="3928" t="s">
        <v>5183</v>
      </c>
      <c r="D811" s="3928" t="s">
        <v>5184</v>
      </c>
      <c r="E811" s="3928" t="s">
        <v>5185</v>
      </c>
      <c r="F811" s="3928" t="s">
        <v>5186</v>
      </c>
      <c r="G811" s="3928" t="s">
        <v>5187</v>
      </c>
      <c r="H811" s="3928" t="s">
        <v>24</v>
      </c>
      <c r="I811" s="3928" t="s">
        <v>811</v>
      </c>
    </row>
    <row r="812" spans="1:9" ht="11.25" customHeight="1">
      <c r="A812" s="3928" t="s">
        <v>2258</v>
      </c>
      <c r="B812" s="3928" t="s">
        <v>14</v>
      </c>
      <c r="C812" s="3928" t="s">
        <v>5188</v>
      </c>
      <c r="D812" s="3928" t="s">
        <v>5189</v>
      </c>
      <c r="E812" s="3928" t="s">
        <v>5190</v>
      </c>
      <c r="F812" s="3928" t="s">
        <v>2289</v>
      </c>
      <c r="G812" s="3928" t="s">
        <v>24</v>
      </c>
      <c r="H812" s="3928" t="s">
        <v>2263</v>
      </c>
      <c r="I812" s="3928" t="s">
        <v>811</v>
      </c>
    </row>
    <row r="813" spans="1:9" ht="11.25" customHeight="1">
      <c r="A813" s="3928" t="s">
        <v>2258</v>
      </c>
      <c r="B813" s="3928" t="s">
        <v>14</v>
      </c>
      <c r="C813" s="3928" t="s">
        <v>5191</v>
      </c>
      <c r="D813" s="3928" t="s">
        <v>5192</v>
      </c>
      <c r="E813" s="3928" t="s">
        <v>5193</v>
      </c>
      <c r="F813" s="3928" t="s">
        <v>2309</v>
      </c>
      <c r="G813" s="3928" t="s">
        <v>24</v>
      </c>
      <c r="H813" s="3928" t="s">
        <v>2263</v>
      </c>
      <c r="I813" s="3928" t="s">
        <v>811</v>
      </c>
    </row>
    <row r="814" spans="1:9" ht="11.25" customHeight="1">
      <c r="A814" s="3928" t="s">
        <v>2258</v>
      </c>
      <c r="B814" s="3928" t="s">
        <v>14</v>
      </c>
      <c r="C814" s="3928" t="s">
        <v>5194</v>
      </c>
      <c r="D814" s="3928" t="s">
        <v>5192</v>
      </c>
      <c r="E814" s="3928" t="s">
        <v>5193</v>
      </c>
      <c r="F814" s="3928" t="s">
        <v>2289</v>
      </c>
      <c r="G814" s="3928" t="s">
        <v>24</v>
      </c>
      <c r="H814" s="3928" t="s">
        <v>2263</v>
      </c>
      <c r="I814" s="3928" t="s">
        <v>811</v>
      </c>
    </row>
    <row r="815" spans="1:9" ht="11.25" customHeight="1">
      <c r="A815" s="3928" t="s">
        <v>2258</v>
      </c>
      <c r="B815" s="3928" t="s">
        <v>14</v>
      </c>
      <c r="C815" s="3928" t="s">
        <v>5195</v>
      </c>
      <c r="D815" s="3928" t="s">
        <v>5196</v>
      </c>
      <c r="E815" s="3928" t="s">
        <v>5197</v>
      </c>
      <c r="F815" s="3928" t="s">
        <v>2746</v>
      </c>
      <c r="G815" s="3928" t="s">
        <v>24</v>
      </c>
      <c r="H815" s="3928" t="s">
        <v>24</v>
      </c>
      <c r="I815" s="3928" t="s">
        <v>811</v>
      </c>
    </row>
    <row r="816" spans="1:9" ht="11.25" customHeight="1">
      <c r="A816" s="3928" t="s">
        <v>2258</v>
      </c>
      <c r="B816" s="3928" t="s">
        <v>14</v>
      </c>
      <c r="C816" s="3928" t="s">
        <v>5198</v>
      </c>
      <c r="D816" s="3928" t="s">
        <v>5199</v>
      </c>
      <c r="E816" s="3928" t="s">
        <v>5200</v>
      </c>
      <c r="F816" s="3928" t="s">
        <v>2389</v>
      </c>
      <c r="G816" s="3928" t="s">
        <v>2518</v>
      </c>
      <c r="H816" s="3928" t="s">
        <v>24</v>
      </c>
      <c r="I816" s="3928" t="s">
        <v>811</v>
      </c>
    </row>
    <row r="817" spans="1:9" ht="11.25" customHeight="1">
      <c r="A817" s="3928" t="s">
        <v>2258</v>
      </c>
      <c r="B817" s="3928" t="s">
        <v>14</v>
      </c>
      <c r="C817" s="3928" t="s">
        <v>5201</v>
      </c>
      <c r="D817" s="3928" t="s">
        <v>5202</v>
      </c>
      <c r="E817" s="3928" t="s">
        <v>5203</v>
      </c>
      <c r="F817" s="3928" t="s">
        <v>2675</v>
      </c>
      <c r="G817" s="3928" t="s">
        <v>24</v>
      </c>
      <c r="H817" s="3928" t="s">
        <v>2263</v>
      </c>
      <c r="I817" s="3928" t="s">
        <v>811</v>
      </c>
    </row>
    <row r="818" spans="1:9" ht="11.25" customHeight="1">
      <c r="A818" s="3928" t="s">
        <v>2258</v>
      </c>
      <c r="B818" s="3928" t="s">
        <v>14</v>
      </c>
      <c r="C818" s="3928" t="s">
        <v>5204</v>
      </c>
      <c r="D818" s="3928" t="s">
        <v>5205</v>
      </c>
      <c r="E818" s="3928" t="s">
        <v>5206</v>
      </c>
      <c r="F818" s="3928" t="s">
        <v>2304</v>
      </c>
      <c r="G818" s="3928" t="s">
        <v>5207</v>
      </c>
      <c r="H818" s="3928" t="s">
        <v>5208</v>
      </c>
      <c r="I818" s="3928" t="s">
        <v>811</v>
      </c>
    </row>
    <row r="819" spans="1:9" ht="11.25" customHeight="1">
      <c r="A819" s="3928" t="s">
        <v>2258</v>
      </c>
      <c r="B819" s="3928" t="s">
        <v>14</v>
      </c>
      <c r="C819" s="3928" t="s">
        <v>5209</v>
      </c>
      <c r="D819" s="3928" t="s">
        <v>5210</v>
      </c>
      <c r="E819" s="3928" t="s">
        <v>5211</v>
      </c>
      <c r="F819" s="3928" t="s">
        <v>2473</v>
      </c>
      <c r="G819" s="3928" t="s">
        <v>5212</v>
      </c>
      <c r="H819" s="3928" t="s">
        <v>5213</v>
      </c>
      <c r="I819" s="3928" t="s">
        <v>811</v>
      </c>
    </row>
    <row r="820" spans="1:9" ht="11.25" customHeight="1">
      <c r="A820" s="3928" t="s">
        <v>2258</v>
      </c>
      <c r="B820" s="3928" t="s">
        <v>14</v>
      </c>
      <c r="C820" s="3928" t="s">
        <v>5214</v>
      </c>
      <c r="D820" s="3928" t="s">
        <v>5215</v>
      </c>
      <c r="E820" s="3928" t="s">
        <v>5216</v>
      </c>
      <c r="F820" s="3928" t="s">
        <v>2567</v>
      </c>
      <c r="G820" s="3928" t="s">
        <v>24</v>
      </c>
      <c r="H820" s="3928" t="s">
        <v>24</v>
      </c>
      <c r="I820" s="3928" t="s">
        <v>811</v>
      </c>
    </row>
    <row r="821" spans="1:9" ht="11.25" customHeight="1">
      <c r="A821" s="3928" t="s">
        <v>2258</v>
      </c>
      <c r="B821" s="3928" t="s">
        <v>14</v>
      </c>
      <c r="C821" s="3928" t="s">
        <v>5217</v>
      </c>
      <c r="D821" s="3928" t="s">
        <v>5218</v>
      </c>
      <c r="E821" s="3928" t="s">
        <v>5219</v>
      </c>
      <c r="F821" s="3928" t="s">
        <v>2473</v>
      </c>
      <c r="G821" s="3928" t="s">
        <v>5220</v>
      </c>
      <c r="H821" s="3928" t="s">
        <v>24</v>
      </c>
      <c r="I821" s="3928" t="s">
        <v>811</v>
      </c>
    </row>
    <row r="822" spans="1:9" ht="11.25" customHeight="1">
      <c r="A822" s="3928" t="s">
        <v>2258</v>
      </c>
      <c r="B822" s="3928" t="s">
        <v>14</v>
      </c>
      <c r="C822" s="3928" t="s">
        <v>5221</v>
      </c>
      <c r="D822" s="3928" t="s">
        <v>5222</v>
      </c>
      <c r="E822" s="3928" t="s">
        <v>5223</v>
      </c>
      <c r="F822" s="3928" t="s">
        <v>3039</v>
      </c>
      <c r="G822" s="3928" t="s">
        <v>5224</v>
      </c>
      <c r="H822" s="3928" t="s">
        <v>24</v>
      </c>
      <c r="I822" s="3928" t="s">
        <v>811</v>
      </c>
    </row>
    <row r="823" spans="1:9" ht="11.25" customHeight="1">
      <c r="A823" s="3928" t="s">
        <v>2258</v>
      </c>
      <c r="B823" s="3928" t="s">
        <v>14</v>
      </c>
      <c r="C823" s="3928" t="s">
        <v>5225</v>
      </c>
      <c r="D823" s="3928" t="s">
        <v>5226</v>
      </c>
      <c r="E823" s="3928" t="s">
        <v>5227</v>
      </c>
      <c r="F823" s="3928" t="s">
        <v>4721</v>
      </c>
      <c r="G823" s="3928" t="s">
        <v>5228</v>
      </c>
      <c r="H823" s="3928" t="s">
        <v>5229</v>
      </c>
      <c r="I823" s="3928" t="s">
        <v>811</v>
      </c>
    </row>
    <row r="824" spans="1:9" ht="11.25" customHeight="1">
      <c r="A824" s="3928" t="s">
        <v>2258</v>
      </c>
      <c r="B824" s="3928" t="s">
        <v>14</v>
      </c>
      <c r="C824" s="3928" t="s">
        <v>5230</v>
      </c>
      <c r="D824" s="3928" t="s">
        <v>5231</v>
      </c>
      <c r="E824" s="3928" t="s">
        <v>5232</v>
      </c>
      <c r="F824" s="3928" t="s">
        <v>2587</v>
      </c>
      <c r="G824" s="3928" t="s">
        <v>5233</v>
      </c>
      <c r="H824" s="3928" t="s">
        <v>24</v>
      </c>
      <c r="I824" s="3928" t="s">
        <v>811</v>
      </c>
    </row>
    <row r="825" spans="1:9" ht="11.25" customHeight="1">
      <c r="A825" s="3928" t="s">
        <v>2258</v>
      </c>
      <c r="B825" s="3928" t="s">
        <v>14</v>
      </c>
      <c r="C825" s="3928" t="s">
        <v>5234</v>
      </c>
      <c r="D825" s="3928" t="s">
        <v>5231</v>
      </c>
      <c r="E825" s="3928" t="s">
        <v>5235</v>
      </c>
      <c r="F825" s="3928" t="s">
        <v>2397</v>
      </c>
      <c r="G825" s="3928" t="s">
        <v>5236</v>
      </c>
      <c r="H825" s="3928" t="s">
        <v>24</v>
      </c>
      <c r="I825" s="3928" t="s">
        <v>811</v>
      </c>
    </row>
    <row r="826" spans="1:9" ht="11.25" customHeight="1">
      <c r="A826" s="3928" t="s">
        <v>2258</v>
      </c>
      <c r="B826" s="3928" t="s">
        <v>14</v>
      </c>
      <c r="C826" s="3928" t="s">
        <v>5237</v>
      </c>
      <c r="D826" s="3928" t="s">
        <v>5238</v>
      </c>
      <c r="E826" s="3928" t="s">
        <v>5239</v>
      </c>
      <c r="F826" s="3928" t="s">
        <v>2675</v>
      </c>
      <c r="G826" s="3928" t="s">
        <v>24</v>
      </c>
      <c r="H826" s="3928" t="s">
        <v>24</v>
      </c>
      <c r="I826" s="3928" t="s">
        <v>811</v>
      </c>
    </row>
    <row r="827" spans="1:9" ht="11.25" customHeight="1">
      <c r="A827" s="3928" t="s">
        <v>2258</v>
      </c>
      <c r="B827" s="3928" t="s">
        <v>14</v>
      </c>
      <c r="C827" s="3928" t="s">
        <v>5240</v>
      </c>
      <c r="D827" s="3928" t="s">
        <v>5241</v>
      </c>
      <c r="E827" s="3928" t="s">
        <v>5242</v>
      </c>
      <c r="F827" s="3928" t="s">
        <v>2473</v>
      </c>
      <c r="G827" s="3928" t="s">
        <v>5243</v>
      </c>
      <c r="H827" s="3928" t="s">
        <v>24</v>
      </c>
      <c r="I827" s="3928" t="s">
        <v>811</v>
      </c>
    </row>
    <row r="828" spans="1:9" ht="11.25" customHeight="1">
      <c r="A828" s="3928" t="s">
        <v>2258</v>
      </c>
      <c r="B828" s="3928" t="s">
        <v>14</v>
      </c>
      <c r="C828" s="3928" t="s">
        <v>5244</v>
      </c>
      <c r="D828" s="3928" t="s">
        <v>5245</v>
      </c>
      <c r="E828" s="3928" t="s">
        <v>5246</v>
      </c>
      <c r="F828" s="3928" t="s">
        <v>2863</v>
      </c>
      <c r="G828" s="3928" t="s">
        <v>5247</v>
      </c>
      <c r="H828" s="3928" t="s">
        <v>24</v>
      </c>
      <c r="I828" s="3928" t="s">
        <v>811</v>
      </c>
    </row>
    <row r="829" spans="1:9" ht="11.25" customHeight="1">
      <c r="A829" s="3928" t="s">
        <v>2258</v>
      </c>
      <c r="B829" s="3928" t="s">
        <v>14</v>
      </c>
      <c r="C829" s="3928" t="s">
        <v>5248</v>
      </c>
      <c r="D829" s="3928" t="s">
        <v>5249</v>
      </c>
      <c r="E829" s="3928" t="s">
        <v>5246</v>
      </c>
      <c r="F829" s="3928" t="s">
        <v>5250</v>
      </c>
      <c r="G829" s="3928" t="s">
        <v>5251</v>
      </c>
      <c r="H829" s="3928" t="s">
        <v>24</v>
      </c>
      <c r="I829" s="3928" t="s">
        <v>811</v>
      </c>
    </row>
    <row r="830" spans="1:9" ht="11.25" customHeight="1">
      <c r="A830" s="3928" t="s">
        <v>2258</v>
      </c>
      <c r="B830" s="3928" t="s">
        <v>14</v>
      </c>
      <c r="C830" s="3928" t="s">
        <v>5252</v>
      </c>
      <c r="D830" s="3928" t="s">
        <v>5253</v>
      </c>
      <c r="E830" s="3928" t="s">
        <v>5254</v>
      </c>
      <c r="F830" s="3928" t="s">
        <v>49</v>
      </c>
      <c r="G830" s="3928" t="s">
        <v>5255</v>
      </c>
      <c r="H830" s="3928" t="s">
        <v>24</v>
      </c>
      <c r="I830" s="3928" t="s">
        <v>811</v>
      </c>
    </row>
    <row r="831" spans="1:9" ht="11.25" customHeight="1">
      <c r="A831" s="3928" t="s">
        <v>2258</v>
      </c>
      <c r="B831" s="3928" t="s">
        <v>14</v>
      </c>
      <c r="C831" s="3928" t="s">
        <v>5256</v>
      </c>
      <c r="D831" s="3928" t="s">
        <v>5253</v>
      </c>
      <c r="E831" s="3928" t="s">
        <v>5257</v>
      </c>
      <c r="F831" s="3928" t="s">
        <v>2486</v>
      </c>
      <c r="G831" s="3928" t="s">
        <v>2443</v>
      </c>
      <c r="H831" s="3928" t="s">
        <v>24</v>
      </c>
      <c r="I831" s="3928" t="s">
        <v>811</v>
      </c>
    </row>
    <row r="832" spans="1:9" ht="11.25" customHeight="1">
      <c r="A832" s="3928" t="s">
        <v>2258</v>
      </c>
      <c r="B832" s="3928" t="s">
        <v>14</v>
      </c>
      <c r="C832" s="3928" t="s">
        <v>5258</v>
      </c>
      <c r="D832" s="3928" t="s">
        <v>5259</v>
      </c>
      <c r="E832" s="3928" t="s">
        <v>5260</v>
      </c>
      <c r="F832" s="3928" t="s">
        <v>2473</v>
      </c>
      <c r="G832" s="3928" t="s">
        <v>5261</v>
      </c>
      <c r="H832" s="3928" t="s">
        <v>5262</v>
      </c>
      <c r="I832" s="3928" t="s">
        <v>811</v>
      </c>
    </row>
    <row r="833" spans="1:9" ht="11.25" customHeight="1">
      <c r="A833" s="3928" t="s">
        <v>2258</v>
      </c>
      <c r="B833" s="3928" t="s">
        <v>14</v>
      </c>
      <c r="C833" s="3928" t="s">
        <v>5263</v>
      </c>
      <c r="D833" s="3928" t="s">
        <v>5264</v>
      </c>
      <c r="E833" s="3928" t="s">
        <v>5265</v>
      </c>
      <c r="F833" s="3928" t="s">
        <v>2675</v>
      </c>
      <c r="G833" s="3928" t="s">
        <v>24</v>
      </c>
      <c r="H833" s="3928" t="s">
        <v>3068</v>
      </c>
      <c r="I833" s="3928" t="s">
        <v>811</v>
      </c>
    </row>
    <row r="834" spans="1:9" ht="11.25" customHeight="1">
      <c r="A834" s="3928" t="s">
        <v>2258</v>
      </c>
      <c r="B834" s="3928" t="s">
        <v>14</v>
      </c>
      <c r="C834" s="3928" t="s">
        <v>5266</v>
      </c>
      <c r="D834" s="3928" t="s">
        <v>5267</v>
      </c>
      <c r="E834" s="3928" t="s">
        <v>5268</v>
      </c>
      <c r="F834" s="3928" t="s">
        <v>2294</v>
      </c>
      <c r="G834" s="3928" t="s">
        <v>5269</v>
      </c>
      <c r="H834" s="3928" t="s">
        <v>24</v>
      </c>
      <c r="I834" s="3928" t="s">
        <v>811</v>
      </c>
    </row>
    <row r="835" spans="1:9" ht="11.25" customHeight="1">
      <c r="A835" s="3928" t="s">
        <v>2258</v>
      </c>
      <c r="B835" s="3928" t="s">
        <v>14</v>
      </c>
      <c r="C835" s="3928" t="s">
        <v>5270</v>
      </c>
      <c r="D835" s="3928" t="s">
        <v>5271</v>
      </c>
      <c r="E835" s="3928" t="s">
        <v>5272</v>
      </c>
      <c r="F835" s="3928" t="s">
        <v>2397</v>
      </c>
      <c r="G835" s="3928" t="s">
        <v>5273</v>
      </c>
      <c r="H835" s="3928" t="s">
        <v>24</v>
      </c>
      <c r="I835" s="3928" t="s">
        <v>811</v>
      </c>
    </row>
    <row r="836" spans="1:9" ht="11.25" customHeight="1">
      <c r="A836" s="3928" t="s">
        <v>2258</v>
      </c>
      <c r="B836" s="3928" t="s">
        <v>14</v>
      </c>
      <c r="C836" s="3928" t="s">
        <v>5274</v>
      </c>
      <c r="D836" s="3928" t="s">
        <v>5275</v>
      </c>
      <c r="E836" s="3928" t="s">
        <v>5276</v>
      </c>
      <c r="F836" s="3928" t="s">
        <v>2397</v>
      </c>
      <c r="G836" s="3928" t="s">
        <v>5277</v>
      </c>
      <c r="H836" s="3928" t="s">
        <v>2263</v>
      </c>
      <c r="I836" s="3928" t="s">
        <v>811</v>
      </c>
    </row>
    <row r="837" spans="1:9" ht="11.25" customHeight="1">
      <c r="A837" s="3928" t="s">
        <v>2258</v>
      </c>
      <c r="B837" s="3928" t="s">
        <v>14</v>
      </c>
      <c r="C837" s="3928" t="s">
        <v>5278</v>
      </c>
      <c r="D837" s="3928" t="s">
        <v>5279</v>
      </c>
      <c r="E837" s="3928" t="s">
        <v>5280</v>
      </c>
      <c r="F837" s="3928" t="s">
        <v>3353</v>
      </c>
      <c r="G837" s="3928" t="s">
        <v>24</v>
      </c>
      <c r="H837" s="3928" t="s">
        <v>5281</v>
      </c>
      <c r="I837" s="3928" t="s">
        <v>811</v>
      </c>
    </row>
    <row r="838" spans="1:9" ht="11.25" customHeight="1">
      <c r="A838" s="3928" t="s">
        <v>2258</v>
      </c>
      <c r="B838" s="3928" t="s">
        <v>14</v>
      </c>
      <c r="C838" s="3928" t="s">
        <v>5282</v>
      </c>
      <c r="D838" s="3928" t="s">
        <v>5283</v>
      </c>
      <c r="E838" s="3928" t="s">
        <v>5284</v>
      </c>
      <c r="F838" s="3928" t="s">
        <v>2473</v>
      </c>
      <c r="G838" s="3928" t="s">
        <v>3052</v>
      </c>
      <c r="H838" s="3928" t="s">
        <v>24</v>
      </c>
      <c r="I838" s="3928" t="s">
        <v>811</v>
      </c>
    </row>
    <row r="839" spans="1:9" ht="11.25" customHeight="1">
      <c r="A839" s="3928" t="s">
        <v>2258</v>
      </c>
      <c r="B839" s="3928" t="s">
        <v>14</v>
      </c>
      <c r="C839" s="3928" t="s">
        <v>5285</v>
      </c>
      <c r="D839" s="3928" t="s">
        <v>5286</v>
      </c>
      <c r="E839" s="3928" t="s">
        <v>5287</v>
      </c>
      <c r="F839" s="3928" t="s">
        <v>2289</v>
      </c>
      <c r="G839" s="3928" t="s">
        <v>5288</v>
      </c>
      <c r="H839" s="3928" t="s">
        <v>24</v>
      </c>
      <c r="I839" s="3928" t="s">
        <v>811</v>
      </c>
    </row>
    <row r="840" spans="1:9" ht="11.25" customHeight="1">
      <c r="A840" s="3928" t="s">
        <v>2258</v>
      </c>
      <c r="B840" s="3928" t="s">
        <v>14</v>
      </c>
      <c r="C840" s="3928" t="s">
        <v>5289</v>
      </c>
      <c r="D840" s="3928" t="s">
        <v>5290</v>
      </c>
      <c r="E840" s="3928" t="s">
        <v>5291</v>
      </c>
      <c r="F840" s="3928" t="s">
        <v>2262</v>
      </c>
      <c r="G840" s="3928" t="s">
        <v>24</v>
      </c>
      <c r="H840" s="3928" t="s">
        <v>24</v>
      </c>
      <c r="I840" s="3928" t="s">
        <v>811</v>
      </c>
    </row>
    <row r="841" spans="1:9" ht="11.25" customHeight="1">
      <c r="A841" s="3928" t="s">
        <v>2258</v>
      </c>
      <c r="B841" s="3928" t="s">
        <v>14</v>
      </c>
      <c r="C841" s="3928" t="s">
        <v>5292</v>
      </c>
      <c r="D841" s="3928" t="s">
        <v>5293</v>
      </c>
      <c r="E841" s="3928" t="s">
        <v>5294</v>
      </c>
      <c r="F841" s="3928" t="s">
        <v>2796</v>
      </c>
      <c r="G841" s="3928" t="s">
        <v>5295</v>
      </c>
      <c r="H841" s="3928" t="s">
        <v>24</v>
      </c>
      <c r="I841" s="3928" t="s">
        <v>811</v>
      </c>
    </row>
    <row r="842" spans="1:9" ht="11.25" customHeight="1">
      <c r="A842" s="3928" t="s">
        <v>2258</v>
      </c>
      <c r="B842" s="3928" t="s">
        <v>14</v>
      </c>
      <c r="C842" s="3928" t="s">
        <v>5296</v>
      </c>
      <c r="D842" s="3928" t="s">
        <v>5297</v>
      </c>
      <c r="E842" s="3928" t="s">
        <v>5298</v>
      </c>
      <c r="F842" s="3928" t="s">
        <v>2304</v>
      </c>
      <c r="G842" s="3928" t="s">
        <v>5299</v>
      </c>
      <c r="H842" s="3928" t="s">
        <v>24</v>
      </c>
      <c r="I842" s="3928" t="s">
        <v>811</v>
      </c>
    </row>
    <row r="843" spans="1:9" ht="11.25" customHeight="1">
      <c r="A843" s="3928" t="s">
        <v>2258</v>
      </c>
      <c r="B843" s="3928" t="s">
        <v>14</v>
      </c>
      <c r="C843" s="3928" t="s">
        <v>5300</v>
      </c>
      <c r="D843" s="3928" t="s">
        <v>5301</v>
      </c>
      <c r="E843" s="3928" t="s">
        <v>5302</v>
      </c>
      <c r="F843" s="3928" t="s">
        <v>3023</v>
      </c>
      <c r="G843" s="3928" t="s">
        <v>24</v>
      </c>
      <c r="H843" s="3928" t="s">
        <v>24</v>
      </c>
      <c r="I843" s="3928" t="s">
        <v>811</v>
      </c>
    </row>
    <row r="844" spans="1:9" ht="11.25" customHeight="1">
      <c r="A844" s="3928" t="s">
        <v>2258</v>
      </c>
      <c r="B844" s="3928" t="s">
        <v>14</v>
      </c>
      <c r="C844" s="3928" t="s">
        <v>5303</v>
      </c>
      <c r="D844" s="3928" t="s">
        <v>5304</v>
      </c>
      <c r="E844" s="3928" t="s">
        <v>5305</v>
      </c>
      <c r="F844" s="3928" t="s">
        <v>2344</v>
      </c>
      <c r="G844" s="3928" t="s">
        <v>5306</v>
      </c>
      <c r="H844" s="3928" t="s">
        <v>24</v>
      </c>
      <c r="I844" s="3928" t="s">
        <v>811</v>
      </c>
    </row>
    <row r="845" spans="1:9" ht="11.25" customHeight="1">
      <c r="A845" s="3928" t="s">
        <v>2258</v>
      </c>
      <c r="B845" s="3928" t="s">
        <v>14</v>
      </c>
      <c r="C845" s="3928" t="s">
        <v>5307</v>
      </c>
      <c r="D845" s="3928" t="s">
        <v>5308</v>
      </c>
      <c r="E845" s="3928" t="s">
        <v>5309</v>
      </c>
      <c r="F845" s="3928" t="s">
        <v>5310</v>
      </c>
      <c r="G845" s="3928" t="s">
        <v>5311</v>
      </c>
      <c r="H845" s="3928" t="s">
        <v>24</v>
      </c>
      <c r="I845" s="3928" t="s">
        <v>811</v>
      </c>
    </row>
    <row r="846" spans="1:9" ht="11.25" customHeight="1">
      <c r="A846" s="3928" t="s">
        <v>2258</v>
      </c>
      <c r="B846" s="3928" t="s">
        <v>14</v>
      </c>
      <c r="C846" s="3928" t="s">
        <v>5312</v>
      </c>
      <c r="D846" s="3928" t="s">
        <v>5313</v>
      </c>
      <c r="E846" s="3928" t="s">
        <v>5314</v>
      </c>
      <c r="F846" s="3928" t="s">
        <v>5315</v>
      </c>
      <c r="G846" s="3928" t="s">
        <v>24</v>
      </c>
      <c r="H846" s="3928" t="s">
        <v>5316</v>
      </c>
      <c r="I846" s="3928" t="s">
        <v>811</v>
      </c>
    </row>
    <row r="847" spans="1:9" ht="11.25" customHeight="1">
      <c r="A847" s="3928" t="s">
        <v>2258</v>
      </c>
      <c r="B847" s="3928" t="s">
        <v>14</v>
      </c>
      <c r="C847" s="3928" t="s">
        <v>5317</v>
      </c>
      <c r="D847" s="3928" t="s">
        <v>5318</v>
      </c>
      <c r="E847" s="3928" t="s">
        <v>5319</v>
      </c>
      <c r="F847" s="3928" t="s">
        <v>2675</v>
      </c>
      <c r="G847" s="3928" t="s">
        <v>5320</v>
      </c>
      <c r="H847" s="3928" t="s">
        <v>24</v>
      </c>
      <c r="I847" s="3928" t="s">
        <v>811</v>
      </c>
    </row>
    <row r="848" spans="1:9" ht="11.25" customHeight="1">
      <c r="A848" s="3928" t="s">
        <v>2258</v>
      </c>
      <c r="B848" s="3928" t="s">
        <v>14</v>
      </c>
      <c r="C848" s="3928" t="s">
        <v>5321</v>
      </c>
      <c r="D848" s="3928" t="s">
        <v>5322</v>
      </c>
      <c r="E848" s="3928" t="s">
        <v>5323</v>
      </c>
      <c r="F848" s="3928" t="s">
        <v>2309</v>
      </c>
      <c r="G848" s="3928" t="s">
        <v>24</v>
      </c>
      <c r="H848" s="3928" t="s">
        <v>24</v>
      </c>
      <c r="I848" s="3928" t="s">
        <v>811</v>
      </c>
    </row>
    <row r="849" spans="1:9" ht="11.25" customHeight="1">
      <c r="A849" s="3928" t="s">
        <v>2258</v>
      </c>
      <c r="B849" s="3928" t="s">
        <v>14</v>
      </c>
      <c r="C849" s="3928" t="s">
        <v>5324</v>
      </c>
      <c r="D849" s="3928" t="s">
        <v>5325</v>
      </c>
      <c r="E849" s="3928" t="s">
        <v>5326</v>
      </c>
      <c r="F849" s="3928" t="s">
        <v>2397</v>
      </c>
      <c r="G849" s="3928" t="s">
        <v>24</v>
      </c>
      <c r="H849" s="3928" t="s">
        <v>5327</v>
      </c>
      <c r="I849" s="3928" t="s">
        <v>811</v>
      </c>
    </row>
    <row r="850" spans="1:9" ht="11.25" customHeight="1">
      <c r="A850" s="3928" t="s">
        <v>2258</v>
      </c>
      <c r="B850" s="3928" t="s">
        <v>14</v>
      </c>
      <c r="C850" s="3928" t="s">
        <v>5328</v>
      </c>
      <c r="D850" s="3928" t="s">
        <v>5329</v>
      </c>
      <c r="E850" s="3928" t="s">
        <v>5330</v>
      </c>
      <c r="F850" s="3928" t="s">
        <v>2289</v>
      </c>
      <c r="G850" s="3928" t="s">
        <v>5331</v>
      </c>
      <c r="H850" s="3928" t="s">
        <v>24</v>
      </c>
      <c r="I850" s="3928" t="s">
        <v>811</v>
      </c>
    </row>
    <row r="851" spans="1:9" ht="11.25" customHeight="1">
      <c r="A851" s="3928" t="s">
        <v>2258</v>
      </c>
      <c r="B851" s="3928" t="s">
        <v>14</v>
      </c>
      <c r="C851" s="3928" t="s">
        <v>5332</v>
      </c>
      <c r="D851" s="3928" t="s">
        <v>5333</v>
      </c>
      <c r="E851" s="3928" t="s">
        <v>5334</v>
      </c>
      <c r="F851" s="3928" t="s">
        <v>2375</v>
      </c>
      <c r="G851" s="3928" t="s">
        <v>24</v>
      </c>
      <c r="H851" s="3928" t="s">
        <v>24</v>
      </c>
      <c r="I851" s="3928" t="s">
        <v>811</v>
      </c>
    </row>
    <row r="852" spans="1:9" ht="11.25" customHeight="1">
      <c r="A852" s="3928" t="s">
        <v>2258</v>
      </c>
      <c r="B852" s="3928" t="s">
        <v>14</v>
      </c>
      <c r="C852" s="3928" t="s">
        <v>5335</v>
      </c>
      <c r="D852" s="3928" t="s">
        <v>5333</v>
      </c>
      <c r="E852" s="3928" t="s">
        <v>5336</v>
      </c>
      <c r="F852" s="3928" t="s">
        <v>2464</v>
      </c>
      <c r="G852" s="3928" t="s">
        <v>5337</v>
      </c>
      <c r="H852" s="3928" t="s">
        <v>24</v>
      </c>
      <c r="I852" s="3928" t="s">
        <v>811</v>
      </c>
    </row>
    <row r="853" spans="1:9" ht="11.25" customHeight="1">
      <c r="A853" s="3928" t="s">
        <v>2258</v>
      </c>
      <c r="B853" s="3928" t="s">
        <v>14</v>
      </c>
      <c r="C853" s="3928" t="s">
        <v>5338</v>
      </c>
      <c r="D853" s="3928" t="s">
        <v>5339</v>
      </c>
      <c r="E853" s="3928" t="s">
        <v>5340</v>
      </c>
      <c r="F853" s="3928" t="s">
        <v>2309</v>
      </c>
      <c r="G853" s="3928" t="s">
        <v>24</v>
      </c>
      <c r="H853" s="3928" t="s">
        <v>24</v>
      </c>
      <c r="I853" s="3928" t="s">
        <v>811</v>
      </c>
    </row>
    <row r="854" spans="1:9" ht="11.25" customHeight="1">
      <c r="A854" s="3928" t="s">
        <v>2258</v>
      </c>
      <c r="B854" s="3928" t="s">
        <v>14</v>
      </c>
      <c r="C854" s="3928" t="s">
        <v>5341</v>
      </c>
      <c r="D854" s="3928" t="s">
        <v>5342</v>
      </c>
      <c r="E854" s="3928" t="s">
        <v>5343</v>
      </c>
      <c r="F854" s="3928" t="s">
        <v>2522</v>
      </c>
      <c r="G854" s="3928" t="s">
        <v>24</v>
      </c>
      <c r="H854" s="3928" t="s">
        <v>2772</v>
      </c>
      <c r="I854" s="3928" t="s">
        <v>811</v>
      </c>
    </row>
    <row r="855" spans="1:9" ht="11.25" customHeight="1">
      <c r="A855" s="3928" t="s">
        <v>2258</v>
      </c>
      <c r="B855" s="3928" t="s">
        <v>14</v>
      </c>
      <c r="C855" s="3928" t="s">
        <v>5344</v>
      </c>
      <c r="D855" s="3928" t="s">
        <v>5345</v>
      </c>
      <c r="E855" s="3928" t="s">
        <v>5346</v>
      </c>
      <c r="F855" s="3928" t="s">
        <v>2397</v>
      </c>
      <c r="G855" s="3928" t="s">
        <v>5347</v>
      </c>
      <c r="H855" s="3928" t="s">
        <v>2263</v>
      </c>
      <c r="I855" s="3928" t="s">
        <v>811</v>
      </c>
    </row>
    <row r="856" spans="1:9" ht="11.25" customHeight="1">
      <c r="A856" s="3928" t="s">
        <v>2258</v>
      </c>
      <c r="B856" s="3928" t="s">
        <v>14</v>
      </c>
      <c r="C856" s="3928" t="s">
        <v>5348</v>
      </c>
      <c r="D856" s="3928" t="s">
        <v>5349</v>
      </c>
      <c r="E856" s="3928" t="s">
        <v>5350</v>
      </c>
      <c r="F856" s="3928" t="s">
        <v>2397</v>
      </c>
      <c r="G856" s="3928" t="s">
        <v>5351</v>
      </c>
      <c r="H856" s="3928" t="s">
        <v>2263</v>
      </c>
      <c r="I856" s="3928" t="s">
        <v>811</v>
      </c>
    </row>
    <row r="857" spans="1:9" ht="11.25" customHeight="1">
      <c r="A857" s="3928" t="s">
        <v>2258</v>
      </c>
      <c r="B857" s="3928" t="s">
        <v>14</v>
      </c>
      <c r="C857" s="3928" t="s">
        <v>5352</v>
      </c>
      <c r="D857" s="3928" t="s">
        <v>5353</v>
      </c>
      <c r="E857" s="3928" t="s">
        <v>5354</v>
      </c>
      <c r="F857" s="3928" t="s">
        <v>4646</v>
      </c>
      <c r="G857" s="3928" t="s">
        <v>5355</v>
      </c>
      <c r="H857" s="3928" t="s">
        <v>24</v>
      </c>
      <c r="I857" s="3928" t="s">
        <v>811</v>
      </c>
    </row>
    <row r="858" spans="1:9" ht="11.25" customHeight="1">
      <c r="A858" s="3928" t="s">
        <v>2258</v>
      </c>
      <c r="B858" s="3928" t="s">
        <v>14</v>
      </c>
      <c r="C858" s="3928" t="s">
        <v>5356</v>
      </c>
      <c r="D858" s="3928" t="s">
        <v>5357</v>
      </c>
      <c r="E858" s="3928" t="s">
        <v>5358</v>
      </c>
      <c r="F858" s="3928" t="s">
        <v>5359</v>
      </c>
      <c r="G858" s="3928" t="s">
        <v>24</v>
      </c>
      <c r="H858" s="3928" t="s">
        <v>24</v>
      </c>
      <c r="I858" s="3928" t="s">
        <v>811</v>
      </c>
    </row>
    <row r="859" spans="1:9" ht="11.25" customHeight="1">
      <c r="A859" s="3928" t="s">
        <v>2258</v>
      </c>
      <c r="B859" s="3928" t="s">
        <v>14</v>
      </c>
      <c r="C859" s="3928" t="s">
        <v>5360</v>
      </c>
      <c r="D859" s="3928" t="s">
        <v>5361</v>
      </c>
      <c r="E859" s="3928" t="s">
        <v>5362</v>
      </c>
      <c r="F859" s="3928" t="s">
        <v>2294</v>
      </c>
      <c r="G859" s="3928" t="s">
        <v>5306</v>
      </c>
      <c r="H859" s="3928" t="s">
        <v>24</v>
      </c>
      <c r="I859" s="3928" t="s">
        <v>811</v>
      </c>
    </row>
    <row r="860" spans="1:9" ht="11.25" customHeight="1">
      <c r="A860" s="3928" t="s">
        <v>2258</v>
      </c>
      <c r="B860" s="3928" t="s">
        <v>14</v>
      </c>
      <c r="C860" s="3928" t="s">
        <v>5363</v>
      </c>
      <c r="D860" s="3928" t="s">
        <v>5364</v>
      </c>
      <c r="E860" s="3928" t="s">
        <v>5365</v>
      </c>
      <c r="F860" s="3928" t="s">
        <v>3370</v>
      </c>
      <c r="G860" s="3928" t="s">
        <v>5366</v>
      </c>
      <c r="H860" s="3928" t="s">
        <v>24</v>
      </c>
      <c r="I860" s="3928" t="s">
        <v>811</v>
      </c>
    </row>
    <row r="861" spans="1:9" ht="11.25" customHeight="1">
      <c r="A861" s="3928" t="s">
        <v>2258</v>
      </c>
      <c r="B861" s="3928" t="s">
        <v>14</v>
      </c>
      <c r="C861" s="3928" t="s">
        <v>5367</v>
      </c>
      <c r="D861" s="3928" t="s">
        <v>5368</v>
      </c>
      <c r="E861" s="3928" t="s">
        <v>5369</v>
      </c>
      <c r="F861" s="3928" t="s">
        <v>2675</v>
      </c>
      <c r="G861" s="3928" t="s">
        <v>5370</v>
      </c>
      <c r="H861" s="3928" t="s">
        <v>2263</v>
      </c>
      <c r="I861" s="3928" t="s">
        <v>811</v>
      </c>
    </row>
    <row r="862" spans="1:9" ht="11.25" customHeight="1">
      <c r="A862" s="3928" t="s">
        <v>2258</v>
      </c>
      <c r="B862" s="3928" t="s">
        <v>14</v>
      </c>
      <c r="C862" s="3928" t="s">
        <v>5371</v>
      </c>
      <c r="D862" s="3928" t="s">
        <v>5372</v>
      </c>
      <c r="E862" s="3928" t="s">
        <v>5373</v>
      </c>
      <c r="F862" s="3928" t="s">
        <v>2464</v>
      </c>
      <c r="G862" s="3928" t="s">
        <v>24</v>
      </c>
      <c r="H862" s="3928" t="s">
        <v>3068</v>
      </c>
      <c r="I862" s="3928" t="s">
        <v>811</v>
      </c>
    </row>
    <row r="863" spans="1:9" ht="11.25" customHeight="1">
      <c r="A863" s="3928" t="s">
        <v>2258</v>
      </c>
      <c r="B863" s="3928" t="s">
        <v>14</v>
      </c>
      <c r="C863" s="3928" t="s">
        <v>5374</v>
      </c>
      <c r="D863" s="3928" t="s">
        <v>5375</v>
      </c>
      <c r="E863" s="3928" t="s">
        <v>5376</v>
      </c>
      <c r="F863" s="3928" t="s">
        <v>5377</v>
      </c>
      <c r="G863" s="3928" t="s">
        <v>5378</v>
      </c>
      <c r="H863" s="3928" t="s">
        <v>24</v>
      </c>
      <c r="I863" s="3928" t="s">
        <v>811</v>
      </c>
    </row>
    <row r="864" spans="1:9" ht="11.25" customHeight="1">
      <c r="A864" s="3928" t="s">
        <v>2258</v>
      </c>
      <c r="B864" s="3928" t="s">
        <v>14</v>
      </c>
      <c r="C864" s="3928" t="s">
        <v>5379</v>
      </c>
      <c r="D864" s="3928" t="s">
        <v>5380</v>
      </c>
      <c r="E864" s="3928" t="s">
        <v>5381</v>
      </c>
      <c r="F864" s="3928" t="s">
        <v>2796</v>
      </c>
      <c r="G864" s="3928" t="s">
        <v>24</v>
      </c>
      <c r="H864" s="3928" t="s">
        <v>2263</v>
      </c>
      <c r="I864" s="3928" t="s">
        <v>811</v>
      </c>
    </row>
    <row r="865" spans="1:9" ht="11.25" customHeight="1">
      <c r="A865" s="3928" t="s">
        <v>2258</v>
      </c>
      <c r="B865" s="3928" t="s">
        <v>14</v>
      </c>
      <c r="C865" s="3928" t="s">
        <v>5382</v>
      </c>
      <c r="D865" s="3928" t="s">
        <v>5383</v>
      </c>
      <c r="E865" s="3928" t="s">
        <v>5384</v>
      </c>
      <c r="F865" s="3928" t="s">
        <v>2638</v>
      </c>
      <c r="G865" s="3928" t="s">
        <v>24</v>
      </c>
      <c r="H865" s="3928" t="s">
        <v>2848</v>
      </c>
      <c r="I865" s="3928" t="s">
        <v>811</v>
      </c>
    </row>
    <row r="866" spans="1:9" ht="11.25" customHeight="1">
      <c r="A866" s="3928" t="s">
        <v>2258</v>
      </c>
      <c r="B866" s="3928" t="s">
        <v>14</v>
      </c>
      <c r="C866" s="3928" t="s">
        <v>5385</v>
      </c>
      <c r="D866" s="3928" t="s">
        <v>5383</v>
      </c>
      <c r="E866" s="3928" t="s">
        <v>5386</v>
      </c>
      <c r="F866" s="3928" t="s">
        <v>2325</v>
      </c>
      <c r="G866" s="3928" t="s">
        <v>24</v>
      </c>
      <c r="H866" s="3928" t="s">
        <v>24</v>
      </c>
      <c r="I866" s="3928" t="s">
        <v>811</v>
      </c>
    </row>
    <row r="867" spans="1:9" ht="11.25" customHeight="1">
      <c r="A867" s="3928" t="s">
        <v>2258</v>
      </c>
      <c r="B867" s="3928" t="s">
        <v>14</v>
      </c>
      <c r="C867" s="3928" t="s">
        <v>5387</v>
      </c>
      <c r="D867" s="3928" t="s">
        <v>5388</v>
      </c>
      <c r="E867" s="3928" t="s">
        <v>5389</v>
      </c>
      <c r="F867" s="3928" t="s">
        <v>2289</v>
      </c>
      <c r="G867" s="3928" t="s">
        <v>5390</v>
      </c>
      <c r="H867" s="3928" t="s">
        <v>24</v>
      </c>
      <c r="I867" s="3928" t="s">
        <v>811</v>
      </c>
    </row>
    <row r="868" spans="1:9" ht="11.25" customHeight="1">
      <c r="A868" s="3928" t="s">
        <v>2258</v>
      </c>
      <c r="B868" s="3928" t="s">
        <v>14</v>
      </c>
      <c r="C868" s="3928" t="s">
        <v>5391</v>
      </c>
      <c r="D868" s="3928" t="s">
        <v>5392</v>
      </c>
      <c r="E868" s="3928" t="s">
        <v>5393</v>
      </c>
      <c r="F868" s="3928" t="s">
        <v>2638</v>
      </c>
      <c r="G868" s="3928" t="s">
        <v>5394</v>
      </c>
      <c r="H868" s="3928" t="s">
        <v>24</v>
      </c>
      <c r="I868" s="3928" t="s">
        <v>811</v>
      </c>
    </row>
    <row r="869" spans="1:9" ht="11.25" customHeight="1">
      <c r="A869" s="3928" t="s">
        <v>2258</v>
      </c>
      <c r="B869" s="3928" t="s">
        <v>14</v>
      </c>
      <c r="C869" s="3928" t="s">
        <v>5395</v>
      </c>
      <c r="D869" s="3928" t="s">
        <v>5396</v>
      </c>
      <c r="E869" s="3928" t="s">
        <v>5397</v>
      </c>
      <c r="F869" s="3928" t="s">
        <v>2354</v>
      </c>
      <c r="G869" s="3928" t="s">
        <v>24</v>
      </c>
      <c r="H869" s="3928" t="s">
        <v>24</v>
      </c>
      <c r="I869" s="3928" t="s">
        <v>811</v>
      </c>
    </row>
    <row r="870" spans="1:9" ht="11.25" customHeight="1">
      <c r="A870" s="3928" t="s">
        <v>2258</v>
      </c>
      <c r="B870" s="3928" t="s">
        <v>14</v>
      </c>
      <c r="C870" s="3928" t="s">
        <v>5398</v>
      </c>
      <c r="D870" s="3928" t="s">
        <v>5399</v>
      </c>
      <c r="E870" s="3928" t="s">
        <v>5400</v>
      </c>
      <c r="F870" s="3928" t="s">
        <v>2304</v>
      </c>
      <c r="G870" s="3928" t="s">
        <v>4058</v>
      </c>
      <c r="H870" s="3928" t="s">
        <v>24</v>
      </c>
      <c r="I870" s="3928" t="s">
        <v>811</v>
      </c>
    </row>
    <row r="871" spans="1:9" ht="11.25" customHeight="1">
      <c r="A871" s="3928" t="s">
        <v>2258</v>
      </c>
      <c r="B871" s="3928" t="s">
        <v>14</v>
      </c>
      <c r="C871" s="3928" t="s">
        <v>5401</v>
      </c>
      <c r="D871" s="3928" t="s">
        <v>5402</v>
      </c>
      <c r="E871" s="3928" t="s">
        <v>5403</v>
      </c>
      <c r="F871" s="3928" t="s">
        <v>2289</v>
      </c>
      <c r="G871" s="3928" t="s">
        <v>24</v>
      </c>
      <c r="H871" s="3928" t="s">
        <v>24</v>
      </c>
      <c r="I871" s="3928" t="s">
        <v>811</v>
      </c>
    </row>
    <row r="872" spans="1:9" ht="11.25" customHeight="1">
      <c r="A872" s="3928" t="s">
        <v>2258</v>
      </c>
      <c r="B872" s="3928" t="s">
        <v>14</v>
      </c>
      <c r="C872" s="3928" t="s">
        <v>5404</v>
      </c>
      <c r="D872" s="3928" t="s">
        <v>5405</v>
      </c>
      <c r="E872" s="3928" t="s">
        <v>5406</v>
      </c>
      <c r="F872" s="3928" t="s">
        <v>2675</v>
      </c>
      <c r="G872" s="3928" t="s">
        <v>5407</v>
      </c>
      <c r="H872" s="3928" t="s">
        <v>24</v>
      </c>
      <c r="I872" s="3928" t="s">
        <v>811</v>
      </c>
    </row>
    <row r="873" spans="1:9" ht="11.25" customHeight="1">
      <c r="A873" s="3928" t="s">
        <v>2258</v>
      </c>
      <c r="B873" s="3928" t="s">
        <v>14</v>
      </c>
      <c r="C873" s="3928" t="s">
        <v>5408</v>
      </c>
      <c r="D873" s="3928" t="s">
        <v>5409</v>
      </c>
      <c r="E873" s="3928" t="s">
        <v>5410</v>
      </c>
      <c r="F873" s="3928" t="s">
        <v>3082</v>
      </c>
      <c r="G873" s="3928" t="s">
        <v>24</v>
      </c>
      <c r="H873" s="3928" t="s">
        <v>24</v>
      </c>
      <c r="I873" s="3928" t="s">
        <v>811</v>
      </c>
    </row>
    <row r="874" spans="1:9" ht="11.25" customHeight="1">
      <c r="A874" s="3928" t="s">
        <v>2258</v>
      </c>
      <c r="B874" s="3928" t="s">
        <v>14</v>
      </c>
      <c r="C874" s="3928" t="s">
        <v>5411</v>
      </c>
      <c r="D874" s="3928" t="s">
        <v>5412</v>
      </c>
      <c r="E874" s="3928" t="s">
        <v>5413</v>
      </c>
      <c r="F874" s="3928" t="s">
        <v>2675</v>
      </c>
      <c r="G874" s="3928" t="s">
        <v>5414</v>
      </c>
      <c r="H874" s="3928" t="s">
        <v>24</v>
      </c>
      <c r="I874" s="3928" t="s">
        <v>811</v>
      </c>
    </row>
    <row r="875" spans="1:9" ht="11.25" customHeight="1">
      <c r="A875" s="3928" t="s">
        <v>2258</v>
      </c>
      <c r="B875" s="3928" t="s">
        <v>14</v>
      </c>
      <c r="C875" s="3928" t="s">
        <v>5415</v>
      </c>
      <c r="D875" s="3928" t="s">
        <v>5416</v>
      </c>
      <c r="E875" s="3928" t="s">
        <v>5417</v>
      </c>
      <c r="F875" s="3928" t="s">
        <v>2675</v>
      </c>
      <c r="G875" s="3928" t="s">
        <v>24</v>
      </c>
      <c r="H875" s="3928" t="s">
        <v>3068</v>
      </c>
      <c r="I875" s="3928" t="s">
        <v>811</v>
      </c>
    </row>
    <row r="876" spans="1:9" ht="11.25" customHeight="1">
      <c r="A876" s="3928" t="s">
        <v>2258</v>
      </c>
      <c r="B876" s="3928" t="s">
        <v>14</v>
      </c>
      <c r="C876" s="3928" t="s">
        <v>5418</v>
      </c>
      <c r="D876" s="3928" t="s">
        <v>5419</v>
      </c>
      <c r="E876" s="3928" t="s">
        <v>5420</v>
      </c>
      <c r="F876" s="3928" t="s">
        <v>2675</v>
      </c>
      <c r="G876" s="3928" t="s">
        <v>24</v>
      </c>
      <c r="H876" s="3928" t="s">
        <v>2772</v>
      </c>
      <c r="I876" s="3928" t="s">
        <v>811</v>
      </c>
    </row>
    <row r="877" spans="1:9" ht="11.25" customHeight="1">
      <c r="A877" s="3928" t="s">
        <v>2258</v>
      </c>
      <c r="B877" s="3928" t="s">
        <v>14</v>
      </c>
      <c r="C877" s="3928" t="s">
        <v>5421</v>
      </c>
      <c r="D877" s="3928" t="s">
        <v>5422</v>
      </c>
      <c r="E877" s="3928" t="s">
        <v>5423</v>
      </c>
      <c r="F877" s="3928" t="s">
        <v>2262</v>
      </c>
      <c r="G877" s="3928" t="s">
        <v>24</v>
      </c>
      <c r="H877" s="3928" t="s">
        <v>2263</v>
      </c>
      <c r="I877" s="3928" t="s">
        <v>811</v>
      </c>
    </row>
    <row r="878" spans="1:9" ht="11.25" customHeight="1">
      <c r="A878" s="3928" t="s">
        <v>2258</v>
      </c>
      <c r="B878" s="3928" t="s">
        <v>14</v>
      </c>
      <c r="C878" s="3928" t="s">
        <v>5424</v>
      </c>
      <c r="D878" s="3928" t="s">
        <v>5425</v>
      </c>
      <c r="E878" s="3928" t="s">
        <v>5426</v>
      </c>
      <c r="F878" s="3928" t="s">
        <v>2552</v>
      </c>
      <c r="G878" s="3928" t="s">
        <v>24</v>
      </c>
      <c r="H878" s="3928" t="s">
        <v>5427</v>
      </c>
      <c r="I878" s="3928" t="s">
        <v>811</v>
      </c>
    </row>
    <row r="879" spans="1:9" ht="11.25" customHeight="1">
      <c r="A879" s="3928" t="s">
        <v>2258</v>
      </c>
      <c r="B879" s="3928" t="s">
        <v>14</v>
      </c>
      <c r="C879" s="3928" t="s">
        <v>5428</v>
      </c>
      <c r="D879" s="3928" t="s">
        <v>5429</v>
      </c>
      <c r="E879" s="3928" t="s">
        <v>5430</v>
      </c>
      <c r="F879" s="3928" t="s">
        <v>2675</v>
      </c>
      <c r="G879" s="3928" t="s">
        <v>24</v>
      </c>
      <c r="H879" s="3928" t="s">
        <v>3068</v>
      </c>
      <c r="I879" s="3928" t="s">
        <v>811</v>
      </c>
    </row>
    <row r="880" spans="1:9" ht="11.25" customHeight="1">
      <c r="A880" s="3928" t="s">
        <v>2258</v>
      </c>
      <c r="B880" s="3928" t="s">
        <v>14</v>
      </c>
      <c r="C880" s="3928" t="s">
        <v>5431</v>
      </c>
      <c r="D880" s="3928" t="s">
        <v>5432</v>
      </c>
      <c r="E880" s="3928" t="s">
        <v>5433</v>
      </c>
      <c r="F880" s="3928" t="s">
        <v>2535</v>
      </c>
      <c r="G880" s="3928" t="s">
        <v>5434</v>
      </c>
      <c r="H880" s="3928" t="s">
        <v>24</v>
      </c>
      <c r="I880" s="3928" t="s">
        <v>811</v>
      </c>
    </row>
    <row r="881" spans="1:9" ht="11.25" customHeight="1">
      <c r="A881" s="3928" t="s">
        <v>2258</v>
      </c>
      <c r="B881" s="3928" t="s">
        <v>14</v>
      </c>
      <c r="C881" s="3928" t="s">
        <v>5435</v>
      </c>
      <c r="D881" s="3928" t="s">
        <v>5436</v>
      </c>
      <c r="E881" s="3928" t="s">
        <v>5437</v>
      </c>
      <c r="F881" s="3928" t="s">
        <v>2409</v>
      </c>
      <c r="G881" s="3928" t="s">
        <v>24</v>
      </c>
      <c r="H881" s="3928" t="s">
        <v>5438</v>
      </c>
      <c r="I881" s="3928" t="s">
        <v>811</v>
      </c>
    </row>
    <row r="882" spans="1:9" ht="11.25" customHeight="1">
      <c r="A882" s="3928" t="s">
        <v>2258</v>
      </c>
      <c r="B882" s="3928" t="s">
        <v>14</v>
      </c>
      <c r="C882" s="3928" t="s">
        <v>5439</v>
      </c>
      <c r="D882" s="3928" t="s">
        <v>5440</v>
      </c>
      <c r="E882" s="3928" t="s">
        <v>5441</v>
      </c>
      <c r="F882" s="3928" t="s">
        <v>5442</v>
      </c>
      <c r="G882" s="3928" t="s">
        <v>3087</v>
      </c>
      <c r="H882" s="3928" t="s">
        <v>24</v>
      </c>
      <c r="I882" s="3928" t="s">
        <v>811</v>
      </c>
    </row>
    <row r="883" spans="1:9" ht="11.25" customHeight="1">
      <c r="A883" s="3928" t="s">
        <v>2258</v>
      </c>
      <c r="B883" s="3928" t="s">
        <v>14</v>
      </c>
      <c r="C883" s="3928" t="s">
        <v>5443</v>
      </c>
      <c r="D883" s="3928" t="s">
        <v>5444</v>
      </c>
      <c r="E883" s="3928" t="s">
        <v>5445</v>
      </c>
      <c r="F883" s="3928" t="s">
        <v>2304</v>
      </c>
      <c r="G883" s="3928" t="s">
        <v>24</v>
      </c>
      <c r="H883" s="3928" t="s">
        <v>24</v>
      </c>
      <c r="I883" s="3928" t="s">
        <v>811</v>
      </c>
    </row>
    <row r="884" spans="1:9" ht="11.25" customHeight="1">
      <c r="A884" s="3928" t="s">
        <v>2258</v>
      </c>
      <c r="B884" s="3928" t="s">
        <v>14</v>
      </c>
      <c r="C884" s="3928" t="s">
        <v>5446</v>
      </c>
      <c r="D884" s="3928" t="s">
        <v>5447</v>
      </c>
      <c r="E884" s="3928" t="s">
        <v>5448</v>
      </c>
      <c r="F884" s="3928" t="s">
        <v>5442</v>
      </c>
      <c r="G884" s="3928" t="s">
        <v>5449</v>
      </c>
      <c r="H884" s="3928" t="s">
        <v>24</v>
      </c>
      <c r="I884" s="3928" t="s">
        <v>811</v>
      </c>
    </row>
    <row r="885" spans="1:9" ht="11.25" customHeight="1">
      <c r="A885" s="3928" t="s">
        <v>2258</v>
      </c>
      <c r="B885" s="3928" t="s">
        <v>14</v>
      </c>
      <c r="C885" s="3928" t="s">
        <v>5450</v>
      </c>
      <c r="D885" s="3928" t="s">
        <v>5451</v>
      </c>
      <c r="E885" s="3928" t="s">
        <v>5452</v>
      </c>
      <c r="F885" s="3928" t="s">
        <v>3370</v>
      </c>
      <c r="G885" s="3928" t="s">
        <v>5453</v>
      </c>
      <c r="H885" s="3928" t="s">
        <v>24</v>
      </c>
      <c r="I885" s="3928" t="s">
        <v>811</v>
      </c>
    </row>
    <row r="886" spans="1:9" ht="11.25" customHeight="1">
      <c r="A886" s="3928" t="s">
        <v>2258</v>
      </c>
      <c r="B886" s="3928" t="s">
        <v>14</v>
      </c>
      <c r="C886" s="3928" t="s">
        <v>5454</v>
      </c>
      <c r="D886" s="3928" t="s">
        <v>5455</v>
      </c>
      <c r="E886" s="3928" t="s">
        <v>5456</v>
      </c>
      <c r="F886" s="3928" t="s">
        <v>2746</v>
      </c>
      <c r="G886" s="3928" t="s">
        <v>5457</v>
      </c>
      <c r="H886" s="3928" t="s">
        <v>24</v>
      </c>
      <c r="I886" s="3928" t="s">
        <v>811</v>
      </c>
    </row>
    <row r="887" spans="1:9" ht="11.25" customHeight="1">
      <c r="A887" s="3928" t="s">
        <v>2258</v>
      </c>
      <c r="B887" s="3928" t="s">
        <v>14</v>
      </c>
      <c r="C887" s="3928" t="s">
        <v>5458</v>
      </c>
      <c r="D887" s="3928" t="s">
        <v>5459</v>
      </c>
      <c r="E887" s="3928" t="s">
        <v>5460</v>
      </c>
      <c r="F887" s="3928" t="s">
        <v>5461</v>
      </c>
      <c r="G887" s="3928" t="s">
        <v>3631</v>
      </c>
      <c r="H887" s="3928" t="s">
        <v>24</v>
      </c>
      <c r="I887" s="3928" t="s">
        <v>811</v>
      </c>
    </row>
    <row r="888" spans="1:9" ht="11.25" customHeight="1">
      <c r="A888" s="3928" t="s">
        <v>2258</v>
      </c>
      <c r="B888" s="3928" t="s">
        <v>14</v>
      </c>
      <c r="C888" s="3928" t="s">
        <v>5462</v>
      </c>
      <c r="D888" s="3928" t="s">
        <v>5463</v>
      </c>
      <c r="E888" s="3928" t="s">
        <v>5464</v>
      </c>
      <c r="F888" s="3928" t="s">
        <v>4792</v>
      </c>
      <c r="G888" s="3928" t="s">
        <v>5465</v>
      </c>
      <c r="H888" s="3928" t="s">
        <v>2263</v>
      </c>
      <c r="I888" s="3928" t="s">
        <v>811</v>
      </c>
    </row>
    <row r="889" spans="1:9" ht="11.25" customHeight="1">
      <c r="A889" s="3928" t="s">
        <v>2258</v>
      </c>
      <c r="B889" s="3928" t="s">
        <v>14</v>
      </c>
      <c r="C889" s="3928" t="s">
        <v>5466</v>
      </c>
      <c r="D889" s="3928" t="s">
        <v>5467</v>
      </c>
      <c r="E889" s="3928" t="s">
        <v>5468</v>
      </c>
      <c r="F889" s="3928" t="s">
        <v>3370</v>
      </c>
      <c r="G889" s="3928" t="s">
        <v>5469</v>
      </c>
      <c r="H889" s="3928" t="s">
        <v>24</v>
      </c>
      <c r="I889" s="3928" t="s">
        <v>811</v>
      </c>
    </row>
    <row r="890" spans="1:9" ht="11.25" customHeight="1">
      <c r="A890" s="3928" t="s">
        <v>2258</v>
      </c>
      <c r="B890" s="3928" t="s">
        <v>14</v>
      </c>
      <c r="C890" s="3928" t="s">
        <v>5470</v>
      </c>
      <c r="D890" s="3928" t="s">
        <v>5471</v>
      </c>
      <c r="E890" s="3928" t="s">
        <v>5472</v>
      </c>
      <c r="F890" s="3928" t="s">
        <v>2344</v>
      </c>
      <c r="G890" s="3928" t="s">
        <v>5473</v>
      </c>
      <c r="H890" s="3928" t="s">
        <v>24</v>
      </c>
      <c r="I890" s="3928" t="s">
        <v>811</v>
      </c>
    </row>
    <row r="891" spans="1:9" ht="11.25" customHeight="1">
      <c r="A891" s="3928" t="s">
        <v>2258</v>
      </c>
      <c r="B891" s="3928" t="s">
        <v>14</v>
      </c>
      <c r="C891" s="3928" t="s">
        <v>5474</v>
      </c>
      <c r="D891" s="3928" t="s">
        <v>5475</v>
      </c>
      <c r="E891" s="3928" t="s">
        <v>5476</v>
      </c>
      <c r="F891" s="3928" t="s">
        <v>5442</v>
      </c>
      <c r="G891" s="3928" t="s">
        <v>5477</v>
      </c>
      <c r="H891" s="3928" t="s">
        <v>24</v>
      </c>
      <c r="I891" s="3928" t="s">
        <v>811</v>
      </c>
    </row>
    <row r="892" spans="1:9" ht="11.25" customHeight="1">
      <c r="A892" s="3928" t="s">
        <v>2258</v>
      </c>
      <c r="B892" s="3928" t="s">
        <v>14</v>
      </c>
      <c r="C892" s="3928" t="s">
        <v>5478</v>
      </c>
      <c r="D892" s="3928" t="s">
        <v>5479</v>
      </c>
      <c r="E892" s="3928" t="s">
        <v>5480</v>
      </c>
      <c r="F892" s="3928" t="s">
        <v>3370</v>
      </c>
      <c r="G892" s="3928" t="s">
        <v>5481</v>
      </c>
      <c r="H892" s="3928" t="s">
        <v>24</v>
      </c>
      <c r="I892" s="3928" t="s">
        <v>811</v>
      </c>
    </row>
    <row r="893" spans="1:9" ht="11.25" customHeight="1">
      <c r="A893" s="3928" t="s">
        <v>2258</v>
      </c>
      <c r="B893" s="3928" t="s">
        <v>14</v>
      </c>
      <c r="C893" s="3928" t="s">
        <v>5482</v>
      </c>
      <c r="D893" s="3928" t="s">
        <v>5483</v>
      </c>
      <c r="E893" s="3928" t="s">
        <v>5484</v>
      </c>
      <c r="F893" s="3928" t="s">
        <v>2675</v>
      </c>
      <c r="G893" s="3928" t="s">
        <v>5485</v>
      </c>
      <c r="H893" s="3928" t="s">
        <v>24</v>
      </c>
      <c r="I893" s="3928" t="s">
        <v>811</v>
      </c>
    </row>
    <row r="894" spans="1:9" ht="11.25" customHeight="1">
      <c r="A894" s="3928" t="s">
        <v>2258</v>
      </c>
      <c r="B894" s="3928" t="s">
        <v>14</v>
      </c>
      <c r="C894" s="3928" t="s">
        <v>5486</v>
      </c>
      <c r="D894" s="3928" t="s">
        <v>5487</v>
      </c>
      <c r="E894" s="3928" t="s">
        <v>5488</v>
      </c>
      <c r="F894" s="3928" t="s">
        <v>2414</v>
      </c>
      <c r="G894" s="3928" t="s">
        <v>5489</v>
      </c>
      <c r="H894" s="3928" t="s">
        <v>24</v>
      </c>
      <c r="I894" s="3928" t="s">
        <v>811</v>
      </c>
    </row>
    <row r="895" spans="1:9" ht="11.25" customHeight="1">
      <c r="A895" s="3928" t="s">
        <v>2258</v>
      </c>
      <c r="B895" s="3928" t="s">
        <v>14</v>
      </c>
      <c r="C895" s="3928" t="s">
        <v>5490</v>
      </c>
      <c r="D895" s="3928" t="s">
        <v>5491</v>
      </c>
      <c r="E895" s="3928" t="s">
        <v>5492</v>
      </c>
      <c r="F895" s="3928" t="s">
        <v>4391</v>
      </c>
      <c r="G895" s="3928" t="s">
        <v>5493</v>
      </c>
      <c r="H895" s="3928" t="s">
        <v>24</v>
      </c>
      <c r="I895" s="3928" t="s">
        <v>811</v>
      </c>
    </row>
    <row r="896" spans="1:9" ht="11.25" customHeight="1">
      <c r="A896" s="3928" t="s">
        <v>2258</v>
      </c>
      <c r="B896" s="3928" t="s">
        <v>14</v>
      </c>
      <c r="C896" s="3928" t="s">
        <v>5494</v>
      </c>
      <c r="D896" s="3928" t="s">
        <v>5495</v>
      </c>
      <c r="E896" s="3928" t="s">
        <v>5496</v>
      </c>
      <c r="F896" s="3928" t="s">
        <v>2486</v>
      </c>
      <c r="G896" s="3928" t="s">
        <v>24</v>
      </c>
      <c r="H896" s="3928" t="s">
        <v>2263</v>
      </c>
      <c r="I896" s="3928" t="s">
        <v>811</v>
      </c>
    </row>
    <row r="897" spans="1:9" ht="11.25" customHeight="1">
      <c r="A897" s="3928" t="s">
        <v>2258</v>
      </c>
      <c r="B897" s="3928" t="s">
        <v>14</v>
      </c>
      <c r="C897" s="3928" t="s">
        <v>5497</v>
      </c>
      <c r="D897" s="3928" t="s">
        <v>5498</v>
      </c>
      <c r="E897" s="3928" t="s">
        <v>5499</v>
      </c>
      <c r="F897" s="3928" t="s">
        <v>2796</v>
      </c>
      <c r="G897" s="3928" t="s">
        <v>24</v>
      </c>
      <c r="H897" s="3928" t="s">
        <v>2263</v>
      </c>
      <c r="I897" s="3928" t="s">
        <v>811</v>
      </c>
    </row>
    <row r="898" spans="1:9" ht="11.25" customHeight="1">
      <c r="A898" s="3928" t="s">
        <v>2258</v>
      </c>
      <c r="B898" s="3928" t="s">
        <v>14</v>
      </c>
      <c r="C898" s="3928" t="s">
        <v>5500</v>
      </c>
      <c r="D898" s="3928" t="s">
        <v>5501</v>
      </c>
      <c r="E898" s="3928" t="s">
        <v>5502</v>
      </c>
      <c r="F898" s="3928" t="s">
        <v>2344</v>
      </c>
      <c r="G898" s="3928" t="s">
        <v>5503</v>
      </c>
      <c r="H898" s="3928" t="s">
        <v>24</v>
      </c>
      <c r="I898" s="3928" t="s">
        <v>811</v>
      </c>
    </row>
    <row r="899" spans="1:9" ht="11.25" customHeight="1">
      <c r="A899" s="3928" t="s">
        <v>2258</v>
      </c>
      <c r="B899" s="3928" t="s">
        <v>14</v>
      </c>
      <c r="C899" s="3928" t="s">
        <v>5504</v>
      </c>
      <c r="D899" s="3928" t="s">
        <v>5505</v>
      </c>
      <c r="E899" s="3928" t="s">
        <v>5506</v>
      </c>
      <c r="F899" s="3928" t="s">
        <v>2397</v>
      </c>
      <c r="G899" s="3928" t="s">
        <v>5507</v>
      </c>
      <c r="H899" s="3928" t="s">
        <v>2263</v>
      </c>
      <c r="I899" s="3928" t="s">
        <v>811</v>
      </c>
    </row>
    <row r="900" spans="1:9" ht="11.25" customHeight="1">
      <c r="A900" s="3928" t="s">
        <v>2258</v>
      </c>
      <c r="B900" s="3928" t="s">
        <v>14</v>
      </c>
      <c r="C900" s="3928" t="s">
        <v>5508</v>
      </c>
      <c r="D900" s="3928" t="s">
        <v>5509</v>
      </c>
      <c r="E900" s="3928" t="s">
        <v>5510</v>
      </c>
      <c r="F900" s="3928" t="s">
        <v>2289</v>
      </c>
      <c r="G900" s="3928" t="s">
        <v>5511</v>
      </c>
      <c r="H900" s="3928" t="s">
        <v>24</v>
      </c>
      <c r="I900" s="3928" t="s">
        <v>811</v>
      </c>
    </row>
    <row r="901" spans="1:9" ht="11.25" customHeight="1">
      <c r="A901" s="3928" t="s">
        <v>2258</v>
      </c>
      <c r="B901" s="3928" t="s">
        <v>14</v>
      </c>
      <c r="C901" s="3928" t="s">
        <v>5512</v>
      </c>
      <c r="D901" s="3928" t="s">
        <v>5513</v>
      </c>
      <c r="E901" s="3928" t="s">
        <v>5514</v>
      </c>
      <c r="F901" s="3928" t="s">
        <v>3023</v>
      </c>
      <c r="G901" s="3928" t="s">
        <v>5515</v>
      </c>
      <c r="H901" s="3928" t="s">
        <v>24</v>
      </c>
      <c r="I901" s="3928" t="s">
        <v>811</v>
      </c>
    </row>
    <row r="902" spans="1:9" ht="11.25" customHeight="1">
      <c r="A902" s="3928" t="s">
        <v>2258</v>
      </c>
      <c r="B902" s="3928" t="s">
        <v>14</v>
      </c>
      <c r="C902" s="3928" t="s">
        <v>5516</v>
      </c>
      <c r="D902" s="3928" t="s">
        <v>5517</v>
      </c>
      <c r="E902" s="3928" t="s">
        <v>5518</v>
      </c>
      <c r="F902" s="3928" t="s">
        <v>4792</v>
      </c>
      <c r="G902" s="3928" t="s">
        <v>5519</v>
      </c>
      <c r="H902" s="3928" t="s">
        <v>5520</v>
      </c>
      <c r="I902" s="3928" t="s">
        <v>811</v>
      </c>
    </row>
    <row r="903" spans="1:9" ht="11.25" customHeight="1">
      <c r="A903" s="3928" t="s">
        <v>2258</v>
      </c>
      <c r="B903" s="3928" t="s">
        <v>14</v>
      </c>
      <c r="C903" s="3928" t="s">
        <v>5521</v>
      </c>
      <c r="D903" s="3928" t="s">
        <v>5522</v>
      </c>
      <c r="E903" s="3928" t="s">
        <v>5523</v>
      </c>
      <c r="F903" s="3928" t="s">
        <v>2473</v>
      </c>
      <c r="G903" s="3928" t="s">
        <v>5524</v>
      </c>
      <c r="H903" s="3928" t="s">
        <v>24</v>
      </c>
      <c r="I903" s="3928" t="s">
        <v>811</v>
      </c>
    </row>
    <row r="904" spans="1:9" ht="11.25" customHeight="1">
      <c r="A904" s="3928" t="s">
        <v>2258</v>
      </c>
      <c r="B904" s="3928" t="s">
        <v>14</v>
      </c>
      <c r="C904" s="3928" t="s">
        <v>5525</v>
      </c>
      <c r="D904" s="3928" t="s">
        <v>5526</v>
      </c>
      <c r="E904" s="3928" t="s">
        <v>5527</v>
      </c>
      <c r="F904" s="3928" t="s">
        <v>2344</v>
      </c>
      <c r="G904" s="3928" t="s">
        <v>3474</v>
      </c>
      <c r="H904" s="3928" t="s">
        <v>24</v>
      </c>
      <c r="I904" s="3928" t="s">
        <v>811</v>
      </c>
    </row>
    <row r="905" spans="1:9" ht="11.25" customHeight="1">
      <c r="A905" s="3928" t="s">
        <v>2258</v>
      </c>
      <c r="B905" s="3928" t="s">
        <v>14</v>
      </c>
      <c r="C905" s="3928" t="s">
        <v>5528</v>
      </c>
      <c r="D905" s="3928" t="s">
        <v>5526</v>
      </c>
      <c r="E905" s="3928" t="s">
        <v>5529</v>
      </c>
      <c r="F905" s="3928" t="s">
        <v>3086</v>
      </c>
      <c r="G905" s="3928" t="s">
        <v>5530</v>
      </c>
      <c r="H905" s="3928" t="s">
        <v>24</v>
      </c>
      <c r="I905" s="3928" t="s">
        <v>811</v>
      </c>
    </row>
    <row r="906" spans="1:9" ht="11.25" customHeight="1">
      <c r="A906" s="3928" t="s">
        <v>2258</v>
      </c>
      <c r="B906" s="3928" t="s">
        <v>14</v>
      </c>
      <c r="C906" s="3928" t="s">
        <v>5531</v>
      </c>
      <c r="D906" s="3928" t="s">
        <v>5532</v>
      </c>
      <c r="E906" s="3928" t="s">
        <v>5533</v>
      </c>
      <c r="F906" s="3928" t="s">
        <v>3310</v>
      </c>
      <c r="G906" s="3928" t="s">
        <v>5534</v>
      </c>
      <c r="H906" s="3928" t="s">
        <v>24</v>
      </c>
      <c r="I906" s="3928" t="s">
        <v>811</v>
      </c>
    </row>
    <row r="907" spans="1:9" ht="11.25" customHeight="1">
      <c r="A907" s="3928" t="s">
        <v>2258</v>
      </c>
      <c r="B907" s="3928" t="s">
        <v>14</v>
      </c>
      <c r="C907" s="3928" t="s">
        <v>5535</v>
      </c>
      <c r="D907" s="3928" t="s">
        <v>5536</v>
      </c>
      <c r="E907" s="3928" t="s">
        <v>5537</v>
      </c>
      <c r="F907" s="3928" t="s">
        <v>3051</v>
      </c>
      <c r="G907" s="3928" t="s">
        <v>24</v>
      </c>
      <c r="H907" s="3928" t="s">
        <v>2772</v>
      </c>
      <c r="I907" s="3928" t="s">
        <v>811</v>
      </c>
    </row>
    <row r="908" spans="1:9" ht="11.25" customHeight="1">
      <c r="A908" s="3928" t="s">
        <v>2258</v>
      </c>
      <c r="B908" s="3928" t="s">
        <v>14</v>
      </c>
      <c r="C908" s="3928" t="s">
        <v>5538</v>
      </c>
      <c r="D908" s="3928" t="s">
        <v>5539</v>
      </c>
      <c r="E908" s="3928" t="s">
        <v>5540</v>
      </c>
      <c r="F908" s="3928" t="s">
        <v>3509</v>
      </c>
      <c r="G908" s="3928" t="s">
        <v>24</v>
      </c>
      <c r="H908" s="3928" t="s">
        <v>24</v>
      </c>
      <c r="I908" s="3928" t="s">
        <v>811</v>
      </c>
    </row>
    <row r="909" spans="1:9" ht="11.25" customHeight="1">
      <c r="A909" s="3928" t="s">
        <v>2258</v>
      </c>
      <c r="B909" s="3928" t="s">
        <v>14</v>
      </c>
      <c r="C909" s="3928" t="s">
        <v>5541</v>
      </c>
      <c r="D909" s="3928" t="s">
        <v>5539</v>
      </c>
      <c r="E909" s="3928" t="s">
        <v>5542</v>
      </c>
      <c r="F909" s="3928" t="s">
        <v>2473</v>
      </c>
      <c r="G909" s="3928" t="s">
        <v>24</v>
      </c>
      <c r="H909" s="3928" t="s">
        <v>24</v>
      </c>
      <c r="I909" s="3928" t="s">
        <v>811</v>
      </c>
    </row>
    <row r="910" spans="1:9" ht="11.25" customHeight="1">
      <c r="A910" s="3928" t="s">
        <v>2258</v>
      </c>
      <c r="B910" s="3928" t="s">
        <v>14</v>
      </c>
      <c r="C910" s="3928" t="s">
        <v>5543</v>
      </c>
      <c r="D910" s="3928" t="s">
        <v>5544</v>
      </c>
      <c r="E910" s="3928" t="s">
        <v>5545</v>
      </c>
      <c r="F910" s="3928" t="s">
        <v>2414</v>
      </c>
      <c r="G910" s="3928" t="s">
        <v>5546</v>
      </c>
      <c r="H910" s="3928" t="s">
        <v>24</v>
      </c>
      <c r="I910" s="3928" t="s">
        <v>811</v>
      </c>
    </row>
    <row r="911" spans="1:9" ht="11.25" customHeight="1">
      <c r="A911" s="3928" t="s">
        <v>2258</v>
      </c>
      <c r="B911" s="3928" t="s">
        <v>14</v>
      </c>
      <c r="C911" s="3928" t="s">
        <v>5547</v>
      </c>
      <c r="D911" s="3928" t="s">
        <v>5548</v>
      </c>
      <c r="E911" s="3928" t="s">
        <v>5549</v>
      </c>
      <c r="F911" s="3928" t="s">
        <v>2688</v>
      </c>
      <c r="G911" s="3928" t="s">
        <v>5550</v>
      </c>
      <c r="H911" s="3928" t="s">
        <v>24</v>
      </c>
      <c r="I911" s="3928" t="s">
        <v>811</v>
      </c>
    </row>
    <row r="912" spans="1:9" ht="11.25" customHeight="1">
      <c r="A912" s="3928" t="s">
        <v>2258</v>
      </c>
      <c r="B912" s="3928" t="s">
        <v>14</v>
      </c>
      <c r="C912" s="3928" t="s">
        <v>5551</v>
      </c>
      <c r="D912" s="3928" t="s">
        <v>5552</v>
      </c>
      <c r="E912" s="3928" t="s">
        <v>5553</v>
      </c>
      <c r="F912" s="3928" t="s">
        <v>2294</v>
      </c>
      <c r="G912" s="3928" t="s">
        <v>5554</v>
      </c>
      <c r="H912" s="3928" t="s">
        <v>24</v>
      </c>
      <c r="I912" s="3928" t="s">
        <v>811</v>
      </c>
    </row>
    <row r="913" spans="1:9" ht="11.25" customHeight="1">
      <c r="A913" s="3928" t="s">
        <v>2258</v>
      </c>
      <c r="B913" s="3928" t="s">
        <v>14</v>
      </c>
      <c r="C913" s="3928" t="s">
        <v>5555</v>
      </c>
      <c r="D913" s="3928" t="s">
        <v>5556</v>
      </c>
      <c r="E913" s="3928" t="s">
        <v>5557</v>
      </c>
      <c r="F913" s="3928" t="s">
        <v>2349</v>
      </c>
      <c r="G913" s="3928" t="s">
        <v>24</v>
      </c>
      <c r="H913" s="3928" t="s">
        <v>24</v>
      </c>
      <c r="I913" s="3928" t="s">
        <v>811</v>
      </c>
    </row>
    <row r="914" spans="1:9" ht="11.25" customHeight="1">
      <c r="A914" s="3928" t="s">
        <v>2258</v>
      </c>
      <c r="B914" s="3928" t="s">
        <v>14</v>
      </c>
      <c r="C914" s="3928" t="s">
        <v>5558</v>
      </c>
      <c r="D914" s="3928" t="s">
        <v>5559</v>
      </c>
      <c r="E914" s="3928" t="s">
        <v>5560</v>
      </c>
      <c r="F914" s="3928" t="s">
        <v>2438</v>
      </c>
      <c r="G914" s="3928" t="s">
        <v>24</v>
      </c>
      <c r="H914" s="3928" t="s">
        <v>24</v>
      </c>
      <c r="I914" s="3928" t="s">
        <v>811</v>
      </c>
    </row>
    <row r="915" spans="1:9" ht="11.25" customHeight="1">
      <c r="A915" s="3928" t="s">
        <v>2258</v>
      </c>
      <c r="B915" s="3928" t="s">
        <v>14</v>
      </c>
      <c r="C915" s="3928" t="s">
        <v>5561</v>
      </c>
      <c r="D915" s="3928" t="s">
        <v>5562</v>
      </c>
      <c r="E915" s="3928" t="s">
        <v>5563</v>
      </c>
      <c r="F915" s="3928" t="s">
        <v>3509</v>
      </c>
      <c r="G915" s="3928" t="s">
        <v>24</v>
      </c>
      <c r="H915" s="3928" t="s">
        <v>2263</v>
      </c>
      <c r="I915" s="3928" t="s">
        <v>811</v>
      </c>
    </row>
    <row r="916" spans="1:9" ht="11.25" customHeight="1">
      <c r="A916" s="3928" t="s">
        <v>2258</v>
      </c>
      <c r="B916" s="3928" t="s">
        <v>14</v>
      </c>
      <c r="C916" s="3928" t="s">
        <v>5564</v>
      </c>
      <c r="D916" s="3928" t="s">
        <v>5565</v>
      </c>
      <c r="E916" s="3928" t="s">
        <v>5566</v>
      </c>
      <c r="F916" s="3928" t="s">
        <v>3039</v>
      </c>
      <c r="G916" s="3928" t="s">
        <v>24</v>
      </c>
      <c r="H916" s="3928" t="s">
        <v>2263</v>
      </c>
      <c r="I916" s="3928" t="s">
        <v>811</v>
      </c>
    </row>
    <row r="917" spans="1:9" ht="11.25" customHeight="1">
      <c r="A917" s="3928" t="s">
        <v>2258</v>
      </c>
      <c r="B917" s="3928" t="s">
        <v>14</v>
      </c>
      <c r="C917" s="3928" t="s">
        <v>5567</v>
      </c>
      <c r="D917" s="3928" t="s">
        <v>5568</v>
      </c>
      <c r="E917" s="3928" t="s">
        <v>5569</v>
      </c>
      <c r="F917" s="3928" t="s">
        <v>2349</v>
      </c>
      <c r="G917" s="3928" t="s">
        <v>24</v>
      </c>
      <c r="H917" s="3928" t="s">
        <v>5570</v>
      </c>
      <c r="I917" s="3928" t="s">
        <v>811</v>
      </c>
    </row>
    <row r="918" spans="1:9" ht="11.25" customHeight="1">
      <c r="A918" s="3928" t="s">
        <v>2258</v>
      </c>
      <c r="B918" s="3928" t="s">
        <v>14</v>
      </c>
      <c r="C918" s="3928" t="s">
        <v>5571</v>
      </c>
      <c r="D918" s="3928" t="s">
        <v>5572</v>
      </c>
      <c r="E918" s="3928" t="s">
        <v>5573</v>
      </c>
      <c r="F918" s="3928" t="s">
        <v>2675</v>
      </c>
      <c r="G918" s="3928" t="s">
        <v>24</v>
      </c>
      <c r="H918" s="3928" t="s">
        <v>24</v>
      </c>
      <c r="I918" s="3928" t="s">
        <v>811</v>
      </c>
    </row>
    <row r="919" spans="1:9" ht="11.25" customHeight="1">
      <c r="A919" s="3928" t="s">
        <v>2258</v>
      </c>
      <c r="B919" s="3928" t="s">
        <v>14</v>
      </c>
      <c r="C919" s="3928" t="s">
        <v>5574</v>
      </c>
      <c r="D919" s="3928" t="s">
        <v>5575</v>
      </c>
      <c r="E919" s="3928" t="s">
        <v>5576</v>
      </c>
      <c r="F919" s="3928" t="s">
        <v>2309</v>
      </c>
      <c r="G919" s="3928" t="s">
        <v>5577</v>
      </c>
      <c r="H919" s="3928" t="s">
        <v>24</v>
      </c>
      <c r="I919" s="3928" t="s">
        <v>811</v>
      </c>
    </row>
    <row r="920" spans="1:9" ht="11.25" customHeight="1">
      <c r="A920" s="3928" t="s">
        <v>2258</v>
      </c>
      <c r="B920" s="3928" t="s">
        <v>14</v>
      </c>
      <c r="C920" s="3928" t="s">
        <v>5578</v>
      </c>
      <c r="D920" s="3928" t="s">
        <v>5579</v>
      </c>
      <c r="E920" s="3928" t="s">
        <v>5580</v>
      </c>
      <c r="F920" s="3928" t="s">
        <v>2304</v>
      </c>
      <c r="G920" s="3928" t="s">
        <v>24</v>
      </c>
      <c r="H920" s="3928" t="s">
        <v>24</v>
      </c>
      <c r="I920" s="3928" t="s">
        <v>811</v>
      </c>
    </row>
    <row r="921" spans="1:9" ht="11.25" customHeight="1">
      <c r="A921" s="3928" t="s">
        <v>2258</v>
      </c>
      <c r="B921" s="3928" t="s">
        <v>14</v>
      </c>
      <c r="C921" s="3928" t="s">
        <v>5581</v>
      </c>
      <c r="D921" s="3928" t="s">
        <v>5582</v>
      </c>
      <c r="E921" s="3928" t="s">
        <v>5583</v>
      </c>
      <c r="F921" s="3928" t="s">
        <v>2675</v>
      </c>
      <c r="G921" s="3928" t="s">
        <v>4783</v>
      </c>
      <c r="H921" s="3928" t="s">
        <v>24</v>
      </c>
      <c r="I921" s="3928" t="s">
        <v>811</v>
      </c>
    </row>
    <row r="922" spans="1:9" ht="11.25" customHeight="1">
      <c r="A922" s="3928" t="s">
        <v>2258</v>
      </c>
      <c r="B922" s="3928" t="s">
        <v>14</v>
      </c>
      <c r="C922" s="3928" t="s">
        <v>5584</v>
      </c>
      <c r="D922" s="3928" t="s">
        <v>5585</v>
      </c>
      <c r="E922" s="3928" t="s">
        <v>5586</v>
      </c>
      <c r="F922" s="3928" t="s">
        <v>5587</v>
      </c>
      <c r="G922" s="3928" t="s">
        <v>24</v>
      </c>
      <c r="H922" s="3928" t="s">
        <v>24</v>
      </c>
      <c r="I922" s="3928" t="s">
        <v>811</v>
      </c>
    </row>
    <row r="923" spans="1:9" ht="11.25" customHeight="1">
      <c r="A923" s="3928" t="s">
        <v>2258</v>
      </c>
      <c r="B923" s="3928" t="s">
        <v>14</v>
      </c>
      <c r="C923" s="3928" t="s">
        <v>5588</v>
      </c>
      <c r="D923" s="3928" t="s">
        <v>5589</v>
      </c>
      <c r="E923" s="3928" t="s">
        <v>5586</v>
      </c>
      <c r="F923" s="3928" t="s">
        <v>5590</v>
      </c>
      <c r="G923" s="3928" t="s">
        <v>24</v>
      </c>
      <c r="H923" s="3928" t="s">
        <v>5591</v>
      </c>
      <c r="I923" s="3928" t="s">
        <v>811</v>
      </c>
    </row>
    <row r="924" spans="1:9" ht="11.25" customHeight="1">
      <c r="A924" s="3928" t="s">
        <v>2258</v>
      </c>
      <c r="B924" s="3928" t="s">
        <v>14</v>
      </c>
      <c r="C924" s="3928" t="s">
        <v>5592</v>
      </c>
      <c r="D924" s="3928" t="s">
        <v>5593</v>
      </c>
      <c r="E924" s="3928" t="s">
        <v>5594</v>
      </c>
      <c r="F924" s="3928" t="s">
        <v>2344</v>
      </c>
      <c r="G924" s="3928" t="s">
        <v>5595</v>
      </c>
      <c r="H924" s="3928" t="s">
        <v>24</v>
      </c>
      <c r="I924" s="3928" t="s">
        <v>811</v>
      </c>
    </row>
    <row r="925" spans="1:9" ht="11.25" customHeight="1">
      <c r="A925" s="3928" t="s">
        <v>2258</v>
      </c>
      <c r="B925" s="3928" t="s">
        <v>14</v>
      </c>
      <c r="C925" s="3928" t="s">
        <v>5596</v>
      </c>
      <c r="D925" s="3928" t="s">
        <v>5597</v>
      </c>
      <c r="E925" s="3928" t="s">
        <v>5598</v>
      </c>
      <c r="F925" s="3928" t="s">
        <v>2473</v>
      </c>
      <c r="G925" s="3928" t="s">
        <v>5599</v>
      </c>
      <c r="H925" s="3928" t="s">
        <v>24</v>
      </c>
      <c r="I925" s="3928" t="s">
        <v>811</v>
      </c>
    </row>
    <row r="926" spans="1:9" ht="11.25" customHeight="1">
      <c r="A926" s="3928" t="s">
        <v>2258</v>
      </c>
      <c r="B926" s="3928" t="s">
        <v>14</v>
      </c>
      <c r="C926" s="3928" t="s">
        <v>5600</v>
      </c>
      <c r="D926" s="3928" t="s">
        <v>5601</v>
      </c>
      <c r="E926" s="3928" t="s">
        <v>5602</v>
      </c>
      <c r="F926" s="3928" t="s">
        <v>2289</v>
      </c>
      <c r="G926" s="3928" t="s">
        <v>5603</v>
      </c>
      <c r="H926" s="3928" t="s">
        <v>24</v>
      </c>
      <c r="I926" s="3928" t="s">
        <v>811</v>
      </c>
    </row>
    <row r="927" spans="1:9" ht="11.25" customHeight="1">
      <c r="A927" s="3928" t="s">
        <v>2258</v>
      </c>
      <c r="B927" s="3928" t="s">
        <v>14</v>
      </c>
      <c r="C927" s="3928" t="s">
        <v>5604</v>
      </c>
      <c r="D927" s="3928" t="s">
        <v>5605</v>
      </c>
      <c r="E927" s="3928" t="s">
        <v>5606</v>
      </c>
      <c r="F927" s="3928" t="s">
        <v>49</v>
      </c>
      <c r="G927" s="3928" t="s">
        <v>24</v>
      </c>
      <c r="H927" s="3928" t="s">
        <v>24</v>
      </c>
      <c r="I927" s="3928" t="s">
        <v>811</v>
      </c>
    </row>
    <row r="928" spans="1:9" ht="11.25" customHeight="1">
      <c r="A928" s="3928" t="s">
        <v>2258</v>
      </c>
      <c r="B928" s="3928" t="s">
        <v>14</v>
      </c>
      <c r="C928" s="3928" t="s">
        <v>5607</v>
      </c>
      <c r="D928" s="3928" t="s">
        <v>5608</v>
      </c>
      <c r="E928" s="3928" t="s">
        <v>5609</v>
      </c>
      <c r="F928" s="3928" t="s">
        <v>2675</v>
      </c>
      <c r="G928" s="3928" t="s">
        <v>24</v>
      </c>
      <c r="H928" s="3928" t="s">
        <v>24</v>
      </c>
      <c r="I928" s="3928" t="s">
        <v>811</v>
      </c>
    </row>
    <row r="929" spans="1:9" ht="11.25" customHeight="1">
      <c r="A929" s="3928" t="s">
        <v>2258</v>
      </c>
      <c r="B929" s="3928" t="s">
        <v>14</v>
      </c>
      <c r="C929" s="3928" t="s">
        <v>5610</v>
      </c>
      <c r="D929" s="3928" t="s">
        <v>5608</v>
      </c>
      <c r="E929" s="3928" t="s">
        <v>5611</v>
      </c>
      <c r="F929" s="3928" t="s">
        <v>2486</v>
      </c>
      <c r="G929" s="3928" t="s">
        <v>5612</v>
      </c>
      <c r="H929" s="3928" t="s">
        <v>24</v>
      </c>
      <c r="I929" s="3928" t="s">
        <v>811</v>
      </c>
    </row>
    <row r="930" spans="1:9" ht="11.25" customHeight="1">
      <c r="A930" s="3928" t="s">
        <v>2258</v>
      </c>
      <c r="B930" s="3928" t="s">
        <v>14</v>
      </c>
      <c r="C930" s="3928" t="s">
        <v>5613</v>
      </c>
      <c r="D930" s="3928" t="s">
        <v>5614</v>
      </c>
      <c r="E930" s="3928" t="s">
        <v>5615</v>
      </c>
      <c r="F930" s="3928" t="s">
        <v>2473</v>
      </c>
      <c r="G930" s="3928" t="s">
        <v>5616</v>
      </c>
      <c r="H930" s="3928" t="s">
        <v>24</v>
      </c>
      <c r="I930" s="3928" t="s">
        <v>811</v>
      </c>
    </row>
    <row r="931" spans="1:9" ht="11.25" customHeight="1">
      <c r="A931" s="3928" t="s">
        <v>2258</v>
      </c>
      <c r="B931" s="3928" t="s">
        <v>14</v>
      </c>
      <c r="C931" s="3928" t="s">
        <v>5617</v>
      </c>
      <c r="D931" s="3928" t="s">
        <v>5618</v>
      </c>
      <c r="E931" s="3928" t="s">
        <v>5619</v>
      </c>
      <c r="F931" s="3928" t="s">
        <v>2424</v>
      </c>
      <c r="G931" s="3928" t="s">
        <v>5620</v>
      </c>
      <c r="H931" s="3928" t="s">
        <v>24</v>
      </c>
      <c r="I931" s="3928" t="s">
        <v>811</v>
      </c>
    </row>
    <row r="932" spans="1:9" ht="11.25" customHeight="1">
      <c r="A932" s="3928" t="s">
        <v>2258</v>
      </c>
      <c r="B932" s="3928" t="s">
        <v>14</v>
      </c>
      <c r="C932" s="3928" t="s">
        <v>5621</v>
      </c>
      <c r="D932" s="3928" t="s">
        <v>5622</v>
      </c>
      <c r="E932" s="3928" t="s">
        <v>5623</v>
      </c>
      <c r="F932" s="3928" t="s">
        <v>2675</v>
      </c>
      <c r="G932" s="3928" t="s">
        <v>5624</v>
      </c>
      <c r="H932" s="3928" t="s">
        <v>24</v>
      </c>
      <c r="I932" s="3928" t="s">
        <v>811</v>
      </c>
    </row>
    <row r="933" spans="1:9" ht="11.25" customHeight="1">
      <c r="A933" s="3928" t="s">
        <v>2258</v>
      </c>
      <c r="B933" s="3928" t="s">
        <v>14</v>
      </c>
      <c r="C933" s="3928" t="s">
        <v>5625</v>
      </c>
      <c r="D933" s="3928" t="s">
        <v>5626</v>
      </c>
      <c r="E933" s="3928" t="s">
        <v>5627</v>
      </c>
      <c r="F933" s="3928" t="s">
        <v>2473</v>
      </c>
      <c r="G933" s="3928" t="s">
        <v>5628</v>
      </c>
      <c r="H933" s="3928" t="s">
        <v>24</v>
      </c>
      <c r="I933" s="3928" t="s">
        <v>811</v>
      </c>
    </row>
    <row r="934" spans="1:9" ht="11.25" customHeight="1">
      <c r="A934" s="3928" t="s">
        <v>2258</v>
      </c>
      <c r="B934" s="3928" t="s">
        <v>14</v>
      </c>
      <c r="C934" s="3928" t="s">
        <v>5629</v>
      </c>
      <c r="D934" s="3928" t="s">
        <v>5630</v>
      </c>
      <c r="E934" s="3928" t="s">
        <v>4478</v>
      </c>
      <c r="F934" s="3928" t="s">
        <v>2262</v>
      </c>
      <c r="G934" s="3928" t="s">
        <v>24</v>
      </c>
      <c r="H934" s="3928" t="s">
        <v>24</v>
      </c>
      <c r="I934" s="3928" t="s">
        <v>811</v>
      </c>
    </row>
    <row r="935" spans="1:9" ht="11.25" customHeight="1">
      <c r="A935" s="3928" t="s">
        <v>2258</v>
      </c>
      <c r="B935" s="3928" t="s">
        <v>14</v>
      </c>
      <c r="C935" s="3928" t="s">
        <v>5631</v>
      </c>
      <c r="D935" s="3928" t="s">
        <v>44</v>
      </c>
      <c r="E935" s="3928" t="s">
        <v>47</v>
      </c>
      <c r="F935" s="3928" t="s">
        <v>49</v>
      </c>
      <c r="G935" s="3928" t="s">
        <v>5632</v>
      </c>
      <c r="H935" s="3928" t="s">
        <v>24</v>
      </c>
      <c r="I935" s="3928" t="s">
        <v>811</v>
      </c>
    </row>
    <row r="936" spans="1:9" ht="11.25" customHeight="1">
      <c r="A936" s="3928" t="s">
        <v>2258</v>
      </c>
      <c r="B936" s="3928" t="s">
        <v>14</v>
      </c>
      <c r="C936" s="3928" t="s">
        <v>5633</v>
      </c>
      <c r="D936" s="3928" t="s">
        <v>5634</v>
      </c>
      <c r="E936" s="3928" t="s">
        <v>5635</v>
      </c>
      <c r="F936" s="3928" t="s">
        <v>2349</v>
      </c>
      <c r="G936" s="3928" t="s">
        <v>5636</v>
      </c>
      <c r="H936" s="3928" t="s">
        <v>24</v>
      </c>
      <c r="I936" s="3928" t="s">
        <v>811</v>
      </c>
    </row>
    <row r="937" spans="1:9" ht="11.25" customHeight="1">
      <c r="A937" s="3928" t="s">
        <v>2258</v>
      </c>
      <c r="B937" s="3928" t="s">
        <v>14</v>
      </c>
      <c r="C937" s="3928" t="s">
        <v>5637</v>
      </c>
      <c r="D937" s="3928" t="s">
        <v>5638</v>
      </c>
      <c r="E937" s="3928" t="s">
        <v>5639</v>
      </c>
      <c r="F937" s="3928" t="s">
        <v>2638</v>
      </c>
      <c r="G937" s="3928" t="s">
        <v>24</v>
      </c>
      <c r="H937" s="3928" t="s">
        <v>2263</v>
      </c>
      <c r="I937" s="3928" t="s">
        <v>811</v>
      </c>
    </row>
    <row r="938" spans="1:9" ht="11.25" customHeight="1">
      <c r="A938" s="3928" t="s">
        <v>2258</v>
      </c>
      <c r="B938" s="3928" t="s">
        <v>14</v>
      </c>
      <c r="C938" s="3928" t="s">
        <v>5640</v>
      </c>
      <c r="D938" s="3928" t="s">
        <v>5641</v>
      </c>
      <c r="E938" s="3928" t="s">
        <v>5642</v>
      </c>
      <c r="F938" s="3928" t="s">
        <v>2304</v>
      </c>
      <c r="G938" s="3928" t="s">
        <v>5643</v>
      </c>
      <c r="H938" s="3928" t="s">
        <v>24</v>
      </c>
      <c r="I938" s="3928" t="s">
        <v>811</v>
      </c>
    </row>
    <row r="939" spans="1:9" ht="11.25" customHeight="1">
      <c r="A939" s="3928" t="s">
        <v>2258</v>
      </c>
      <c r="B939" s="3928" t="s">
        <v>14</v>
      </c>
      <c r="C939" s="3928" t="s">
        <v>5644</v>
      </c>
      <c r="D939" s="3928" t="s">
        <v>5645</v>
      </c>
      <c r="E939" s="3928" t="s">
        <v>5646</v>
      </c>
      <c r="F939" s="3928" t="s">
        <v>2486</v>
      </c>
      <c r="G939" s="3928" t="s">
        <v>24</v>
      </c>
      <c r="H939" s="3928" t="s">
        <v>24</v>
      </c>
      <c r="I939" s="3928" t="s">
        <v>811</v>
      </c>
    </row>
    <row r="940" spans="1:9" ht="11.25" customHeight="1">
      <c r="A940" s="3928" t="s">
        <v>2258</v>
      </c>
      <c r="B940" s="3928" t="s">
        <v>14</v>
      </c>
      <c r="C940" s="3928" t="s">
        <v>5647</v>
      </c>
      <c r="D940" s="3928" t="s">
        <v>5648</v>
      </c>
      <c r="E940" s="3928" t="s">
        <v>5649</v>
      </c>
      <c r="F940" s="3928" t="s">
        <v>2451</v>
      </c>
      <c r="G940" s="3928" t="s">
        <v>4043</v>
      </c>
      <c r="H940" s="3928" t="s">
        <v>24</v>
      </c>
      <c r="I940" s="3928" t="s">
        <v>811</v>
      </c>
    </row>
    <row r="941" spans="1:9" ht="11.25" customHeight="1">
      <c r="A941" s="3928" t="s">
        <v>2258</v>
      </c>
      <c r="B941" s="3928" t="s">
        <v>14</v>
      </c>
      <c r="C941" s="3928" t="s">
        <v>5650</v>
      </c>
      <c r="D941" s="3928" t="s">
        <v>5651</v>
      </c>
      <c r="E941" s="3928" t="s">
        <v>5652</v>
      </c>
      <c r="F941" s="3928" t="s">
        <v>2409</v>
      </c>
      <c r="G941" s="3928" t="s">
        <v>5653</v>
      </c>
      <c r="H941" s="3928" t="s">
        <v>24</v>
      </c>
      <c r="I941" s="3928" t="s">
        <v>811</v>
      </c>
    </row>
    <row r="942" spans="1:9" ht="11.25" customHeight="1">
      <c r="A942" s="3928" t="s">
        <v>2258</v>
      </c>
      <c r="B942" s="3928" t="s">
        <v>14</v>
      </c>
      <c r="C942" s="3928" t="s">
        <v>5654</v>
      </c>
      <c r="D942" s="3928" t="s">
        <v>5655</v>
      </c>
      <c r="E942" s="3928" t="s">
        <v>5656</v>
      </c>
      <c r="F942" s="3928" t="s">
        <v>5657</v>
      </c>
      <c r="G942" s="3928" t="s">
        <v>5658</v>
      </c>
      <c r="H942" s="3928" t="s">
        <v>24</v>
      </c>
      <c r="I942" s="3928" t="s">
        <v>811</v>
      </c>
    </row>
    <row r="943" spans="1:9" ht="11.25" customHeight="1">
      <c r="A943" s="3928" t="s">
        <v>2258</v>
      </c>
      <c r="B943" s="3928" t="s">
        <v>14</v>
      </c>
      <c r="C943" s="3928" t="s">
        <v>5659</v>
      </c>
      <c r="D943" s="3928" t="s">
        <v>5660</v>
      </c>
      <c r="E943" s="3928" t="s">
        <v>5661</v>
      </c>
      <c r="F943" s="3928" t="s">
        <v>2289</v>
      </c>
      <c r="G943" s="3928" t="s">
        <v>24</v>
      </c>
      <c r="H943" s="3928" t="s">
        <v>24</v>
      </c>
      <c r="I943" s="3928" t="s">
        <v>811</v>
      </c>
    </row>
    <row r="944" spans="1:9" ht="11.25" customHeight="1">
      <c r="A944" s="3928" t="s">
        <v>2258</v>
      </c>
      <c r="B944" s="3928" t="s">
        <v>14</v>
      </c>
      <c r="C944" s="3928" t="s">
        <v>5662</v>
      </c>
      <c r="D944" s="3928" t="s">
        <v>5663</v>
      </c>
      <c r="E944" s="3928" t="s">
        <v>5664</v>
      </c>
      <c r="F944" s="3928" t="s">
        <v>2262</v>
      </c>
      <c r="G944" s="3928" t="s">
        <v>5665</v>
      </c>
      <c r="H944" s="3928" t="s">
        <v>24</v>
      </c>
      <c r="I944" s="3928" t="s">
        <v>811</v>
      </c>
    </row>
    <row r="945" spans="1:9" ht="11.25" customHeight="1">
      <c r="A945" s="3928" t="s">
        <v>2258</v>
      </c>
      <c r="B945" s="3928" t="s">
        <v>14</v>
      </c>
      <c r="C945" s="3928" t="s">
        <v>5666</v>
      </c>
      <c r="D945" s="3928" t="s">
        <v>5667</v>
      </c>
      <c r="E945" s="3928" t="s">
        <v>5668</v>
      </c>
      <c r="F945" s="3928" t="s">
        <v>2397</v>
      </c>
      <c r="G945" s="3928" t="s">
        <v>24</v>
      </c>
      <c r="H945" s="3928" t="s">
        <v>24</v>
      </c>
      <c r="I945" s="3928" t="s">
        <v>811</v>
      </c>
    </row>
    <row r="946" spans="1:9" ht="11.25" customHeight="1">
      <c r="A946" s="3928" t="s">
        <v>2258</v>
      </c>
      <c r="B946" s="3928" t="s">
        <v>14</v>
      </c>
      <c r="C946" s="3928" t="s">
        <v>5669</v>
      </c>
      <c r="D946" s="3928" t="s">
        <v>5670</v>
      </c>
      <c r="E946" s="3928" t="s">
        <v>5671</v>
      </c>
      <c r="F946" s="3928" t="s">
        <v>2294</v>
      </c>
      <c r="G946" s="3928" t="s">
        <v>24</v>
      </c>
      <c r="H946" s="3928" t="s">
        <v>24</v>
      </c>
      <c r="I946" s="3928" t="s">
        <v>811</v>
      </c>
    </row>
    <row r="947" spans="1:9" ht="11.25" customHeight="1">
      <c r="A947" s="3928" t="s">
        <v>2258</v>
      </c>
      <c r="B947" s="3928" t="s">
        <v>14</v>
      </c>
      <c r="C947" s="3928" t="s">
        <v>5672</v>
      </c>
      <c r="D947" s="3928" t="s">
        <v>5673</v>
      </c>
      <c r="E947" s="3928" t="s">
        <v>5674</v>
      </c>
      <c r="F947" s="3928" t="s">
        <v>3082</v>
      </c>
      <c r="G947" s="3928" t="s">
        <v>24</v>
      </c>
      <c r="H947" s="3928" t="s">
        <v>2772</v>
      </c>
      <c r="I947" s="3928" t="s">
        <v>811</v>
      </c>
    </row>
    <row r="948" spans="1:9" ht="11.25" customHeight="1">
      <c r="A948" s="3928" t="s">
        <v>2258</v>
      </c>
      <c r="B948" s="3928" t="s">
        <v>14</v>
      </c>
      <c r="C948" s="3928" t="s">
        <v>5675</v>
      </c>
      <c r="D948" s="3928" t="s">
        <v>5676</v>
      </c>
      <c r="E948" s="3928" t="s">
        <v>5677</v>
      </c>
      <c r="F948" s="3928" t="s">
        <v>2344</v>
      </c>
      <c r="G948" s="3928" t="s">
        <v>5678</v>
      </c>
      <c r="H948" s="3928" t="s">
        <v>24</v>
      </c>
      <c r="I948" s="3928" t="s">
        <v>811</v>
      </c>
    </row>
    <row r="949" spans="1:9" ht="11.25" customHeight="1">
      <c r="A949" s="3928" t="s">
        <v>2258</v>
      </c>
      <c r="B949" s="3928" t="s">
        <v>14</v>
      </c>
      <c r="C949" s="3928" t="s">
        <v>5679</v>
      </c>
      <c r="D949" s="3928" t="s">
        <v>5680</v>
      </c>
      <c r="E949" s="3928" t="s">
        <v>5681</v>
      </c>
      <c r="F949" s="3928" t="s">
        <v>5310</v>
      </c>
      <c r="G949" s="3928" t="s">
        <v>24</v>
      </c>
      <c r="H949" s="3928" t="s">
        <v>24</v>
      </c>
      <c r="I949" s="3928" t="s">
        <v>811</v>
      </c>
    </row>
    <row r="950" spans="1:9" ht="11.25" customHeight="1">
      <c r="A950" s="3928" t="s">
        <v>2258</v>
      </c>
      <c r="B950" s="3928" t="s">
        <v>14</v>
      </c>
      <c r="C950" s="3928" t="s">
        <v>5682</v>
      </c>
      <c r="D950" s="3928" t="s">
        <v>5683</v>
      </c>
      <c r="E950" s="3928" t="s">
        <v>5684</v>
      </c>
      <c r="F950" s="3928" t="s">
        <v>2294</v>
      </c>
      <c r="G950" s="3928" t="s">
        <v>5685</v>
      </c>
      <c r="H950" s="3928" t="s">
        <v>2475</v>
      </c>
      <c r="I950" s="3928" t="s">
        <v>811</v>
      </c>
    </row>
    <row r="951" spans="1:9" ht="11.25" customHeight="1">
      <c r="A951" s="3928" t="s">
        <v>2258</v>
      </c>
      <c r="B951" s="3928" t="s">
        <v>14</v>
      </c>
      <c r="C951" s="3928" t="s">
        <v>5686</v>
      </c>
      <c r="D951" s="3928" t="s">
        <v>5687</v>
      </c>
      <c r="E951" s="3928" t="s">
        <v>5688</v>
      </c>
      <c r="F951" s="3928" t="s">
        <v>2409</v>
      </c>
      <c r="G951" s="3928" t="s">
        <v>5689</v>
      </c>
      <c r="H951" s="3928" t="s">
        <v>24</v>
      </c>
      <c r="I951" s="3928" t="s">
        <v>811</v>
      </c>
    </row>
    <row r="952" spans="1:9" ht="11.25" customHeight="1">
      <c r="A952" s="3928" t="s">
        <v>2258</v>
      </c>
      <c r="B952" s="3928" t="s">
        <v>14</v>
      </c>
      <c r="C952" s="3928" t="s">
        <v>5690</v>
      </c>
      <c r="D952" s="3928" t="s">
        <v>5691</v>
      </c>
      <c r="E952" s="3928" t="s">
        <v>5692</v>
      </c>
      <c r="F952" s="3928" t="s">
        <v>3580</v>
      </c>
      <c r="G952" s="3928" t="s">
        <v>24</v>
      </c>
      <c r="H952" s="3928" t="s">
        <v>24</v>
      </c>
      <c r="I952" s="3928" t="s">
        <v>811</v>
      </c>
    </row>
    <row r="953" spans="1:9" ht="11.25" customHeight="1">
      <c r="A953" s="3928" t="s">
        <v>2258</v>
      </c>
      <c r="B953" s="3928" t="s">
        <v>14</v>
      </c>
      <c r="C953" s="3928" t="s">
        <v>5693</v>
      </c>
      <c r="D953" s="3928" t="s">
        <v>5694</v>
      </c>
      <c r="E953" s="3928" t="s">
        <v>5695</v>
      </c>
      <c r="F953" s="3928" t="s">
        <v>5696</v>
      </c>
      <c r="G953" s="3928" t="s">
        <v>24</v>
      </c>
      <c r="H953" s="3928" t="s">
        <v>2263</v>
      </c>
      <c r="I953" s="3928" t="s">
        <v>811</v>
      </c>
    </row>
    <row r="954" spans="1:9" ht="11.25" customHeight="1">
      <c r="A954" s="3928" t="s">
        <v>2258</v>
      </c>
      <c r="B954" s="3928" t="s">
        <v>14</v>
      </c>
      <c r="C954" s="3928" t="s">
        <v>5697</v>
      </c>
      <c r="D954" s="3928" t="s">
        <v>5698</v>
      </c>
      <c r="E954" s="3928" t="s">
        <v>5699</v>
      </c>
      <c r="F954" s="3928" t="s">
        <v>2473</v>
      </c>
      <c r="G954" s="3928" t="s">
        <v>24</v>
      </c>
      <c r="H954" s="3928" t="s">
        <v>3068</v>
      </c>
      <c r="I954" s="3928" t="s">
        <v>811</v>
      </c>
    </row>
    <row r="955" spans="1:9" ht="11.25" customHeight="1">
      <c r="A955" s="3928" t="s">
        <v>2258</v>
      </c>
      <c r="B955" s="3928" t="s">
        <v>14</v>
      </c>
      <c r="C955" s="3928" t="s">
        <v>5700</v>
      </c>
      <c r="D955" s="3928" t="s">
        <v>5701</v>
      </c>
      <c r="E955" s="3928" t="s">
        <v>5702</v>
      </c>
      <c r="F955" s="3928" t="s">
        <v>2397</v>
      </c>
      <c r="G955" s="3928" t="s">
        <v>5703</v>
      </c>
      <c r="H955" s="3928" t="s">
        <v>24</v>
      </c>
      <c r="I955" s="3928" t="s">
        <v>811</v>
      </c>
    </row>
    <row r="956" spans="1:9" ht="11.25" customHeight="1">
      <c r="A956" s="3928" t="s">
        <v>2258</v>
      </c>
      <c r="B956" s="3928" t="s">
        <v>14</v>
      </c>
      <c r="C956" s="3928" t="s">
        <v>5704</v>
      </c>
      <c r="D956" s="3928" t="s">
        <v>5705</v>
      </c>
      <c r="E956" s="3928" t="s">
        <v>5706</v>
      </c>
      <c r="F956" s="3928" t="s">
        <v>2473</v>
      </c>
      <c r="G956" s="3928" t="s">
        <v>24</v>
      </c>
      <c r="H956" s="3928" t="s">
        <v>24</v>
      </c>
      <c r="I956" s="3928" t="s">
        <v>811</v>
      </c>
    </row>
    <row r="957" spans="1:9" ht="11.25" customHeight="1">
      <c r="A957" s="3928" t="s">
        <v>2258</v>
      </c>
      <c r="B957" s="3928" t="s">
        <v>14</v>
      </c>
      <c r="C957" s="3928" t="s">
        <v>5707</v>
      </c>
      <c r="D957" s="3928" t="s">
        <v>5708</v>
      </c>
      <c r="E957" s="3928" t="s">
        <v>5709</v>
      </c>
      <c r="F957" s="3928" t="s">
        <v>2349</v>
      </c>
      <c r="G957" s="3928" t="s">
        <v>24</v>
      </c>
      <c r="H957" s="3928" t="s">
        <v>24</v>
      </c>
      <c r="I957" s="3928" t="s">
        <v>811</v>
      </c>
    </row>
    <row r="958" spans="1:9" ht="11.25" customHeight="1">
      <c r="A958" s="3928" t="s">
        <v>2258</v>
      </c>
      <c r="B958" s="3928" t="s">
        <v>14</v>
      </c>
      <c r="C958" s="3928" t="s">
        <v>5710</v>
      </c>
      <c r="D958" s="3928" t="s">
        <v>5711</v>
      </c>
      <c r="E958" s="3928" t="s">
        <v>5712</v>
      </c>
      <c r="F958" s="3928" t="s">
        <v>2289</v>
      </c>
      <c r="G958" s="3928" t="s">
        <v>24</v>
      </c>
      <c r="H958" s="3928" t="s">
        <v>2263</v>
      </c>
      <c r="I958" s="3928" t="s">
        <v>811</v>
      </c>
    </row>
    <row r="959" spans="1:9" ht="11.25" customHeight="1">
      <c r="A959" s="3928" t="s">
        <v>2258</v>
      </c>
      <c r="B959" s="3928" t="s">
        <v>14</v>
      </c>
      <c r="C959" s="3928" t="s">
        <v>5713</v>
      </c>
      <c r="D959" s="3928" t="s">
        <v>5714</v>
      </c>
      <c r="E959" s="3928" t="s">
        <v>5715</v>
      </c>
      <c r="F959" s="3928" t="s">
        <v>3841</v>
      </c>
      <c r="G959" s="3928" t="s">
        <v>5716</v>
      </c>
      <c r="H959" s="3928" t="s">
        <v>24</v>
      </c>
      <c r="I959" s="3928" t="s">
        <v>811</v>
      </c>
    </row>
    <row r="960" spans="1:9" ht="11.25" customHeight="1">
      <c r="A960" s="3928" t="s">
        <v>2258</v>
      </c>
      <c r="B960" s="3928" t="s">
        <v>14</v>
      </c>
      <c r="C960" s="3928" t="s">
        <v>5717</v>
      </c>
      <c r="D960" s="3928" t="s">
        <v>5718</v>
      </c>
      <c r="E960" s="3928" t="s">
        <v>5719</v>
      </c>
      <c r="F960" s="3928" t="s">
        <v>2289</v>
      </c>
      <c r="G960" s="3928" t="s">
        <v>5720</v>
      </c>
      <c r="H960" s="3928" t="s">
        <v>24</v>
      </c>
      <c r="I960" s="3928" t="s">
        <v>811</v>
      </c>
    </row>
    <row r="961" spans="1:9" ht="11.25" customHeight="1">
      <c r="A961" s="3928" t="s">
        <v>2258</v>
      </c>
      <c r="B961" s="3928" t="s">
        <v>14</v>
      </c>
      <c r="C961" s="3928" t="s">
        <v>5721</v>
      </c>
      <c r="D961" s="3928" t="s">
        <v>5722</v>
      </c>
      <c r="E961" s="3928" t="s">
        <v>5723</v>
      </c>
      <c r="F961" s="3928" t="s">
        <v>2414</v>
      </c>
      <c r="G961" s="3928" t="s">
        <v>24</v>
      </c>
      <c r="H961" s="3928" t="s">
        <v>2263</v>
      </c>
      <c r="I961" s="3928" t="s">
        <v>811</v>
      </c>
    </row>
    <row r="962" spans="1:9" ht="11.25" customHeight="1">
      <c r="A962" s="3928" t="s">
        <v>2258</v>
      </c>
      <c r="B962" s="3928" t="s">
        <v>14</v>
      </c>
      <c r="C962" s="3928" t="s">
        <v>5724</v>
      </c>
      <c r="D962" s="3928" t="s">
        <v>5725</v>
      </c>
      <c r="E962" s="3928" t="s">
        <v>5726</v>
      </c>
      <c r="F962" s="3928" t="s">
        <v>2473</v>
      </c>
      <c r="G962" s="3928" t="s">
        <v>5727</v>
      </c>
      <c r="H962" s="3928" t="s">
        <v>24</v>
      </c>
      <c r="I962" s="3928" t="s">
        <v>811</v>
      </c>
    </row>
    <row r="963" spans="1:9" ht="11.25" customHeight="1">
      <c r="A963" s="3928" t="s">
        <v>2258</v>
      </c>
      <c r="B963" s="3928" t="s">
        <v>14</v>
      </c>
      <c r="C963" s="3928" t="s">
        <v>5728</v>
      </c>
      <c r="D963" s="3928" t="s">
        <v>5729</v>
      </c>
      <c r="E963" s="3928" t="s">
        <v>5730</v>
      </c>
      <c r="F963" s="3928" t="s">
        <v>2289</v>
      </c>
      <c r="G963" s="3928" t="s">
        <v>24</v>
      </c>
      <c r="H963" s="3928" t="s">
        <v>2263</v>
      </c>
      <c r="I963" s="3928" t="s">
        <v>811</v>
      </c>
    </row>
    <row r="964" spans="1:9" ht="11.25" customHeight="1">
      <c r="A964" s="3928" t="s">
        <v>2258</v>
      </c>
      <c r="B964" s="3928" t="s">
        <v>14</v>
      </c>
      <c r="C964" s="3928" t="s">
        <v>5731</v>
      </c>
      <c r="D964" s="3928" t="s">
        <v>5732</v>
      </c>
      <c r="E964" s="3928" t="s">
        <v>5733</v>
      </c>
      <c r="F964" s="3928" t="s">
        <v>3051</v>
      </c>
      <c r="G964" s="3928" t="s">
        <v>5734</v>
      </c>
      <c r="H964" s="3928" t="s">
        <v>24</v>
      </c>
      <c r="I964" s="3928" t="s">
        <v>811</v>
      </c>
    </row>
    <row r="965" spans="1:9" ht="11.25" customHeight="1">
      <c r="A965" s="3928" t="s">
        <v>2258</v>
      </c>
      <c r="B965" s="3928" t="s">
        <v>14</v>
      </c>
      <c r="C965" s="3928" t="s">
        <v>5735</v>
      </c>
      <c r="D965" s="3928" t="s">
        <v>5736</v>
      </c>
      <c r="E965" s="3928" t="s">
        <v>5737</v>
      </c>
      <c r="F965" s="3928" t="s">
        <v>2397</v>
      </c>
      <c r="G965" s="3928" t="s">
        <v>5738</v>
      </c>
      <c r="H965" s="3928" t="s">
        <v>24</v>
      </c>
      <c r="I965" s="3928" t="s">
        <v>811</v>
      </c>
    </row>
    <row r="966" spans="1:9" ht="11.25" customHeight="1">
      <c r="A966" s="3928" t="s">
        <v>2258</v>
      </c>
      <c r="B966" s="3928" t="s">
        <v>14</v>
      </c>
      <c r="C966" s="3928" t="s">
        <v>5739</v>
      </c>
      <c r="D966" s="3928" t="s">
        <v>5740</v>
      </c>
      <c r="E966" s="3928" t="s">
        <v>5741</v>
      </c>
      <c r="F966" s="3928" t="s">
        <v>2397</v>
      </c>
      <c r="G966" s="3928" t="s">
        <v>5742</v>
      </c>
      <c r="H966" s="3928" t="s">
        <v>24</v>
      </c>
      <c r="I966" s="3928" t="s">
        <v>811</v>
      </c>
    </row>
    <row r="967" spans="1:9" ht="11.25" customHeight="1">
      <c r="A967" s="3928" t="s">
        <v>2258</v>
      </c>
      <c r="B967" s="3928" t="s">
        <v>14</v>
      </c>
      <c r="C967" s="3928" t="s">
        <v>5743</v>
      </c>
      <c r="D967" s="3928" t="s">
        <v>5744</v>
      </c>
      <c r="E967" s="3928" t="s">
        <v>5745</v>
      </c>
      <c r="F967" s="3928" t="s">
        <v>2414</v>
      </c>
      <c r="G967" s="3928" t="s">
        <v>24</v>
      </c>
      <c r="H967" s="3928" t="s">
        <v>24</v>
      </c>
      <c r="I967" s="3928" t="s">
        <v>811</v>
      </c>
    </row>
    <row r="968" spans="1:9" ht="11.25" customHeight="1">
      <c r="A968" s="3928" t="s">
        <v>2258</v>
      </c>
      <c r="B968" s="3928" t="s">
        <v>14</v>
      </c>
      <c r="C968" s="3928" t="s">
        <v>5746</v>
      </c>
      <c r="D968" s="3928" t="s">
        <v>5747</v>
      </c>
      <c r="E968" s="3928" t="s">
        <v>5748</v>
      </c>
      <c r="F968" s="3928" t="s">
        <v>2701</v>
      </c>
      <c r="G968" s="3928" t="s">
        <v>3735</v>
      </c>
      <c r="H968" s="3928" t="s">
        <v>2263</v>
      </c>
      <c r="I968" s="3928" t="s">
        <v>811</v>
      </c>
    </row>
    <row r="969" spans="1:9" ht="11.25" customHeight="1">
      <c r="A969" s="3928" t="s">
        <v>2258</v>
      </c>
      <c r="B969" s="3928" t="s">
        <v>14</v>
      </c>
      <c r="C969" s="3928" t="s">
        <v>5749</v>
      </c>
      <c r="D969" s="3928" t="s">
        <v>5750</v>
      </c>
      <c r="E969" s="3928" t="s">
        <v>5751</v>
      </c>
      <c r="F969" s="3928" t="s">
        <v>4721</v>
      </c>
      <c r="G969" s="3928" t="s">
        <v>5752</v>
      </c>
      <c r="H969" s="3928" t="s">
        <v>24</v>
      </c>
      <c r="I969" s="3928" t="s">
        <v>811</v>
      </c>
    </row>
    <row r="970" spans="1:9" ht="11.25" customHeight="1">
      <c r="A970" s="3928" t="s">
        <v>2258</v>
      </c>
      <c r="B970" s="3928" t="s">
        <v>14</v>
      </c>
      <c r="C970" s="3928" t="s">
        <v>5753</v>
      </c>
      <c r="D970" s="3928" t="s">
        <v>5754</v>
      </c>
      <c r="E970" s="3928" t="s">
        <v>5755</v>
      </c>
      <c r="F970" s="3928" t="s">
        <v>2267</v>
      </c>
      <c r="G970" s="3928" t="s">
        <v>24</v>
      </c>
      <c r="H970" s="3928" t="s">
        <v>2263</v>
      </c>
      <c r="I970" s="3928" t="s">
        <v>811</v>
      </c>
    </row>
    <row r="971" spans="1:9" ht="11.25" customHeight="1">
      <c r="A971" s="3928" t="s">
        <v>2258</v>
      </c>
      <c r="B971" s="3928" t="s">
        <v>14</v>
      </c>
      <c r="C971" s="3928" t="s">
        <v>5756</v>
      </c>
      <c r="D971" s="3928" t="s">
        <v>5757</v>
      </c>
      <c r="E971" s="3928" t="s">
        <v>5758</v>
      </c>
      <c r="F971" s="3928" t="s">
        <v>2419</v>
      </c>
      <c r="G971" s="3928" t="s">
        <v>24</v>
      </c>
      <c r="H971" s="3928" t="s">
        <v>24</v>
      </c>
      <c r="I971" s="3928" t="s">
        <v>811</v>
      </c>
    </row>
    <row r="972" spans="1:9" ht="11.25" customHeight="1">
      <c r="A972" s="3928" t="s">
        <v>2258</v>
      </c>
      <c r="B972" s="3928" t="s">
        <v>14</v>
      </c>
      <c r="C972" s="3928" t="s">
        <v>5759</v>
      </c>
      <c r="D972" s="3928" t="s">
        <v>5760</v>
      </c>
      <c r="E972" s="3928" t="s">
        <v>5761</v>
      </c>
      <c r="F972" s="3928" t="s">
        <v>2469</v>
      </c>
      <c r="G972" s="3928" t="s">
        <v>5762</v>
      </c>
      <c r="H972" s="3928" t="s">
        <v>24</v>
      </c>
      <c r="I972" s="3928" t="s">
        <v>811</v>
      </c>
    </row>
    <row r="973" spans="1:9" ht="11.25" customHeight="1">
      <c r="A973" s="3928" t="s">
        <v>2258</v>
      </c>
      <c r="B973" s="3928" t="s">
        <v>14</v>
      </c>
      <c r="C973" s="3928" t="s">
        <v>5763</v>
      </c>
      <c r="D973" s="3928" t="s">
        <v>5764</v>
      </c>
      <c r="E973" s="3928" t="s">
        <v>5765</v>
      </c>
      <c r="F973" s="3928" t="s">
        <v>2419</v>
      </c>
      <c r="G973" s="3928" t="s">
        <v>5766</v>
      </c>
      <c r="H973" s="3928" t="s">
        <v>24</v>
      </c>
      <c r="I973" s="3928" t="s">
        <v>811</v>
      </c>
    </row>
    <row r="974" spans="1:9" ht="11.25" customHeight="1">
      <c r="A974" s="3928" t="s">
        <v>2258</v>
      </c>
      <c r="B974" s="3928" t="s">
        <v>14</v>
      </c>
      <c r="C974" s="3928" t="s">
        <v>5767</v>
      </c>
      <c r="D974" s="3928" t="s">
        <v>5768</v>
      </c>
      <c r="E974" s="3928" t="s">
        <v>2270</v>
      </c>
      <c r="F974" s="3928" t="s">
        <v>2267</v>
      </c>
      <c r="G974" s="3928" t="s">
        <v>24</v>
      </c>
      <c r="H974" s="3928" t="s">
        <v>3075</v>
      </c>
      <c r="I974" s="3928" t="s">
        <v>811</v>
      </c>
    </row>
    <row r="975" spans="1:9" ht="11.25" customHeight="1">
      <c r="A975" s="3928" t="s">
        <v>2258</v>
      </c>
      <c r="B975" s="3928" t="s">
        <v>14</v>
      </c>
      <c r="C975" s="3928" t="s">
        <v>5769</v>
      </c>
      <c r="D975" s="3928" t="s">
        <v>5770</v>
      </c>
      <c r="E975" s="3928" t="s">
        <v>5771</v>
      </c>
      <c r="F975" s="3928" t="s">
        <v>5772</v>
      </c>
      <c r="G975" s="3928" t="s">
        <v>5773</v>
      </c>
      <c r="H975" s="3928" t="s">
        <v>24</v>
      </c>
      <c r="I975" s="3928" t="s">
        <v>811</v>
      </c>
    </row>
    <row r="976" spans="1:9" ht="11.25" customHeight="1">
      <c r="A976" s="3928" t="s">
        <v>2258</v>
      </c>
      <c r="B976" s="3928" t="s">
        <v>14</v>
      </c>
      <c r="C976" s="3928" t="s">
        <v>5774</v>
      </c>
      <c r="D976" s="3928" t="s">
        <v>5775</v>
      </c>
      <c r="E976" s="3928" t="s">
        <v>5776</v>
      </c>
      <c r="F976" s="3928" t="s">
        <v>5777</v>
      </c>
      <c r="G976" s="3928" t="s">
        <v>24</v>
      </c>
      <c r="H976" s="3928" t="s">
        <v>2263</v>
      </c>
      <c r="I976" s="3928" t="s">
        <v>811</v>
      </c>
    </row>
    <row r="977" spans="1:9" ht="11.25" customHeight="1">
      <c r="A977" s="3928" t="s">
        <v>2258</v>
      </c>
      <c r="B977" s="3928" t="s">
        <v>14</v>
      </c>
      <c r="C977" s="3928" t="s">
        <v>5778</v>
      </c>
      <c r="D977" s="3928" t="s">
        <v>5779</v>
      </c>
      <c r="E977" s="3928" t="s">
        <v>5776</v>
      </c>
      <c r="F977" s="3928" t="s">
        <v>5780</v>
      </c>
      <c r="G977" s="3928" t="s">
        <v>24</v>
      </c>
      <c r="H977" s="3928" t="s">
        <v>24</v>
      </c>
      <c r="I977" s="3928" t="s">
        <v>811</v>
      </c>
    </row>
    <row r="978" spans="1:9" ht="11.25" customHeight="1">
      <c r="A978" s="3928" t="s">
        <v>2258</v>
      </c>
      <c r="B978" s="3928" t="s">
        <v>14</v>
      </c>
      <c r="C978" s="3928" t="s">
        <v>5781</v>
      </c>
      <c r="D978" s="3928" t="s">
        <v>5782</v>
      </c>
      <c r="E978" s="3928" t="s">
        <v>5776</v>
      </c>
      <c r="F978" s="3928" t="s">
        <v>5783</v>
      </c>
      <c r="G978" s="3928" t="s">
        <v>24</v>
      </c>
      <c r="H978" s="3928" t="s">
        <v>24</v>
      </c>
      <c r="I978" s="3928" t="s">
        <v>811</v>
      </c>
    </row>
    <row r="979" spans="1:9" ht="11.25" customHeight="1">
      <c r="A979" s="3928" t="s">
        <v>2258</v>
      </c>
      <c r="B979" s="3928" t="s">
        <v>14</v>
      </c>
      <c r="C979" s="3928" t="s">
        <v>5784</v>
      </c>
      <c r="D979" s="3928" t="s">
        <v>5785</v>
      </c>
      <c r="E979" s="3928" t="s">
        <v>3954</v>
      </c>
      <c r="F979" s="3928" t="s">
        <v>2763</v>
      </c>
      <c r="G979" s="3928" t="s">
        <v>24</v>
      </c>
      <c r="H979" s="3928" t="s">
        <v>2475</v>
      </c>
      <c r="I979" s="3928" t="s">
        <v>811</v>
      </c>
    </row>
    <row r="980" spans="1:9" ht="11.25" customHeight="1">
      <c r="A980" s="3928" t="s">
        <v>2258</v>
      </c>
      <c r="B980" s="3928" t="s">
        <v>14</v>
      </c>
      <c r="C980" s="3928" t="s">
        <v>5786</v>
      </c>
      <c r="D980" s="3928" t="s">
        <v>5787</v>
      </c>
      <c r="E980" s="3928" t="s">
        <v>5788</v>
      </c>
      <c r="F980" s="3928" t="s">
        <v>2479</v>
      </c>
      <c r="G980" s="3928" t="s">
        <v>24</v>
      </c>
      <c r="H980" s="3928" t="s">
        <v>24</v>
      </c>
      <c r="I980" s="3928" t="s">
        <v>811</v>
      </c>
    </row>
    <row r="981" spans="1:9" ht="11.25" customHeight="1">
      <c r="A981" s="3928" t="s">
        <v>2258</v>
      </c>
      <c r="B981" s="3928" t="s">
        <v>14</v>
      </c>
      <c r="C981" s="3928" t="s">
        <v>5789</v>
      </c>
      <c r="D981" s="3928" t="s">
        <v>5790</v>
      </c>
      <c r="E981" s="3928" t="s">
        <v>5791</v>
      </c>
      <c r="F981" s="3928" t="s">
        <v>4792</v>
      </c>
      <c r="G981" s="3928" t="s">
        <v>5792</v>
      </c>
      <c r="H981" s="3928" t="s">
        <v>24</v>
      </c>
      <c r="I981" s="3928" t="s">
        <v>811</v>
      </c>
    </row>
    <row r="982" spans="1:9" ht="11.25" customHeight="1">
      <c r="A982" s="3928" t="s">
        <v>2258</v>
      </c>
      <c r="B982" s="3928" t="s">
        <v>14</v>
      </c>
      <c r="C982" s="3928" t="s">
        <v>5793</v>
      </c>
      <c r="D982" s="3928" t="s">
        <v>5794</v>
      </c>
      <c r="E982" s="3928" t="s">
        <v>5795</v>
      </c>
      <c r="F982" s="3928" t="s">
        <v>5796</v>
      </c>
      <c r="G982" s="3928" t="s">
        <v>24</v>
      </c>
      <c r="H982" s="3928" t="s">
        <v>24</v>
      </c>
      <c r="I982" s="3928" t="s">
        <v>811</v>
      </c>
    </row>
    <row r="983" spans="1:9" ht="11.25" customHeight="1">
      <c r="A983" s="3928" t="s">
        <v>2258</v>
      </c>
      <c r="B983" s="3928" t="s">
        <v>14</v>
      </c>
      <c r="C983" s="3928" t="s">
        <v>5797</v>
      </c>
      <c r="D983" s="3928" t="s">
        <v>5798</v>
      </c>
      <c r="E983" s="3928" t="s">
        <v>5799</v>
      </c>
      <c r="F983" s="3928" t="s">
        <v>2473</v>
      </c>
      <c r="G983" s="3928" t="s">
        <v>5800</v>
      </c>
      <c r="H983" s="3928" t="s">
        <v>24</v>
      </c>
      <c r="I983" s="3928" t="s">
        <v>811</v>
      </c>
    </row>
    <row r="984" spans="1:9" ht="11.25" customHeight="1">
      <c r="A984" s="3928" t="s">
        <v>2258</v>
      </c>
      <c r="B984" s="3928" t="s">
        <v>14</v>
      </c>
      <c r="C984" s="3928" t="s">
        <v>5801</v>
      </c>
      <c r="D984" s="3928" t="s">
        <v>5802</v>
      </c>
      <c r="E984" s="3928" t="s">
        <v>5803</v>
      </c>
      <c r="F984" s="3928" t="s">
        <v>2271</v>
      </c>
      <c r="G984" s="3928" t="s">
        <v>5804</v>
      </c>
      <c r="H984" s="3928" t="s">
        <v>24</v>
      </c>
      <c r="I984" s="3928" t="s">
        <v>811</v>
      </c>
    </row>
    <row r="985" spans="1:9" ht="11.25" customHeight="1">
      <c r="A985" s="3928" t="s">
        <v>2258</v>
      </c>
      <c r="B985" s="3928" t="s">
        <v>14</v>
      </c>
      <c r="C985" s="3928" t="s">
        <v>5805</v>
      </c>
      <c r="D985" s="3928" t="s">
        <v>5806</v>
      </c>
      <c r="E985" s="3928" t="s">
        <v>2809</v>
      </c>
      <c r="F985" s="3928" t="s">
        <v>5796</v>
      </c>
      <c r="G985" s="3928" t="s">
        <v>24</v>
      </c>
      <c r="H985" s="3928" t="s">
        <v>24</v>
      </c>
      <c r="I985" s="3928" t="s">
        <v>811</v>
      </c>
    </row>
    <row r="986" spans="1:9" ht="11.25" customHeight="1">
      <c r="A986" s="3928" t="s">
        <v>2258</v>
      </c>
      <c r="B986" s="3928" t="s">
        <v>14</v>
      </c>
      <c r="C986" s="3928" t="s">
        <v>5807</v>
      </c>
      <c r="D986" s="3928" t="s">
        <v>5808</v>
      </c>
      <c r="E986" s="3928" t="s">
        <v>5809</v>
      </c>
      <c r="F986" s="3928" t="s">
        <v>2304</v>
      </c>
      <c r="G986" s="3928" t="s">
        <v>5810</v>
      </c>
      <c r="H986" s="3928" t="s">
        <v>24</v>
      </c>
      <c r="I986" s="3928" t="s">
        <v>811</v>
      </c>
    </row>
    <row r="987" spans="1:9" ht="11.25" customHeight="1">
      <c r="A987" s="3928" t="s">
        <v>2258</v>
      </c>
      <c r="B987" s="3928" t="s">
        <v>14</v>
      </c>
      <c r="C987" s="3928" t="s">
        <v>5811</v>
      </c>
      <c r="D987" s="3928" t="s">
        <v>5812</v>
      </c>
      <c r="E987" s="3928" t="s">
        <v>5813</v>
      </c>
      <c r="F987" s="3928" t="s">
        <v>5814</v>
      </c>
      <c r="G987" s="3928" t="s">
        <v>5815</v>
      </c>
      <c r="H987" s="3928" t="s">
        <v>24</v>
      </c>
      <c r="I987" s="3928" t="s">
        <v>811</v>
      </c>
    </row>
    <row r="988" spans="1:9" ht="11.25" customHeight="1">
      <c r="A988" s="3928" t="s">
        <v>2258</v>
      </c>
      <c r="B988" s="3928" t="s">
        <v>14</v>
      </c>
      <c r="C988" s="3928" t="s">
        <v>5816</v>
      </c>
      <c r="D988" s="3928" t="s">
        <v>5817</v>
      </c>
      <c r="E988" s="3928" t="s">
        <v>5818</v>
      </c>
      <c r="F988" s="3928" t="s">
        <v>5819</v>
      </c>
      <c r="G988" s="3928" t="s">
        <v>5820</v>
      </c>
      <c r="H988" s="3928" t="s">
        <v>24</v>
      </c>
      <c r="I988" s="3928" t="s">
        <v>811</v>
      </c>
    </row>
    <row r="989" spans="1:9" ht="11.25" customHeight="1">
      <c r="A989" s="3928" t="s">
        <v>2258</v>
      </c>
      <c r="B989" s="3928" t="s">
        <v>14</v>
      </c>
      <c r="C989" s="3928" t="s">
        <v>5821</v>
      </c>
      <c r="D989" s="3928" t="s">
        <v>5822</v>
      </c>
      <c r="E989" s="3928" t="s">
        <v>5823</v>
      </c>
      <c r="F989" s="3928" t="s">
        <v>2349</v>
      </c>
      <c r="G989" s="3928" t="s">
        <v>5824</v>
      </c>
      <c r="H989" s="3928" t="s">
        <v>24</v>
      </c>
      <c r="I989" s="3928" t="s">
        <v>811</v>
      </c>
    </row>
    <row r="990" spans="1:9" ht="11.25" customHeight="1">
      <c r="A990" s="3928" t="s">
        <v>2258</v>
      </c>
      <c r="B990" s="3928" t="s">
        <v>14</v>
      </c>
      <c r="C990" s="3928" t="s">
        <v>5825</v>
      </c>
      <c r="D990" s="3928" t="s">
        <v>5826</v>
      </c>
      <c r="E990" s="3928" t="s">
        <v>5827</v>
      </c>
      <c r="F990" s="3928" t="s">
        <v>5828</v>
      </c>
      <c r="G990" s="3928" t="s">
        <v>5829</v>
      </c>
      <c r="H990" s="3928" t="s">
        <v>24</v>
      </c>
      <c r="I990" s="3928" t="s">
        <v>811</v>
      </c>
    </row>
    <row r="991" spans="1:9" ht="11.25" customHeight="1">
      <c r="A991" s="3928" t="s">
        <v>2258</v>
      </c>
      <c r="B991" s="3928" t="s">
        <v>14</v>
      </c>
      <c r="C991" s="3928" t="s">
        <v>5830</v>
      </c>
      <c r="D991" s="3928" t="s">
        <v>5831</v>
      </c>
      <c r="E991" s="3928" t="s">
        <v>5832</v>
      </c>
      <c r="F991" s="3928" t="s">
        <v>2567</v>
      </c>
      <c r="G991" s="3928" t="s">
        <v>5833</v>
      </c>
      <c r="H991" s="3928" t="s">
        <v>24</v>
      </c>
      <c r="I991" s="3928" t="s">
        <v>811</v>
      </c>
    </row>
    <row r="992" spans="1:9" ht="11.25" customHeight="1">
      <c r="A992" s="3928" t="s">
        <v>2258</v>
      </c>
      <c r="B992" s="3928" t="s">
        <v>14</v>
      </c>
      <c r="C992" s="3928" t="s">
        <v>5834</v>
      </c>
      <c r="D992" s="3928" t="s">
        <v>5835</v>
      </c>
      <c r="E992" s="3928" t="s">
        <v>4020</v>
      </c>
      <c r="F992" s="3928" t="s">
        <v>2513</v>
      </c>
      <c r="G992" s="3928" t="s">
        <v>24</v>
      </c>
      <c r="H992" s="3928" t="s">
        <v>24</v>
      </c>
      <c r="I992" s="3928" t="s">
        <v>811</v>
      </c>
    </row>
    <row r="993" spans="1:9" ht="11.25" customHeight="1">
      <c r="A993" s="3928" t="s">
        <v>2258</v>
      </c>
      <c r="B993" s="3928" t="s">
        <v>14</v>
      </c>
      <c r="C993" s="3928" t="s">
        <v>5836</v>
      </c>
      <c r="D993" s="3928" t="s">
        <v>5837</v>
      </c>
      <c r="E993" s="3928" t="s">
        <v>5838</v>
      </c>
      <c r="F993" s="3928" t="s">
        <v>3841</v>
      </c>
      <c r="G993" s="3928" t="s">
        <v>24</v>
      </c>
      <c r="H993" s="3928" t="s">
        <v>2263</v>
      </c>
      <c r="I993" s="3928" t="s">
        <v>811</v>
      </c>
    </row>
    <row r="994" spans="1:9" ht="11.25" customHeight="1">
      <c r="A994" s="3928" t="s">
        <v>2258</v>
      </c>
      <c r="B994" s="3928" t="s">
        <v>14</v>
      </c>
      <c r="C994" s="3928" t="s">
        <v>5839</v>
      </c>
      <c r="D994" s="3928" t="s">
        <v>5840</v>
      </c>
      <c r="E994" s="3928" t="s">
        <v>5841</v>
      </c>
      <c r="F994" s="3928" t="s">
        <v>5842</v>
      </c>
      <c r="G994" s="3928" t="s">
        <v>24</v>
      </c>
      <c r="H994" s="3928" t="s">
        <v>2263</v>
      </c>
      <c r="I994" s="3928" t="s">
        <v>811</v>
      </c>
    </row>
    <row r="995" spans="1:9" ht="11.25" customHeight="1">
      <c r="A995" s="3928" t="s">
        <v>2258</v>
      </c>
      <c r="B995" s="3928" t="s">
        <v>14</v>
      </c>
      <c r="C995" s="3928" t="s">
        <v>5843</v>
      </c>
      <c r="D995" s="3928" t="s">
        <v>5844</v>
      </c>
      <c r="E995" s="3928" t="s">
        <v>5845</v>
      </c>
      <c r="F995" s="3928" t="s">
        <v>2535</v>
      </c>
      <c r="G995" s="3928" t="s">
        <v>24</v>
      </c>
      <c r="H995" s="3928" t="s">
        <v>2263</v>
      </c>
      <c r="I995" s="3928" t="s">
        <v>811</v>
      </c>
    </row>
    <row r="996" spans="1:9" ht="11.25" customHeight="1">
      <c r="A996" s="3928" t="s">
        <v>2258</v>
      </c>
      <c r="B996" s="3928" t="s">
        <v>14</v>
      </c>
      <c r="C996" s="3928" t="s">
        <v>5846</v>
      </c>
      <c r="D996" s="3928" t="s">
        <v>5847</v>
      </c>
      <c r="E996" s="3928" t="s">
        <v>2270</v>
      </c>
      <c r="F996" s="3928" t="s">
        <v>5848</v>
      </c>
      <c r="G996" s="3928" t="s">
        <v>24</v>
      </c>
      <c r="H996" s="3928" t="s">
        <v>2772</v>
      </c>
      <c r="I996" s="3928" t="s">
        <v>811</v>
      </c>
    </row>
    <row r="997" spans="1:9" ht="11.25" customHeight="1">
      <c r="A997" s="3928" t="s">
        <v>2258</v>
      </c>
      <c r="B997" s="3928" t="s">
        <v>14</v>
      </c>
      <c r="C997" s="3928" t="s">
        <v>5849</v>
      </c>
      <c r="D997" s="3928" t="s">
        <v>5850</v>
      </c>
      <c r="E997" s="3928" t="s">
        <v>5851</v>
      </c>
      <c r="F997" s="3928" t="s">
        <v>2486</v>
      </c>
      <c r="G997" s="3928" t="s">
        <v>5852</v>
      </c>
      <c r="H997" s="3928" t="s">
        <v>24</v>
      </c>
      <c r="I997" s="3928" t="s">
        <v>811</v>
      </c>
    </row>
    <row r="998" spans="1:9" ht="11.25" customHeight="1">
      <c r="A998" s="3928" t="s">
        <v>2258</v>
      </c>
      <c r="B998" s="3928" t="s">
        <v>14</v>
      </c>
      <c r="C998" s="3928" t="s">
        <v>5853</v>
      </c>
      <c r="D998" s="3928" t="s">
        <v>5854</v>
      </c>
      <c r="E998" s="3928" t="s">
        <v>2270</v>
      </c>
      <c r="F998" s="3928" t="s">
        <v>5855</v>
      </c>
      <c r="G998" s="3928" t="s">
        <v>5856</v>
      </c>
      <c r="H998" s="3928" t="s">
        <v>2475</v>
      </c>
      <c r="I998" s="3928" t="s">
        <v>811</v>
      </c>
    </row>
    <row r="999" spans="1:9" ht="11.25" customHeight="1">
      <c r="A999" s="3928" t="s">
        <v>2258</v>
      </c>
      <c r="B999" s="3928" t="s">
        <v>14</v>
      </c>
      <c r="C999" s="3928" t="s">
        <v>5857</v>
      </c>
      <c r="D999" s="3928" t="s">
        <v>5858</v>
      </c>
      <c r="E999" s="3928" t="s">
        <v>3114</v>
      </c>
      <c r="F999" s="3928" t="s">
        <v>5859</v>
      </c>
      <c r="G999" s="3928" t="s">
        <v>24</v>
      </c>
      <c r="H999" s="3928" t="s">
        <v>24</v>
      </c>
      <c r="I999" s="3928" t="s">
        <v>811</v>
      </c>
    </row>
    <row r="1000" spans="1:9" ht="11.25" customHeight="1">
      <c r="A1000" s="3928" t="s">
        <v>2258</v>
      </c>
      <c r="B1000" s="3928" t="s">
        <v>14</v>
      </c>
      <c r="C1000" s="3928" t="s">
        <v>5860</v>
      </c>
      <c r="D1000" s="3928" t="s">
        <v>5861</v>
      </c>
      <c r="E1000" s="3928" t="s">
        <v>5862</v>
      </c>
      <c r="F1000" s="3928" t="s">
        <v>4792</v>
      </c>
      <c r="G1000" s="3928" t="s">
        <v>5863</v>
      </c>
      <c r="H1000" s="3928" t="s">
        <v>24</v>
      </c>
      <c r="I1000" s="3928" t="s">
        <v>811</v>
      </c>
    </row>
    <row r="1001" spans="1:9" ht="11.25" customHeight="1">
      <c r="A1001" s="3928" t="s">
        <v>2258</v>
      </c>
      <c r="B1001" s="3928" t="s">
        <v>14</v>
      </c>
      <c r="C1001" s="3928" t="s">
        <v>5864</v>
      </c>
      <c r="D1001" s="3928" t="s">
        <v>5865</v>
      </c>
      <c r="E1001" s="3928" t="s">
        <v>5866</v>
      </c>
      <c r="F1001" s="3928" t="s">
        <v>5867</v>
      </c>
      <c r="G1001" s="3928" t="s">
        <v>24</v>
      </c>
      <c r="H1001" s="3928" t="s">
        <v>2781</v>
      </c>
      <c r="I1001" s="3928" t="s">
        <v>811</v>
      </c>
    </row>
    <row r="1002" spans="1:9" ht="11.25" customHeight="1">
      <c r="A1002" s="3928" t="s">
        <v>2258</v>
      </c>
      <c r="B1002" s="3928" t="s">
        <v>14</v>
      </c>
      <c r="C1002" s="3928" t="s">
        <v>5868</v>
      </c>
      <c r="D1002" s="3928" t="s">
        <v>5869</v>
      </c>
      <c r="E1002" s="3928" t="s">
        <v>5870</v>
      </c>
      <c r="F1002" s="3928" t="s">
        <v>2262</v>
      </c>
      <c r="G1002" s="3928" t="s">
        <v>24</v>
      </c>
      <c r="H1002" s="3928" t="s">
        <v>5871</v>
      </c>
      <c r="I1002" s="3928" t="s">
        <v>811</v>
      </c>
    </row>
    <row r="1003" spans="1:9" ht="11.25" customHeight="1">
      <c r="A1003" s="3928" t="s">
        <v>2258</v>
      </c>
      <c r="B1003" s="3928" t="s">
        <v>14</v>
      </c>
      <c r="C1003" s="3928" t="s">
        <v>5872</v>
      </c>
      <c r="D1003" s="3928" t="s">
        <v>5873</v>
      </c>
      <c r="E1003" s="3928" t="s">
        <v>5874</v>
      </c>
      <c r="F1003" s="3928" t="s">
        <v>2796</v>
      </c>
      <c r="G1003" s="3928" t="s">
        <v>24</v>
      </c>
      <c r="H1003" s="3928" t="s">
        <v>2263</v>
      </c>
      <c r="I1003" s="3928" t="s">
        <v>811</v>
      </c>
    </row>
    <row r="1004" spans="1:9" ht="11.25" customHeight="1">
      <c r="A1004" s="3928" t="s">
        <v>2258</v>
      </c>
      <c r="B1004" s="3928" t="s">
        <v>14</v>
      </c>
      <c r="C1004" s="3928" t="s">
        <v>5875</v>
      </c>
      <c r="D1004" s="3928" t="s">
        <v>5876</v>
      </c>
      <c r="E1004" s="3928" t="s">
        <v>5877</v>
      </c>
      <c r="F1004" s="3928" t="s">
        <v>5878</v>
      </c>
      <c r="G1004" s="3928" t="s">
        <v>24</v>
      </c>
      <c r="H1004" s="3928" t="s">
        <v>24</v>
      </c>
      <c r="I1004" s="3928" t="s">
        <v>811</v>
      </c>
    </row>
    <row r="1005" spans="1:9" ht="11.25" customHeight="1">
      <c r="A1005" s="3928" t="s">
        <v>2258</v>
      </c>
      <c r="B1005" s="3928" t="s">
        <v>14</v>
      </c>
      <c r="C1005" s="3928" t="s">
        <v>5879</v>
      </c>
      <c r="D1005" s="3928" t="s">
        <v>5880</v>
      </c>
      <c r="E1005" s="3928" t="s">
        <v>3114</v>
      </c>
      <c r="F1005" s="3928" t="s">
        <v>5881</v>
      </c>
      <c r="G1005" s="3928" t="s">
        <v>24</v>
      </c>
      <c r="H1005" s="3928" t="s">
        <v>24</v>
      </c>
      <c r="I1005" s="3928" t="s">
        <v>811</v>
      </c>
    </row>
    <row r="1006" spans="1:9" ht="11.25" customHeight="1">
      <c r="A1006" s="3928" t="s">
        <v>2258</v>
      </c>
      <c r="B1006" s="3928" t="s">
        <v>14</v>
      </c>
      <c r="C1006" s="3928" t="s">
        <v>5882</v>
      </c>
      <c r="D1006" s="3928" t="s">
        <v>5883</v>
      </c>
      <c r="E1006" s="3928" t="s">
        <v>5884</v>
      </c>
      <c r="F1006" s="3928" t="s">
        <v>2262</v>
      </c>
      <c r="G1006" s="3928" t="s">
        <v>24</v>
      </c>
      <c r="H1006" s="3928" t="s">
        <v>2263</v>
      </c>
      <c r="I1006" s="3928" t="s">
        <v>811</v>
      </c>
    </row>
    <row r="1007" spans="1:9" ht="11.25" customHeight="1">
      <c r="A1007" s="3928" t="s">
        <v>2258</v>
      </c>
      <c r="B1007" s="3928" t="s">
        <v>14</v>
      </c>
      <c r="C1007" s="3928" t="s">
        <v>5885</v>
      </c>
      <c r="D1007" s="3928" t="s">
        <v>5886</v>
      </c>
      <c r="E1007" s="3928" t="s">
        <v>5887</v>
      </c>
      <c r="F1007" s="3928" t="s">
        <v>5310</v>
      </c>
      <c r="G1007" s="3928" t="s">
        <v>5888</v>
      </c>
      <c r="H1007" s="3928" t="s">
        <v>24</v>
      </c>
      <c r="I1007" s="3928" t="s">
        <v>811</v>
      </c>
    </row>
    <row r="1008" spans="1:9" ht="11.25" customHeight="1">
      <c r="A1008" s="3928" t="s">
        <v>2258</v>
      </c>
      <c r="B1008" s="3928" t="s">
        <v>14</v>
      </c>
      <c r="C1008" s="3928" t="s">
        <v>5889</v>
      </c>
      <c r="D1008" s="3928" t="s">
        <v>5890</v>
      </c>
      <c r="E1008" s="3928" t="s">
        <v>5891</v>
      </c>
      <c r="F1008" s="3928" t="s">
        <v>5892</v>
      </c>
      <c r="G1008" s="3928" t="s">
        <v>24</v>
      </c>
      <c r="H1008" s="3928" t="s">
        <v>24</v>
      </c>
      <c r="I1008" s="3928" t="s">
        <v>811</v>
      </c>
    </row>
    <row r="1009" spans="1:9" ht="11.25" customHeight="1">
      <c r="A1009" s="3928" t="s">
        <v>2258</v>
      </c>
      <c r="B1009" s="3928" t="s">
        <v>14</v>
      </c>
      <c r="C1009" s="3928" t="s">
        <v>5893</v>
      </c>
      <c r="D1009" s="3928" t="s">
        <v>5894</v>
      </c>
      <c r="E1009" s="3928" t="s">
        <v>5895</v>
      </c>
      <c r="F1009" s="3928" t="s">
        <v>5359</v>
      </c>
      <c r="G1009" s="3928" t="s">
        <v>24</v>
      </c>
      <c r="H1009" s="3928" t="s">
        <v>24</v>
      </c>
      <c r="I1009" s="3928" t="s">
        <v>811</v>
      </c>
    </row>
    <row r="1010" spans="1:9" ht="11.25" customHeight="1">
      <c r="A1010" s="3928" t="s">
        <v>2258</v>
      </c>
      <c r="B1010" s="3928" t="s">
        <v>14</v>
      </c>
      <c r="C1010" s="3928" t="s">
        <v>5896</v>
      </c>
      <c r="D1010" s="3928" t="s">
        <v>5897</v>
      </c>
      <c r="E1010" s="3928" t="s">
        <v>5891</v>
      </c>
      <c r="F1010" s="3928" t="s">
        <v>2267</v>
      </c>
      <c r="G1010" s="3928" t="s">
        <v>24</v>
      </c>
      <c r="H1010" s="3928" t="s">
        <v>2263</v>
      </c>
      <c r="I1010" s="3928" t="s">
        <v>811</v>
      </c>
    </row>
    <row r="1011" spans="1:9" ht="11.25" customHeight="1">
      <c r="A1011" s="3928" t="s">
        <v>2258</v>
      </c>
      <c r="B1011" s="3928" t="s">
        <v>14</v>
      </c>
      <c r="C1011" s="3928" t="s">
        <v>5898</v>
      </c>
      <c r="D1011" s="3928" t="s">
        <v>5899</v>
      </c>
      <c r="E1011" s="3928" t="s">
        <v>5900</v>
      </c>
      <c r="F1011" s="3928" t="s">
        <v>5901</v>
      </c>
      <c r="G1011" s="3928" t="s">
        <v>24</v>
      </c>
      <c r="H1011" s="3928" t="s">
        <v>5902</v>
      </c>
      <c r="I1011" s="3928" t="s">
        <v>811</v>
      </c>
    </row>
    <row r="1012" spans="1:9" ht="11.25" customHeight="1">
      <c r="A1012" s="3928" t="s">
        <v>2258</v>
      </c>
      <c r="B1012" s="3928" t="s">
        <v>14</v>
      </c>
      <c r="C1012" s="3928" t="s">
        <v>5903</v>
      </c>
      <c r="D1012" s="3928" t="s">
        <v>5904</v>
      </c>
      <c r="E1012" s="3928" t="s">
        <v>5905</v>
      </c>
      <c r="F1012" s="3928" t="s">
        <v>2642</v>
      </c>
      <c r="G1012" s="3928" t="s">
        <v>24</v>
      </c>
      <c r="H1012" s="3928" t="s">
        <v>2263</v>
      </c>
      <c r="I1012" s="3928" t="s">
        <v>811</v>
      </c>
    </row>
    <row r="1013" spans="1:9" ht="11.25" customHeight="1">
      <c r="A1013" s="3928" t="s">
        <v>2258</v>
      </c>
      <c r="B1013" s="3928" t="s">
        <v>14</v>
      </c>
      <c r="C1013" s="3928" t="s">
        <v>5906</v>
      </c>
      <c r="D1013" s="3928" t="s">
        <v>5907</v>
      </c>
      <c r="E1013" s="3928" t="s">
        <v>2821</v>
      </c>
      <c r="F1013" s="3928" t="s">
        <v>5908</v>
      </c>
      <c r="G1013" s="3928" t="s">
        <v>24</v>
      </c>
      <c r="H1013" s="3928" t="s">
        <v>2263</v>
      </c>
      <c r="I1013" s="3928" t="s">
        <v>811</v>
      </c>
    </row>
    <row r="1014" spans="1:9" ht="11.25" customHeight="1">
      <c r="A1014" s="3928" t="s">
        <v>2258</v>
      </c>
      <c r="B1014" s="3928" t="s">
        <v>14</v>
      </c>
      <c r="C1014" s="3928" t="s">
        <v>5909</v>
      </c>
      <c r="D1014" s="3928" t="s">
        <v>5910</v>
      </c>
      <c r="E1014" s="3928" t="s">
        <v>2270</v>
      </c>
      <c r="F1014" s="3928" t="s">
        <v>2486</v>
      </c>
      <c r="G1014" s="3928" t="s">
        <v>24</v>
      </c>
      <c r="H1014" s="3928" t="s">
        <v>2263</v>
      </c>
      <c r="I1014" s="3928" t="s">
        <v>811</v>
      </c>
    </row>
    <row r="1015" spans="1:9" ht="11.25" customHeight="1">
      <c r="A1015" s="3928" t="s">
        <v>2258</v>
      </c>
      <c r="B1015" s="3928" t="s">
        <v>14</v>
      </c>
      <c r="C1015" s="3928" t="s">
        <v>5911</v>
      </c>
      <c r="D1015" s="3928" t="s">
        <v>5912</v>
      </c>
      <c r="E1015" s="3928" t="s">
        <v>5913</v>
      </c>
      <c r="F1015" s="3928" t="s">
        <v>2675</v>
      </c>
      <c r="G1015" s="3928" t="s">
        <v>24</v>
      </c>
      <c r="H1015" s="3928" t="s">
        <v>24</v>
      </c>
      <c r="I1015" s="3928" t="s">
        <v>811</v>
      </c>
    </row>
    <row r="1016" spans="1:9" ht="11.25" customHeight="1">
      <c r="A1016" s="3928" t="s">
        <v>2258</v>
      </c>
      <c r="B1016" s="3928" t="s">
        <v>14</v>
      </c>
      <c r="C1016" s="3928" t="s">
        <v>5914</v>
      </c>
      <c r="D1016" s="3928" t="s">
        <v>5915</v>
      </c>
      <c r="E1016" s="3928" t="s">
        <v>5916</v>
      </c>
      <c r="F1016" s="3928" t="s">
        <v>2464</v>
      </c>
      <c r="G1016" s="3928" t="s">
        <v>24</v>
      </c>
      <c r="H1016" s="3928" t="s">
        <v>2263</v>
      </c>
      <c r="I1016" s="3928" t="s">
        <v>811</v>
      </c>
    </row>
    <row r="1017" spans="1:9" ht="11.25" customHeight="1">
      <c r="A1017" s="3928" t="s">
        <v>2258</v>
      </c>
      <c r="B1017" s="3928" t="s">
        <v>14</v>
      </c>
      <c r="C1017" s="3928" t="s">
        <v>5917</v>
      </c>
      <c r="D1017" s="3928" t="s">
        <v>5918</v>
      </c>
      <c r="E1017" s="3928" t="s">
        <v>5919</v>
      </c>
      <c r="F1017" s="3928" t="s">
        <v>2309</v>
      </c>
      <c r="G1017" s="3928" t="s">
        <v>5920</v>
      </c>
      <c r="H1017" s="3928" t="s">
        <v>24</v>
      </c>
      <c r="I1017" s="3928" t="s">
        <v>811</v>
      </c>
    </row>
    <row r="1018" spans="1:9" ht="11.25" customHeight="1">
      <c r="A1018" s="3928" t="s">
        <v>2258</v>
      </c>
      <c r="B1018" s="3928" t="s">
        <v>14</v>
      </c>
      <c r="C1018" s="3928" t="s">
        <v>5921</v>
      </c>
      <c r="D1018" s="3928" t="s">
        <v>5922</v>
      </c>
      <c r="E1018" s="3928" t="s">
        <v>3476</v>
      </c>
      <c r="F1018" s="3928" t="s">
        <v>2262</v>
      </c>
      <c r="G1018" s="3928" t="s">
        <v>24</v>
      </c>
      <c r="H1018" s="3928" t="s">
        <v>2263</v>
      </c>
      <c r="I1018" s="3928" t="s">
        <v>811</v>
      </c>
    </row>
    <row r="1019" spans="1:9" ht="11.25" customHeight="1">
      <c r="A1019" s="3928" t="s">
        <v>2258</v>
      </c>
      <c r="B1019" s="3928" t="s">
        <v>14</v>
      </c>
      <c r="C1019" s="3928" t="s">
        <v>5923</v>
      </c>
      <c r="D1019" s="3928" t="s">
        <v>5924</v>
      </c>
      <c r="E1019" s="3928" t="s">
        <v>5925</v>
      </c>
      <c r="F1019" s="3928" t="s">
        <v>2796</v>
      </c>
      <c r="G1019" s="3928" t="s">
        <v>24</v>
      </c>
      <c r="H1019" s="3928" t="s">
        <v>5926</v>
      </c>
      <c r="I1019" s="3928" t="s">
        <v>811</v>
      </c>
    </row>
    <row r="1020" spans="1:9" ht="11.25" customHeight="1">
      <c r="A1020" s="3928" t="s">
        <v>2258</v>
      </c>
      <c r="B1020" s="3928" t="s">
        <v>14</v>
      </c>
      <c r="C1020" s="3928" t="s">
        <v>5927</v>
      </c>
      <c r="D1020" s="3928" t="s">
        <v>5928</v>
      </c>
      <c r="E1020" s="3928" t="s">
        <v>5929</v>
      </c>
      <c r="F1020" s="3928" t="s">
        <v>5930</v>
      </c>
      <c r="G1020" s="3928" t="s">
        <v>24</v>
      </c>
      <c r="H1020" s="3928" t="s">
        <v>24</v>
      </c>
      <c r="I1020" s="3928" t="s">
        <v>811</v>
      </c>
    </row>
    <row r="1021" spans="1:9" ht="11.25" customHeight="1">
      <c r="A1021" s="3928" t="s">
        <v>2258</v>
      </c>
      <c r="B1021" s="3928" t="s">
        <v>14</v>
      </c>
      <c r="C1021" s="3928" t="s">
        <v>5931</v>
      </c>
      <c r="D1021" s="3928" t="s">
        <v>5932</v>
      </c>
      <c r="E1021" s="3928" t="s">
        <v>5933</v>
      </c>
      <c r="F1021" s="3928" t="s">
        <v>5934</v>
      </c>
      <c r="G1021" s="3928" t="s">
        <v>24</v>
      </c>
      <c r="H1021" s="3928" t="s">
        <v>2263</v>
      </c>
      <c r="I1021" s="3928" t="s">
        <v>811</v>
      </c>
    </row>
    <row r="1022" spans="1:9" ht="11.25" customHeight="1">
      <c r="A1022" s="3928" t="s">
        <v>2258</v>
      </c>
      <c r="B1022" s="3928" t="s">
        <v>14</v>
      </c>
      <c r="C1022" s="3928" t="s">
        <v>5935</v>
      </c>
      <c r="D1022" s="3928" t="s">
        <v>5936</v>
      </c>
      <c r="E1022" s="3928" t="s">
        <v>3682</v>
      </c>
      <c r="F1022" s="3928" t="s">
        <v>5937</v>
      </c>
      <c r="G1022" s="3928" t="s">
        <v>24</v>
      </c>
      <c r="H1022" s="3928" t="s">
        <v>2263</v>
      </c>
      <c r="I1022" s="3928" t="s">
        <v>811</v>
      </c>
    </row>
    <row r="1023" spans="1:9" ht="11.25" customHeight="1">
      <c r="A1023" s="3928" t="s">
        <v>2258</v>
      </c>
      <c r="B1023" s="3928" t="s">
        <v>14</v>
      </c>
      <c r="C1023" s="3928" t="s">
        <v>5938</v>
      </c>
      <c r="D1023" s="3928" t="s">
        <v>5939</v>
      </c>
      <c r="E1023" s="3928" t="s">
        <v>5940</v>
      </c>
      <c r="F1023" s="3928" t="s">
        <v>3323</v>
      </c>
      <c r="G1023" s="3928" t="s">
        <v>24</v>
      </c>
      <c r="H1023" s="3928" t="s">
        <v>2263</v>
      </c>
      <c r="I1023" s="3928" t="s">
        <v>811</v>
      </c>
    </row>
    <row r="1024" spans="1:9" ht="11.25" customHeight="1">
      <c r="A1024" s="3928" t="s">
        <v>2258</v>
      </c>
      <c r="B1024" s="3928" t="s">
        <v>14</v>
      </c>
      <c r="C1024" s="3928" t="s">
        <v>5941</v>
      </c>
      <c r="D1024" s="3928" t="s">
        <v>5942</v>
      </c>
      <c r="E1024" s="3928" t="s">
        <v>5943</v>
      </c>
      <c r="F1024" s="3928" t="s">
        <v>5944</v>
      </c>
      <c r="G1024" s="3928" t="s">
        <v>5945</v>
      </c>
      <c r="H1024" s="3928" t="s">
        <v>24</v>
      </c>
      <c r="I1024" s="3928" t="s">
        <v>811</v>
      </c>
    </row>
    <row r="1025" spans="1:9" ht="11.25" customHeight="1">
      <c r="A1025" s="3928" t="s">
        <v>2258</v>
      </c>
      <c r="B1025" s="3928" t="s">
        <v>14</v>
      </c>
      <c r="C1025" s="3928" t="s">
        <v>5946</v>
      </c>
      <c r="D1025" s="3928" t="s">
        <v>5947</v>
      </c>
      <c r="E1025" s="3928" t="s">
        <v>5948</v>
      </c>
      <c r="F1025" s="3928" t="s">
        <v>2469</v>
      </c>
      <c r="G1025" s="3928" t="s">
        <v>24</v>
      </c>
      <c r="H1025" s="3928" t="s">
        <v>5949</v>
      </c>
      <c r="I1025" s="3928" t="s">
        <v>811</v>
      </c>
    </row>
    <row r="1026" spans="1:9" ht="11.25" customHeight="1">
      <c r="A1026" s="3928" t="s">
        <v>2258</v>
      </c>
      <c r="B1026" s="3928" t="s">
        <v>14</v>
      </c>
      <c r="C1026" s="3928" t="s">
        <v>5950</v>
      </c>
      <c r="D1026" s="3928" t="s">
        <v>5951</v>
      </c>
      <c r="E1026" s="3928" t="s">
        <v>5952</v>
      </c>
      <c r="F1026" s="3928" t="s">
        <v>2289</v>
      </c>
      <c r="G1026" s="3928" t="s">
        <v>5953</v>
      </c>
      <c r="H1026" s="3928" t="s">
        <v>24</v>
      </c>
      <c r="I1026" s="3928" t="s">
        <v>811</v>
      </c>
    </row>
    <row r="1027" spans="1:9" ht="11.25" customHeight="1">
      <c r="A1027" s="3928" t="s">
        <v>2258</v>
      </c>
      <c r="B1027" s="3928" t="s">
        <v>14</v>
      </c>
      <c r="C1027" s="3928" t="s">
        <v>5954</v>
      </c>
      <c r="D1027" s="3928" t="s">
        <v>5955</v>
      </c>
      <c r="E1027" s="3928" t="s">
        <v>5956</v>
      </c>
      <c r="F1027" s="3928" t="s">
        <v>2344</v>
      </c>
      <c r="G1027" s="3928" t="s">
        <v>24</v>
      </c>
      <c r="H1027" s="3928" t="s">
        <v>5957</v>
      </c>
      <c r="I1027" s="3928" t="s">
        <v>811</v>
      </c>
    </row>
    <row r="1028" spans="1:9" ht="11.25" customHeight="1">
      <c r="A1028" s="3928" t="s">
        <v>2258</v>
      </c>
      <c r="B1028" s="3928" t="s">
        <v>14</v>
      </c>
      <c r="C1028" s="3928" t="s">
        <v>5958</v>
      </c>
      <c r="D1028" s="3928" t="s">
        <v>5959</v>
      </c>
      <c r="E1028" s="3928" t="s">
        <v>5956</v>
      </c>
      <c r="F1028" s="3928" t="s">
        <v>2344</v>
      </c>
      <c r="G1028" s="3928" t="s">
        <v>24</v>
      </c>
      <c r="H1028" s="3928" t="s">
        <v>3068</v>
      </c>
      <c r="I1028" s="3928" t="s">
        <v>811</v>
      </c>
    </row>
    <row r="1029" spans="1:9" ht="11.25" customHeight="1">
      <c r="A1029" s="3928" t="s">
        <v>2258</v>
      </c>
      <c r="B1029" s="3928" t="s">
        <v>14</v>
      </c>
      <c r="C1029" s="3928" t="s">
        <v>5960</v>
      </c>
      <c r="D1029" s="3928" t="s">
        <v>5959</v>
      </c>
      <c r="E1029" s="3928" t="s">
        <v>5956</v>
      </c>
      <c r="F1029" s="3928" t="s">
        <v>4226</v>
      </c>
      <c r="G1029" s="3928" t="s">
        <v>24</v>
      </c>
      <c r="H1029" s="3928" t="s">
        <v>24</v>
      </c>
      <c r="I1029" s="3928" t="s">
        <v>811</v>
      </c>
    </row>
    <row r="1030" spans="1:9" ht="11.25" customHeight="1">
      <c r="A1030" s="3928" t="s">
        <v>2258</v>
      </c>
      <c r="B1030" s="3928" t="s">
        <v>14</v>
      </c>
      <c r="C1030" s="3928" t="s">
        <v>5961</v>
      </c>
      <c r="D1030" s="3928" t="s">
        <v>5962</v>
      </c>
      <c r="E1030" s="3928" t="s">
        <v>5963</v>
      </c>
      <c r="F1030" s="3928" t="s">
        <v>2397</v>
      </c>
      <c r="G1030" s="3928" t="s">
        <v>24</v>
      </c>
      <c r="H1030" s="3928" t="s">
        <v>24</v>
      </c>
      <c r="I1030" s="3928" t="s">
        <v>811</v>
      </c>
    </row>
    <row r="1031" spans="1:9" ht="11.25" customHeight="1">
      <c r="A1031" s="3928" t="s">
        <v>2258</v>
      </c>
      <c r="B1031" s="3928" t="s">
        <v>14</v>
      </c>
      <c r="C1031" s="3928" t="s">
        <v>5964</v>
      </c>
      <c r="D1031" s="3928" t="s">
        <v>5965</v>
      </c>
      <c r="E1031" s="3928" t="s">
        <v>5966</v>
      </c>
      <c r="F1031" s="3928" t="s">
        <v>2817</v>
      </c>
      <c r="G1031" s="3928" t="s">
        <v>5967</v>
      </c>
      <c r="H1031" s="3928" t="s">
        <v>24</v>
      </c>
      <c r="I1031" s="3928" t="s">
        <v>811</v>
      </c>
    </row>
    <row r="1032" spans="1:9" ht="11.25" customHeight="1">
      <c r="A1032" s="3928" t="s">
        <v>2258</v>
      </c>
      <c r="B1032" s="3928" t="s">
        <v>14</v>
      </c>
      <c r="C1032" s="3928" t="s">
        <v>5968</v>
      </c>
      <c r="D1032" s="3928" t="s">
        <v>5969</v>
      </c>
      <c r="E1032" s="3928" t="s">
        <v>5970</v>
      </c>
      <c r="F1032" s="3928" t="s">
        <v>2414</v>
      </c>
      <c r="G1032" s="3928" t="s">
        <v>24</v>
      </c>
      <c r="H1032" s="3928" t="s">
        <v>24</v>
      </c>
      <c r="I1032" s="3928" t="s">
        <v>811</v>
      </c>
    </row>
    <row r="1033" spans="1:9" ht="11.25" customHeight="1">
      <c r="A1033" s="3928" t="s">
        <v>2258</v>
      </c>
      <c r="B1033" s="3928" t="s">
        <v>14</v>
      </c>
      <c r="C1033" s="3928" t="s">
        <v>5971</v>
      </c>
      <c r="D1033" s="3928" t="s">
        <v>5972</v>
      </c>
      <c r="E1033" s="3928" t="s">
        <v>5973</v>
      </c>
      <c r="F1033" s="3928" t="s">
        <v>3580</v>
      </c>
      <c r="G1033" s="3928" t="s">
        <v>24</v>
      </c>
      <c r="H1033" s="3928" t="s">
        <v>24</v>
      </c>
      <c r="I1033" s="3928" t="s">
        <v>811</v>
      </c>
    </row>
    <row r="1034" spans="1:9" ht="11.25" customHeight="1">
      <c r="A1034" s="3928" t="s">
        <v>2258</v>
      </c>
      <c r="B1034" s="3928" t="s">
        <v>14</v>
      </c>
      <c r="C1034" s="3928" t="s">
        <v>5974</v>
      </c>
      <c r="D1034" s="3928" t="s">
        <v>5975</v>
      </c>
      <c r="E1034" s="3928" t="s">
        <v>5976</v>
      </c>
      <c r="F1034" s="3928" t="s">
        <v>2289</v>
      </c>
      <c r="G1034" s="3928" t="s">
        <v>24</v>
      </c>
      <c r="H1034" s="3928" t="s">
        <v>24</v>
      </c>
      <c r="I1034" s="3928" t="s">
        <v>811</v>
      </c>
    </row>
    <row r="1035" spans="1:9" ht="11.25" customHeight="1">
      <c r="A1035" s="3928" t="s">
        <v>2258</v>
      </c>
      <c r="B1035" s="3928" t="s">
        <v>14</v>
      </c>
      <c r="C1035" s="3928" t="s">
        <v>5977</v>
      </c>
      <c r="D1035" s="3928" t="s">
        <v>5978</v>
      </c>
      <c r="E1035" s="3928" t="s">
        <v>5979</v>
      </c>
      <c r="F1035" s="3928" t="s">
        <v>2535</v>
      </c>
      <c r="G1035" s="3928" t="s">
        <v>24</v>
      </c>
      <c r="H1035" s="3928" t="s">
        <v>24</v>
      </c>
      <c r="I1035" s="3928" t="s">
        <v>811</v>
      </c>
    </row>
    <row r="1036" spans="1:9" ht="11.25" customHeight="1">
      <c r="A1036" s="3928" t="s">
        <v>2258</v>
      </c>
      <c r="B1036" s="3928" t="s">
        <v>14</v>
      </c>
      <c r="C1036" s="3928" t="s">
        <v>5980</v>
      </c>
      <c r="D1036" s="3928" t="s">
        <v>5981</v>
      </c>
      <c r="E1036" s="3928" t="s">
        <v>5982</v>
      </c>
      <c r="F1036" s="3928" t="s">
        <v>2419</v>
      </c>
      <c r="G1036" s="3928" t="s">
        <v>24</v>
      </c>
      <c r="H1036" s="3928" t="s">
        <v>24</v>
      </c>
      <c r="I1036" s="3928" t="s">
        <v>811</v>
      </c>
    </row>
    <row r="1037" spans="1:9" ht="11.25" customHeight="1">
      <c r="A1037" s="3928" t="s">
        <v>2258</v>
      </c>
      <c r="B1037" s="3928" t="s">
        <v>14</v>
      </c>
      <c r="C1037" s="3928" t="s">
        <v>5983</v>
      </c>
      <c r="D1037" s="3928" t="s">
        <v>5984</v>
      </c>
      <c r="E1037" s="3928" t="s">
        <v>5985</v>
      </c>
      <c r="F1037" s="3928" t="s">
        <v>2397</v>
      </c>
      <c r="G1037" s="3928" t="s">
        <v>24</v>
      </c>
      <c r="H1037" s="3928" t="s">
        <v>24</v>
      </c>
      <c r="I1037" s="3928" t="s">
        <v>811</v>
      </c>
    </row>
    <row r="1038" spans="1:9" ht="11.25" customHeight="1">
      <c r="A1038" s="3928" t="s">
        <v>2258</v>
      </c>
      <c r="B1038" s="3928" t="s">
        <v>14</v>
      </c>
      <c r="C1038" s="3928" t="s">
        <v>5986</v>
      </c>
      <c r="D1038" s="3928" t="s">
        <v>5987</v>
      </c>
      <c r="E1038" s="3928" t="s">
        <v>5988</v>
      </c>
      <c r="F1038" s="3928" t="s">
        <v>5989</v>
      </c>
      <c r="G1038" s="3928" t="s">
        <v>24</v>
      </c>
      <c r="H1038" s="3928" t="s">
        <v>24</v>
      </c>
      <c r="I1038" s="3928" t="s">
        <v>811</v>
      </c>
    </row>
    <row r="1039" spans="1:9" ht="11.25" customHeight="1">
      <c r="A1039" s="3928" t="s">
        <v>2258</v>
      </c>
      <c r="B1039" s="3928" t="s">
        <v>14</v>
      </c>
      <c r="C1039" s="3928" t="s">
        <v>5990</v>
      </c>
      <c r="D1039" s="3928" t="s">
        <v>5987</v>
      </c>
      <c r="E1039" s="3928" t="s">
        <v>5988</v>
      </c>
      <c r="F1039" s="3928" t="s">
        <v>2389</v>
      </c>
      <c r="G1039" s="3928" t="s">
        <v>24</v>
      </c>
      <c r="H1039" s="3928" t="s">
        <v>24</v>
      </c>
      <c r="I1039" s="3928" t="s">
        <v>811</v>
      </c>
    </row>
    <row r="1040" spans="1:9" ht="11.25" customHeight="1">
      <c r="A1040" s="3928" t="s">
        <v>2258</v>
      </c>
      <c r="B1040" s="3928" t="s">
        <v>14</v>
      </c>
      <c r="C1040" s="3928" t="s">
        <v>5991</v>
      </c>
      <c r="D1040" s="3928" t="s">
        <v>5992</v>
      </c>
      <c r="E1040" s="3928" t="s">
        <v>5993</v>
      </c>
      <c r="F1040" s="3928" t="s">
        <v>2393</v>
      </c>
      <c r="G1040" s="3928" t="s">
        <v>5994</v>
      </c>
      <c r="H1040" s="3928" t="s">
        <v>24</v>
      </c>
      <c r="I1040" s="3928" t="s">
        <v>811</v>
      </c>
    </row>
    <row r="1041" spans="1:9" ht="11.25" customHeight="1">
      <c r="A1041" s="3928" t="s">
        <v>2258</v>
      </c>
      <c r="B1041" s="3928" t="s">
        <v>14</v>
      </c>
      <c r="C1041" s="3928" t="s">
        <v>5995</v>
      </c>
      <c r="D1041" s="3928" t="s">
        <v>5996</v>
      </c>
      <c r="E1041" s="3928" t="s">
        <v>5997</v>
      </c>
      <c r="F1041" s="3928" t="s">
        <v>2409</v>
      </c>
      <c r="G1041" s="3928" t="s">
        <v>24</v>
      </c>
      <c r="H1041" s="3928" t="s">
        <v>24</v>
      </c>
      <c r="I1041" s="3928" t="s">
        <v>811</v>
      </c>
    </row>
    <row r="1042" spans="1:9" ht="11.25" customHeight="1">
      <c r="A1042" s="3928" t="s">
        <v>2258</v>
      </c>
      <c r="B1042" s="3928" t="s">
        <v>14</v>
      </c>
      <c r="C1042" s="3928" t="s">
        <v>5998</v>
      </c>
      <c r="D1042" s="3928" t="s">
        <v>5999</v>
      </c>
      <c r="E1042" s="3928" t="s">
        <v>6000</v>
      </c>
      <c r="F1042" s="3928" t="s">
        <v>2419</v>
      </c>
      <c r="G1042" s="3928" t="s">
        <v>6001</v>
      </c>
      <c r="H1042" s="3928" t="s">
        <v>24</v>
      </c>
      <c r="I1042" s="3928" t="s">
        <v>811</v>
      </c>
    </row>
    <row r="1043" spans="1:9" ht="11.25" customHeight="1">
      <c r="A1043" s="3928" t="s">
        <v>2258</v>
      </c>
      <c r="B1043" s="3928" t="s">
        <v>14</v>
      </c>
      <c r="C1043" s="3928" t="s">
        <v>6002</v>
      </c>
      <c r="D1043" s="3928" t="s">
        <v>6003</v>
      </c>
      <c r="E1043" s="3928" t="s">
        <v>6004</v>
      </c>
      <c r="F1043" s="3928" t="s">
        <v>2262</v>
      </c>
      <c r="G1043" s="3928" t="s">
        <v>6005</v>
      </c>
      <c r="H1043" s="3928" t="s">
        <v>24</v>
      </c>
      <c r="I1043" s="3928" t="s">
        <v>811</v>
      </c>
    </row>
    <row r="1044" spans="1:9" ht="11.25" customHeight="1">
      <c r="A1044" s="3928" t="s">
        <v>2258</v>
      </c>
      <c r="B1044" s="3928" t="s">
        <v>14</v>
      </c>
      <c r="C1044" s="3928" t="s">
        <v>6006</v>
      </c>
      <c r="D1044" s="3928" t="s">
        <v>6007</v>
      </c>
      <c r="E1044" s="3928" t="s">
        <v>6008</v>
      </c>
      <c r="F1044" s="3928" t="s">
        <v>2675</v>
      </c>
      <c r="G1044" s="3928" t="s">
        <v>24</v>
      </c>
      <c r="H1044" s="3928" t="s">
        <v>24</v>
      </c>
      <c r="I1044" s="3928" t="s">
        <v>811</v>
      </c>
    </row>
    <row r="1045" spans="1:9" ht="11.25" customHeight="1">
      <c r="A1045" s="3928" t="s">
        <v>2258</v>
      </c>
      <c r="B1045" s="3928" t="s">
        <v>14</v>
      </c>
      <c r="C1045" s="3928" t="s">
        <v>6009</v>
      </c>
      <c r="D1045" s="3928" t="s">
        <v>6010</v>
      </c>
      <c r="E1045" s="3928" t="s">
        <v>6011</v>
      </c>
      <c r="F1045" s="3928" t="s">
        <v>2397</v>
      </c>
      <c r="G1045" s="3928" t="s">
        <v>6012</v>
      </c>
      <c r="H1045" s="3928" t="s">
        <v>24</v>
      </c>
      <c r="I1045" s="3928" t="s">
        <v>811</v>
      </c>
    </row>
    <row r="1046" spans="1:9" ht="11.25" customHeight="1">
      <c r="A1046" s="3928" t="s">
        <v>2258</v>
      </c>
      <c r="B1046" s="3928" t="s">
        <v>14</v>
      </c>
      <c r="C1046" s="3928" t="s">
        <v>6013</v>
      </c>
      <c r="D1046" s="3928" t="s">
        <v>6014</v>
      </c>
      <c r="E1046" s="3928" t="s">
        <v>6015</v>
      </c>
      <c r="F1046" s="3928" t="s">
        <v>49</v>
      </c>
      <c r="G1046" s="3928" t="s">
        <v>24</v>
      </c>
      <c r="H1046" s="3928" t="s">
        <v>6016</v>
      </c>
      <c r="I1046" s="3928" t="s">
        <v>811</v>
      </c>
    </row>
    <row r="1047" spans="1:9" ht="11.25" customHeight="1">
      <c r="A1047" s="3928" t="s">
        <v>2258</v>
      </c>
      <c r="B1047" s="3928" t="s">
        <v>14</v>
      </c>
      <c r="C1047" s="3928" t="s">
        <v>6017</v>
      </c>
      <c r="D1047" s="3928" t="s">
        <v>6014</v>
      </c>
      <c r="E1047" s="3928" t="s">
        <v>6015</v>
      </c>
      <c r="F1047" s="3928" t="s">
        <v>49</v>
      </c>
      <c r="G1047" s="3928" t="s">
        <v>6018</v>
      </c>
      <c r="H1047" s="3928" t="s">
        <v>24</v>
      </c>
      <c r="I1047" s="3928" t="s">
        <v>811</v>
      </c>
    </row>
    <row r="1048" spans="1:9" ht="11.25" customHeight="1">
      <c r="A1048" s="3928" t="s">
        <v>2258</v>
      </c>
      <c r="B1048" s="3928" t="s">
        <v>14</v>
      </c>
      <c r="C1048" s="3928" t="s">
        <v>6019</v>
      </c>
      <c r="D1048" s="3928" t="s">
        <v>6020</v>
      </c>
      <c r="E1048" s="3928" t="s">
        <v>6021</v>
      </c>
      <c r="F1048" s="3928" t="s">
        <v>2344</v>
      </c>
      <c r="G1048" s="3928" t="s">
        <v>24</v>
      </c>
      <c r="H1048" s="3928" t="s">
        <v>24</v>
      </c>
      <c r="I1048" s="3928" t="s">
        <v>811</v>
      </c>
    </row>
    <row r="1049" spans="1:9" ht="11.25" customHeight="1">
      <c r="A1049" s="3928" t="s">
        <v>2258</v>
      </c>
      <c r="B1049" s="3928" t="s">
        <v>14</v>
      </c>
      <c r="C1049" s="3928" t="s">
        <v>6022</v>
      </c>
      <c r="D1049" s="3928" t="s">
        <v>6023</v>
      </c>
      <c r="E1049" s="3928" t="s">
        <v>6024</v>
      </c>
      <c r="F1049" s="3928" t="s">
        <v>3370</v>
      </c>
      <c r="G1049" s="3928" t="s">
        <v>24</v>
      </c>
      <c r="H1049" s="3928" t="s">
        <v>24</v>
      </c>
      <c r="I1049" s="3928" t="s">
        <v>811</v>
      </c>
    </row>
    <row r="1050" spans="1:9" ht="11.25" customHeight="1">
      <c r="A1050" s="3928" t="s">
        <v>2258</v>
      </c>
      <c r="B1050" s="3928" t="s">
        <v>14</v>
      </c>
      <c r="C1050" s="3928" t="s">
        <v>6025</v>
      </c>
      <c r="D1050" s="3928" t="s">
        <v>6026</v>
      </c>
      <c r="E1050" s="3928" t="s">
        <v>6027</v>
      </c>
      <c r="F1050" s="3928" t="s">
        <v>6028</v>
      </c>
      <c r="G1050" s="3928" t="s">
        <v>6029</v>
      </c>
      <c r="H1050" s="3928" t="s">
        <v>24</v>
      </c>
      <c r="I1050" s="3928" t="s">
        <v>811</v>
      </c>
    </row>
    <row r="1051" spans="1:9" ht="11.25" customHeight="1">
      <c r="A1051" s="3928" t="s">
        <v>2258</v>
      </c>
      <c r="B1051" s="3928" t="s">
        <v>14</v>
      </c>
      <c r="C1051" s="3928" t="s">
        <v>6030</v>
      </c>
      <c r="D1051" s="3928" t="s">
        <v>6031</v>
      </c>
      <c r="E1051" s="3928" t="s">
        <v>6032</v>
      </c>
      <c r="F1051" s="3928" t="s">
        <v>2763</v>
      </c>
      <c r="G1051" s="3928" t="s">
        <v>6033</v>
      </c>
      <c r="H1051" s="3928" t="s">
        <v>24</v>
      </c>
      <c r="I1051" s="3928" t="s">
        <v>811</v>
      </c>
    </row>
    <row r="1052" spans="1:9" ht="11.25" customHeight="1">
      <c r="A1052" s="3928" t="s">
        <v>2258</v>
      </c>
      <c r="B1052" s="3928" t="s">
        <v>14</v>
      </c>
      <c r="C1052" s="3928" t="s">
        <v>6034</v>
      </c>
      <c r="D1052" s="3928" t="s">
        <v>6035</v>
      </c>
      <c r="E1052" s="3928" t="s">
        <v>6036</v>
      </c>
      <c r="F1052" s="3928" t="s">
        <v>2419</v>
      </c>
      <c r="G1052" s="3928" t="s">
        <v>24</v>
      </c>
      <c r="H1052" s="3928" t="s">
        <v>24</v>
      </c>
      <c r="I1052" s="3928" t="s">
        <v>811</v>
      </c>
    </row>
    <row r="1053" spans="1:9" ht="11.25" customHeight="1">
      <c r="A1053" s="3928" t="s">
        <v>2258</v>
      </c>
      <c r="B1053" s="3928" t="s">
        <v>14</v>
      </c>
      <c r="C1053" s="3928" t="s">
        <v>6037</v>
      </c>
      <c r="D1053" s="3928" t="s">
        <v>6038</v>
      </c>
      <c r="E1053" s="3928" t="s">
        <v>6039</v>
      </c>
      <c r="F1053" s="3928" t="s">
        <v>2309</v>
      </c>
      <c r="G1053" s="3928" t="s">
        <v>24</v>
      </c>
      <c r="H1053" s="3928" t="s">
        <v>24</v>
      </c>
      <c r="I1053" s="3928" t="s">
        <v>811</v>
      </c>
    </row>
    <row r="1054" spans="1:9" ht="11.25" customHeight="1">
      <c r="A1054" s="3928" t="s">
        <v>2258</v>
      </c>
      <c r="B1054" s="3928" t="s">
        <v>14</v>
      </c>
      <c r="C1054" s="3928" t="s">
        <v>6040</v>
      </c>
      <c r="D1054" s="3928" t="s">
        <v>6041</v>
      </c>
      <c r="E1054" s="3928" t="s">
        <v>3893</v>
      </c>
      <c r="F1054" s="3928" t="s">
        <v>2624</v>
      </c>
      <c r="G1054" s="3928" t="s">
        <v>24</v>
      </c>
      <c r="H1054" s="3928" t="s">
        <v>6042</v>
      </c>
      <c r="I1054" s="3928" t="s">
        <v>811</v>
      </c>
    </row>
    <row r="1055" spans="1:9" ht="11.25" customHeight="1">
      <c r="A1055" s="3928" t="s">
        <v>2258</v>
      </c>
      <c r="B1055" s="3928" t="s">
        <v>14</v>
      </c>
      <c r="C1055" s="3928" t="s">
        <v>6043</v>
      </c>
      <c r="D1055" s="3928" t="s">
        <v>6044</v>
      </c>
      <c r="E1055" s="3928" t="s">
        <v>6045</v>
      </c>
      <c r="F1055" s="3928" t="s">
        <v>2965</v>
      </c>
      <c r="G1055" s="3928" t="s">
        <v>24</v>
      </c>
      <c r="H1055" s="3928" t="s">
        <v>2263</v>
      </c>
      <c r="I1055" s="3928" t="s">
        <v>811</v>
      </c>
    </row>
    <row r="1056" spans="1:9" ht="11.25" customHeight="1">
      <c r="A1056" s="3928" t="s">
        <v>2258</v>
      </c>
      <c r="B1056" s="3928" t="s">
        <v>14</v>
      </c>
      <c r="C1056" s="3928" t="s">
        <v>6046</v>
      </c>
      <c r="D1056" s="3928" t="s">
        <v>6047</v>
      </c>
      <c r="E1056" s="3928" t="s">
        <v>6048</v>
      </c>
      <c r="F1056" s="3928" t="s">
        <v>2344</v>
      </c>
      <c r="G1056" s="3928" t="s">
        <v>6049</v>
      </c>
      <c r="H1056" s="3928" t="s">
        <v>24</v>
      </c>
      <c r="I1056" s="3928" t="s">
        <v>811</v>
      </c>
    </row>
    <row r="1057" spans="1:9" ht="11.25" customHeight="1">
      <c r="A1057" s="3928" t="s">
        <v>2258</v>
      </c>
      <c r="B1057" s="3928" t="s">
        <v>14</v>
      </c>
      <c r="C1057" s="3928" t="s">
        <v>6050</v>
      </c>
      <c r="D1057" s="3928" t="s">
        <v>6051</v>
      </c>
      <c r="E1057" s="3928" t="s">
        <v>6052</v>
      </c>
      <c r="F1057" s="3928" t="s">
        <v>2486</v>
      </c>
      <c r="G1057" s="3928" t="s">
        <v>6053</v>
      </c>
      <c r="H1057" s="3928" t="s">
        <v>24</v>
      </c>
      <c r="I1057" s="3928" t="s">
        <v>811</v>
      </c>
    </row>
    <row r="1058" spans="1:9" ht="11.25" customHeight="1">
      <c r="A1058" s="3928" t="s">
        <v>2258</v>
      </c>
      <c r="B1058" s="3928" t="s">
        <v>14</v>
      </c>
      <c r="C1058" s="3928" t="s">
        <v>6054</v>
      </c>
      <c r="D1058" s="3928" t="s">
        <v>6055</v>
      </c>
      <c r="E1058" s="3928" t="s">
        <v>6056</v>
      </c>
      <c r="F1058" s="3928" t="s">
        <v>3353</v>
      </c>
      <c r="G1058" s="3928" t="s">
        <v>24</v>
      </c>
      <c r="H1058" s="3928" t="s">
        <v>2475</v>
      </c>
      <c r="I1058" s="3928" t="s">
        <v>811</v>
      </c>
    </row>
    <row r="1059" spans="1:9" ht="11.25" customHeight="1">
      <c r="A1059" s="3928" t="s">
        <v>2258</v>
      </c>
      <c r="B1059" s="3928" t="s">
        <v>14</v>
      </c>
      <c r="C1059" s="3928" t="s">
        <v>6057</v>
      </c>
      <c r="D1059" s="3928" t="s">
        <v>6058</v>
      </c>
      <c r="E1059" s="3928" t="s">
        <v>6059</v>
      </c>
      <c r="F1059" s="3928" t="s">
        <v>2675</v>
      </c>
      <c r="G1059" s="3928" t="s">
        <v>24</v>
      </c>
      <c r="H1059" s="3928" t="s">
        <v>24</v>
      </c>
      <c r="I1059" s="3928" t="s">
        <v>811</v>
      </c>
    </row>
    <row r="1060" spans="1:9" ht="11.25" customHeight="1">
      <c r="A1060" s="3928" t="s">
        <v>2258</v>
      </c>
      <c r="B1060" s="3928" t="s">
        <v>14</v>
      </c>
      <c r="C1060" s="3928" t="s">
        <v>6060</v>
      </c>
      <c r="D1060" s="3928" t="s">
        <v>6061</v>
      </c>
      <c r="E1060" s="3928" t="s">
        <v>6062</v>
      </c>
      <c r="F1060" s="3928" t="s">
        <v>2522</v>
      </c>
      <c r="G1060" s="3928" t="s">
        <v>24</v>
      </c>
      <c r="H1060" s="3928" t="s">
        <v>24</v>
      </c>
      <c r="I1060" s="3928" t="s">
        <v>811</v>
      </c>
    </row>
    <row r="1061" spans="1:9" ht="11.25" customHeight="1">
      <c r="A1061" s="3928" t="s">
        <v>2258</v>
      </c>
      <c r="B1061" s="3928" t="s">
        <v>14</v>
      </c>
      <c r="C1061" s="3928" t="s">
        <v>6063</v>
      </c>
      <c r="D1061" s="3928" t="s">
        <v>6064</v>
      </c>
      <c r="E1061" s="3928" t="s">
        <v>6065</v>
      </c>
      <c r="F1061" s="3928" t="s">
        <v>2304</v>
      </c>
      <c r="G1061" s="3928" t="s">
        <v>24</v>
      </c>
      <c r="H1061" s="3928" t="s">
        <v>24</v>
      </c>
      <c r="I1061" s="3928" t="s">
        <v>811</v>
      </c>
    </row>
    <row r="1062" spans="1:9" ht="11.25" customHeight="1">
      <c r="A1062" s="3928" t="s">
        <v>2258</v>
      </c>
      <c r="B1062" s="3928" t="s">
        <v>14</v>
      </c>
      <c r="C1062" s="3928" t="s">
        <v>6066</v>
      </c>
      <c r="D1062" s="3928" t="s">
        <v>6067</v>
      </c>
      <c r="E1062" s="3928" t="s">
        <v>6068</v>
      </c>
      <c r="F1062" s="3928" t="s">
        <v>2419</v>
      </c>
      <c r="G1062" s="3928" t="s">
        <v>6069</v>
      </c>
      <c r="H1062" s="3928" t="s">
        <v>24</v>
      </c>
      <c r="I1062" s="3928" t="s">
        <v>811</v>
      </c>
    </row>
    <row r="1063" spans="1:9" ht="11.25" customHeight="1">
      <c r="A1063" s="3928" t="s">
        <v>2258</v>
      </c>
      <c r="B1063" s="3928" t="s">
        <v>14</v>
      </c>
      <c r="C1063" s="3928" t="s">
        <v>6070</v>
      </c>
      <c r="D1063" s="3928" t="s">
        <v>6071</v>
      </c>
      <c r="E1063" s="3928" t="s">
        <v>6072</v>
      </c>
      <c r="F1063" s="3928" t="s">
        <v>2701</v>
      </c>
      <c r="G1063" s="3928" t="s">
        <v>24</v>
      </c>
      <c r="H1063" s="3928" t="s">
        <v>24</v>
      </c>
      <c r="I1063" s="3928" t="s">
        <v>811</v>
      </c>
    </row>
    <row r="1064" spans="1:9" ht="11.25" customHeight="1">
      <c r="A1064" s="3928" t="s">
        <v>2258</v>
      </c>
      <c r="B1064" s="3928" t="s">
        <v>14</v>
      </c>
      <c r="C1064" s="3928" t="s">
        <v>6073</v>
      </c>
      <c r="D1064" s="3928" t="s">
        <v>6074</v>
      </c>
      <c r="E1064" s="3928" t="s">
        <v>6075</v>
      </c>
      <c r="F1064" s="3928" t="s">
        <v>2309</v>
      </c>
      <c r="G1064" s="3928" t="s">
        <v>24</v>
      </c>
      <c r="H1064" s="3928" t="s">
        <v>24</v>
      </c>
      <c r="I1064" s="3928" t="s">
        <v>811</v>
      </c>
    </row>
    <row r="1065" spans="1:9" ht="11.25" customHeight="1">
      <c r="A1065" s="3928" t="s">
        <v>2258</v>
      </c>
      <c r="B1065" s="3928" t="s">
        <v>14</v>
      </c>
      <c r="C1065" s="3928" t="s">
        <v>6076</v>
      </c>
      <c r="D1065" s="3928" t="s">
        <v>6077</v>
      </c>
      <c r="E1065" s="3928" t="s">
        <v>6078</v>
      </c>
      <c r="F1065" s="3928" t="s">
        <v>2289</v>
      </c>
      <c r="G1065" s="3928" t="s">
        <v>24</v>
      </c>
      <c r="H1065" s="3928" t="s">
        <v>24</v>
      </c>
      <c r="I1065" s="3928" t="s">
        <v>811</v>
      </c>
    </row>
    <row r="1066" spans="1:9" ht="11.25" customHeight="1">
      <c r="A1066" s="3928" t="s">
        <v>2258</v>
      </c>
      <c r="B1066" s="3928" t="s">
        <v>14</v>
      </c>
      <c r="C1066" s="3928" t="s">
        <v>6079</v>
      </c>
      <c r="D1066" s="3928" t="s">
        <v>6080</v>
      </c>
      <c r="E1066" s="3928" t="s">
        <v>6081</v>
      </c>
      <c r="F1066" s="3928" t="s">
        <v>2414</v>
      </c>
      <c r="G1066" s="3928" t="s">
        <v>24</v>
      </c>
      <c r="H1066" s="3928" t="s">
        <v>24</v>
      </c>
      <c r="I1066" s="3928" t="s">
        <v>811</v>
      </c>
    </row>
    <row r="1067" spans="1:9" ht="11.25" customHeight="1">
      <c r="A1067" s="3928" t="s">
        <v>2258</v>
      </c>
      <c r="B1067" s="3928" t="s">
        <v>14</v>
      </c>
      <c r="C1067" s="3928" t="s">
        <v>6082</v>
      </c>
      <c r="D1067" s="3928" t="s">
        <v>6083</v>
      </c>
      <c r="E1067" s="3928" t="s">
        <v>6084</v>
      </c>
      <c r="F1067" s="3928" t="s">
        <v>2965</v>
      </c>
      <c r="G1067" s="3928" t="s">
        <v>24</v>
      </c>
      <c r="H1067" s="3928" t="s">
        <v>24</v>
      </c>
      <c r="I1067" s="3928" t="s">
        <v>811</v>
      </c>
    </row>
    <row r="1068" spans="1:9" ht="11.25" customHeight="1">
      <c r="A1068" s="3928" t="s">
        <v>2258</v>
      </c>
      <c r="B1068" s="3928" t="s">
        <v>14</v>
      </c>
      <c r="C1068" s="3928" t="s">
        <v>6085</v>
      </c>
      <c r="D1068" s="3928" t="s">
        <v>6086</v>
      </c>
      <c r="E1068" s="3928" t="s">
        <v>6087</v>
      </c>
      <c r="F1068" s="3928" t="s">
        <v>2309</v>
      </c>
      <c r="G1068" s="3928" t="s">
        <v>2443</v>
      </c>
      <c r="H1068" s="3928" t="s">
        <v>24</v>
      </c>
      <c r="I1068" s="3928" t="s">
        <v>811</v>
      </c>
    </row>
    <row r="1069" spans="1:9" ht="11.25" customHeight="1">
      <c r="A1069" s="3928" t="s">
        <v>2258</v>
      </c>
      <c r="B1069" s="3928" t="s">
        <v>14</v>
      </c>
      <c r="C1069" s="3928" t="s">
        <v>6088</v>
      </c>
      <c r="D1069" s="3928" t="s">
        <v>6089</v>
      </c>
      <c r="E1069" s="3928" t="s">
        <v>6090</v>
      </c>
      <c r="F1069" s="3928" t="s">
        <v>2304</v>
      </c>
      <c r="G1069" s="3928" t="s">
        <v>24</v>
      </c>
      <c r="H1069" s="3928" t="s">
        <v>6091</v>
      </c>
      <c r="I1069" s="3928" t="s">
        <v>811</v>
      </c>
    </row>
    <row r="1070" spans="1:9" ht="11.25" customHeight="1">
      <c r="A1070" s="3928" t="s">
        <v>2258</v>
      </c>
      <c r="B1070" s="3928" t="s">
        <v>14</v>
      </c>
      <c r="C1070" s="3928" t="s">
        <v>6092</v>
      </c>
      <c r="D1070" s="3928" t="s">
        <v>6093</v>
      </c>
      <c r="E1070" s="3928" t="s">
        <v>6094</v>
      </c>
      <c r="F1070" s="3928" t="s">
        <v>2535</v>
      </c>
      <c r="G1070" s="3928" t="s">
        <v>24</v>
      </c>
      <c r="H1070" s="3928" t="s">
        <v>2263</v>
      </c>
      <c r="I1070" s="3928" t="s">
        <v>811</v>
      </c>
    </row>
    <row r="1071" spans="1:9" ht="11.25" customHeight="1">
      <c r="A1071" s="3928" t="s">
        <v>2258</v>
      </c>
      <c r="B1071" s="3928" t="s">
        <v>14</v>
      </c>
      <c r="C1071" s="3928" t="s">
        <v>6095</v>
      </c>
      <c r="D1071" s="3928" t="s">
        <v>6096</v>
      </c>
      <c r="E1071" s="3928" t="s">
        <v>6097</v>
      </c>
      <c r="F1071" s="3928" t="s">
        <v>2262</v>
      </c>
      <c r="G1071" s="3928" t="s">
        <v>24</v>
      </c>
      <c r="H1071" s="3928" t="s">
        <v>2263</v>
      </c>
      <c r="I1071" s="3928" t="s">
        <v>811</v>
      </c>
    </row>
    <row r="1072" spans="1:9" ht="11.25" customHeight="1">
      <c r="A1072" s="3928" t="s">
        <v>2258</v>
      </c>
      <c r="B1072" s="3928" t="s">
        <v>14</v>
      </c>
      <c r="C1072" s="3928" t="s">
        <v>6098</v>
      </c>
      <c r="D1072" s="3928" t="s">
        <v>6099</v>
      </c>
      <c r="E1072" s="3928" t="s">
        <v>6100</v>
      </c>
      <c r="F1072" s="3928" t="s">
        <v>2675</v>
      </c>
      <c r="G1072" s="3928" t="s">
        <v>24</v>
      </c>
      <c r="H1072" s="3928" t="s">
        <v>2263</v>
      </c>
      <c r="I1072" s="3928" t="s">
        <v>811</v>
      </c>
    </row>
    <row r="1073" spans="1:9" ht="11.25" customHeight="1">
      <c r="A1073" s="3928" t="s">
        <v>2258</v>
      </c>
      <c r="B1073" s="3928" t="s">
        <v>14</v>
      </c>
      <c r="C1073" s="3928" t="s">
        <v>6101</v>
      </c>
      <c r="D1073" s="3928" t="s">
        <v>6102</v>
      </c>
      <c r="E1073" s="3928" t="s">
        <v>6103</v>
      </c>
      <c r="F1073" s="3928" t="s">
        <v>2339</v>
      </c>
      <c r="G1073" s="3928" t="s">
        <v>24</v>
      </c>
      <c r="H1073" s="3928" t="s">
        <v>2263</v>
      </c>
      <c r="I1073" s="3928" t="s">
        <v>811</v>
      </c>
    </row>
    <row r="1074" spans="1:9" ht="11.25" customHeight="1">
      <c r="A1074" s="3928" t="s">
        <v>2258</v>
      </c>
      <c r="B1074" s="3928" t="s">
        <v>14</v>
      </c>
      <c r="C1074" s="3928" t="s">
        <v>6104</v>
      </c>
      <c r="D1074" s="3928" t="s">
        <v>6105</v>
      </c>
      <c r="E1074" s="3928" t="s">
        <v>6106</v>
      </c>
      <c r="F1074" s="3928" t="s">
        <v>2289</v>
      </c>
      <c r="G1074" s="3928" t="s">
        <v>24</v>
      </c>
      <c r="H1074" s="3928" t="s">
        <v>24</v>
      </c>
      <c r="I1074" s="3928" t="s">
        <v>811</v>
      </c>
    </row>
    <row r="1075" spans="1:9" ht="11.25" customHeight="1">
      <c r="A1075" s="3928" t="s">
        <v>2258</v>
      </c>
      <c r="B1075" s="3928" t="s">
        <v>14</v>
      </c>
      <c r="C1075" s="3928" t="s">
        <v>6107</v>
      </c>
      <c r="D1075" s="3928" t="s">
        <v>6108</v>
      </c>
      <c r="E1075" s="3928" t="s">
        <v>6109</v>
      </c>
      <c r="F1075" s="3928" t="s">
        <v>2567</v>
      </c>
      <c r="G1075" s="3928" t="s">
        <v>24</v>
      </c>
      <c r="H1075" s="3928" t="s">
        <v>2263</v>
      </c>
      <c r="I1075" s="3928" t="s">
        <v>811</v>
      </c>
    </row>
    <row r="1076" spans="1:9" ht="11.25" customHeight="1">
      <c r="A1076" s="3928" t="s">
        <v>2258</v>
      </c>
      <c r="B1076" s="3928" t="s">
        <v>14</v>
      </c>
      <c r="C1076" s="3928" t="s">
        <v>6110</v>
      </c>
      <c r="D1076" s="3928" t="s">
        <v>6111</v>
      </c>
      <c r="E1076" s="3928" t="s">
        <v>6112</v>
      </c>
      <c r="F1076" s="3928" t="s">
        <v>6113</v>
      </c>
      <c r="G1076" s="3928" t="s">
        <v>24</v>
      </c>
      <c r="H1076" s="3928" t="s">
        <v>2848</v>
      </c>
      <c r="I1076" s="3928" t="s">
        <v>811</v>
      </c>
    </row>
    <row r="1077" spans="1:9" ht="11.25" customHeight="1">
      <c r="A1077" s="3928" t="s">
        <v>2258</v>
      </c>
      <c r="B1077" s="3928" t="s">
        <v>14</v>
      </c>
      <c r="C1077" s="3928" t="s">
        <v>6114</v>
      </c>
      <c r="D1077" s="3928" t="s">
        <v>6115</v>
      </c>
      <c r="E1077" s="3928" t="s">
        <v>6116</v>
      </c>
      <c r="F1077" s="3928" t="s">
        <v>2294</v>
      </c>
      <c r="G1077" s="3928" t="s">
        <v>24</v>
      </c>
      <c r="H1077" s="3928" t="s">
        <v>24</v>
      </c>
      <c r="I1077" s="3928" t="s">
        <v>811</v>
      </c>
    </row>
    <row r="1078" spans="1:9" ht="11.25" customHeight="1">
      <c r="A1078" s="3928" t="s">
        <v>2258</v>
      </c>
      <c r="B1078" s="3928" t="s">
        <v>14</v>
      </c>
      <c r="C1078" s="3928" t="s">
        <v>6117</v>
      </c>
      <c r="D1078" s="3928" t="s">
        <v>6118</v>
      </c>
      <c r="E1078" s="3928" t="s">
        <v>6119</v>
      </c>
      <c r="F1078" s="3928" t="s">
        <v>2309</v>
      </c>
      <c r="G1078" s="3928" t="s">
        <v>24</v>
      </c>
      <c r="H1078" s="3928" t="s">
        <v>2263</v>
      </c>
      <c r="I1078" s="3928" t="s">
        <v>811</v>
      </c>
    </row>
    <row r="1079" spans="1:9" ht="11.25" customHeight="1">
      <c r="A1079" s="3928" t="s">
        <v>2258</v>
      </c>
      <c r="B1079" s="3928" t="s">
        <v>14</v>
      </c>
      <c r="C1079" s="3928" t="s">
        <v>6120</v>
      </c>
      <c r="D1079" s="3928" t="s">
        <v>6121</v>
      </c>
      <c r="E1079" s="3928" t="s">
        <v>6122</v>
      </c>
      <c r="F1079" s="3928" t="s">
        <v>2473</v>
      </c>
      <c r="G1079" s="3928" t="s">
        <v>24</v>
      </c>
      <c r="H1079" s="3928" t="s">
        <v>2263</v>
      </c>
      <c r="I1079" s="3928" t="s">
        <v>811</v>
      </c>
    </row>
    <row r="1080" spans="1:9" ht="11.25" customHeight="1">
      <c r="A1080" s="3928" t="s">
        <v>2258</v>
      </c>
      <c r="B1080" s="3928" t="s">
        <v>14</v>
      </c>
      <c r="C1080" s="3928" t="s">
        <v>6123</v>
      </c>
      <c r="D1080" s="3928" t="s">
        <v>6124</v>
      </c>
      <c r="E1080" s="3928" t="s">
        <v>6125</v>
      </c>
      <c r="F1080" s="3928" t="s">
        <v>2294</v>
      </c>
      <c r="G1080" s="3928" t="s">
        <v>24</v>
      </c>
      <c r="H1080" s="3928" t="s">
        <v>2263</v>
      </c>
      <c r="I1080" s="3928" t="s">
        <v>811</v>
      </c>
    </row>
    <row r="1081" spans="1:9" ht="11.25" customHeight="1">
      <c r="A1081" s="3928" t="s">
        <v>2258</v>
      </c>
      <c r="B1081" s="3928" t="s">
        <v>14</v>
      </c>
      <c r="C1081" s="3928" t="s">
        <v>6126</v>
      </c>
      <c r="D1081" s="3928" t="s">
        <v>6127</v>
      </c>
      <c r="E1081" s="3928" t="s">
        <v>6128</v>
      </c>
      <c r="F1081" s="3928" t="s">
        <v>2473</v>
      </c>
      <c r="G1081" s="3928" t="s">
        <v>24</v>
      </c>
      <c r="H1081" s="3928" t="s">
        <v>2263</v>
      </c>
      <c r="I1081" s="3928" t="s">
        <v>811</v>
      </c>
    </row>
    <row r="1082" spans="1:9" ht="11.25" customHeight="1">
      <c r="A1082" s="3928" t="s">
        <v>2258</v>
      </c>
      <c r="B1082" s="3928" t="s">
        <v>14</v>
      </c>
      <c r="C1082" s="3928" t="s">
        <v>6129</v>
      </c>
      <c r="D1082" s="3928" t="s">
        <v>6130</v>
      </c>
      <c r="E1082" s="3928" t="s">
        <v>6131</v>
      </c>
      <c r="F1082" s="3928" t="s">
        <v>2289</v>
      </c>
      <c r="G1082" s="3928" t="s">
        <v>24</v>
      </c>
      <c r="H1082" s="3928" t="s">
        <v>2263</v>
      </c>
      <c r="I1082" s="3928" t="s">
        <v>811</v>
      </c>
    </row>
    <row r="1083" spans="1:9" ht="11.25" customHeight="1">
      <c r="A1083" s="3928" t="s">
        <v>2258</v>
      </c>
      <c r="B1083" s="3928" t="s">
        <v>14</v>
      </c>
      <c r="C1083" s="3928" t="s">
        <v>6132</v>
      </c>
      <c r="D1083" s="3928" t="s">
        <v>6133</v>
      </c>
      <c r="E1083" s="3928" t="s">
        <v>6134</v>
      </c>
      <c r="F1083" s="3928" t="s">
        <v>2294</v>
      </c>
      <c r="G1083" s="3928" t="s">
        <v>24</v>
      </c>
      <c r="H1083" s="3928" t="s">
        <v>2263</v>
      </c>
      <c r="I1083" s="3928" t="s">
        <v>811</v>
      </c>
    </row>
    <row r="1084" spans="1:9" ht="11.25" customHeight="1">
      <c r="A1084" s="3928" t="s">
        <v>2258</v>
      </c>
      <c r="B1084" s="3928" t="s">
        <v>14</v>
      </c>
      <c r="C1084" s="3928" t="s">
        <v>6135</v>
      </c>
      <c r="D1084" s="3928" t="s">
        <v>6136</v>
      </c>
      <c r="E1084" s="3928" t="s">
        <v>6137</v>
      </c>
      <c r="F1084" s="3928" t="s">
        <v>2675</v>
      </c>
      <c r="G1084" s="3928" t="s">
        <v>24</v>
      </c>
      <c r="H1084" s="3928" t="s">
        <v>2263</v>
      </c>
      <c r="I1084" s="3928" t="s">
        <v>811</v>
      </c>
    </row>
    <row r="1085" spans="1:9" ht="11.25" customHeight="1">
      <c r="A1085" s="3928" t="s">
        <v>2258</v>
      </c>
      <c r="B1085" s="3928" t="s">
        <v>14</v>
      </c>
      <c r="C1085" s="3928" t="s">
        <v>6138</v>
      </c>
      <c r="D1085" s="3928" t="s">
        <v>6139</v>
      </c>
      <c r="E1085" s="3928" t="s">
        <v>6140</v>
      </c>
      <c r="F1085" s="3928" t="s">
        <v>2473</v>
      </c>
      <c r="G1085" s="3928" t="s">
        <v>24</v>
      </c>
      <c r="H1085" s="3928" t="s">
        <v>2263</v>
      </c>
      <c r="I1085" s="3928" t="s">
        <v>811</v>
      </c>
    </row>
    <row r="1086" spans="1:9" ht="11.25" customHeight="1">
      <c r="A1086" s="3928" t="s">
        <v>2258</v>
      </c>
      <c r="B1086" s="3928" t="s">
        <v>14</v>
      </c>
      <c r="C1086" s="3928" t="s">
        <v>6141</v>
      </c>
      <c r="D1086" s="3928" t="s">
        <v>6142</v>
      </c>
      <c r="E1086" s="3928" t="s">
        <v>6143</v>
      </c>
      <c r="F1086" s="3928" t="s">
        <v>2688</v>
      </c>
      <c r="G1086" s="3928" t="s">
        <v>24</v>
      </c>
      <c r="H1086" s="3928" t="s">
        <v>2263</v>
      </c>
      <c r="I1086" s="3928" t="s">
        <v>811</v>
      </c>
    </row>
    <row r="1087" spans="1:9" ht="11.25" customHeight="1">
      <c r="A1087" s="3928" t="s">
        <v>2258</v>
      </c>
      <c r="B1087" s="3928" t="s">
        <v>14</v>
      </c>
      <c r="C1087" s="3928" t="s">
        <v>6144</v>
      </c>
      <c r="D1087" s="3928" t="s">
        <v>6145</v>
      </c>
      <c r="E1087" s="3928" t="s">
        <v>6146</v>
      </c>
      <c r="F1087" s="3928" t="s">
        <v>2262</v>
      </c>
      <c r="G1087" s="3928" t="s">
        <v>24</v>
      </c>
      <c r="H1087" s="3928" t="s">
        <v>6147</v>
      </c>
      <c r="I1087" s="3928" t="s">
        <v>811</v>
      </c>
    </row>
    <row r="1088" spans="1:9" ht="11.25" customHeight="1">
      <c r="A1088" s="3928" t="s">
        <v>2258</v>
      </c>
      <c r="B1088" s="3928" t="s">
        <v>14</v>
      </c>
      <c r="C1088" s="3928" t="s">
        <v>6148</v>
      </c>
      <c r="D1088" s="3928" t="s">
        <v>6149</v>
      </c>
      <c r="E1088" s="3928" t="s">
        <v>6150</v>
      </c>
      <c r="F1088" s="3928" t="s">
        <v>2486</v>
      </c>
      <c r="G1088" s="3928" t="s">
        <v>24</v>
      </c>
      <c r="H1088" s="3928" t="s">
        <v>24</v>
      </c>
      <c r="I1088" s="3928" t="s">
        <v>811</v>
      </c>
    </row>
    <row r="1089" spans="1:9" ht="11.25" customHeight="1">
      <c r="A1089" s="3928" t="s">
        <v>2258</v>
      </c>
      <c r="B1089" s="3928" t="s">
        <v>14</v>
      </c>
      <c r="C1089" s="3928" t="s">
        <v>6151</v>
      </c>
      <c r="D1089" s="3928" t="s">
        <v>6152</v>
      </c>
      <c r="E1089" s="3928" t="s">
        <v>6153</v>
      </c>
      <c r="F1089" s="3928" t="s">
        <v>4428</v>
      </c>
      <c r="G1089" s="3928" t="s">
        <v>24</v>
      </c>
      <c r="H1089" s="3928" t="s">
        <v>2945</v>
      </c>
      <c r="I1089" s="3928" t="s">
        <v>811</v>
      </c>
    </row>
    <row r="1090" spans="1:9" ht="11.25" customHeight="1">
      <c r="A1090" s="3928" t="s">
        <v>2258</v>
      </c>
      <c r="B1090" s="3928" t="s">
        <v>14</v>
      </c>
      <c r="C1090" s="3928" t="s">
        <v>6154</v>
      </c>
      <c r="D1090" s="3928" t="s">
        <v>6155</v>
      </c>
      <c r="E1090" s="3928" t="s">
        <v>6146</v>
      </c>
      <c r="F1090" s="3928" t="s">
        <v>6156</v>
      </c>
      <c r="G1090" s="3928" t="s">
        <v>24</v>
      </c>
      <c r="H1090" s="3928" t="s">
        <v>24</v>
      </c>
      <c r="I1090" s="3928" t="s">
        <v>811</v>
      </c>
    </row>
    <row r="1091" spans="1:9" ht="11.25" customHeight="1">
      <c r="A1091" s="3928" t="s">
        <v>2258</v>
      </c>
      <c r="B1091" s="3928" t="s">
        <v>14</v>
      </c>
      <c r="C1091" s="3928" t="s">
        <v>6157</v>
      </c>
      <c r="D1091" s="3928" t="s">
        <v>6158</v>
      </c>
      <c r="E1091" s="3928" t="s">
        <v>6159</v>
      </c>
      <c r="F1091" s="3928" t="s">
        <v>2513</v>
      </c>
      <c r="G1091" s="3928" t="s">
        <v>24</v>
      </c>
      <c r="H1091" s="3928" t="s">
        <v>2263</v>
      </c>
      <c r="I1091" s="3928" t="s">
        <v>811</v>
      </c>
    </row>
    <row r="1092" spans="1:9" ht="11.25" customHeight="1">
      <c r="A1092" s="3928" t="s">
        <v>2258</v>
      </c>
      <c r="B1092" s="3928" t="s">
        <v>14</v>
      </c>
      <c r="C1092" s="3928" t="s">
        <v>6160</v>
      </c>
      <c r="D1092" s="3928" t="s">
        <v>6161</v>
      </c>
      <c r="E1092" s="3928" t="s">
        <v>6162</v>
      </c>
      <c r="F1092" s="3928" t="s">
        <v>2289</v>
      </c>
      <c r="G1092" s="3928" t="s">
        <v>24</v>
      </c>
      <c r="H1092" s="3928" t="s">
        <v>2263</v>
      </c>
      <c r="I1092" s="3928" t="s">
        <v>811</v>
      </c>
    </row>
    <row r="1093" spans="1:9" ht="11.25" customHeight="1">
      <c r="A1093" s="3928" t="s">
        <v>2258</v>
      </c>
      <c r="B1093" s="3928" t="s">
        <v>14</v>
      </c>
      <c r="C1093" s="3928" t="s">
        <v>6163</v>
      </c>
      <c r="D1093" s="3928" t="s">
        <v>6164</v>
      </c>
      <c r="E1093" s="3928" t="s">
        <v>6165</v>
      </c>
      <c r="F1093" s="3928" t="s">
        <v>2393</v>
      </c>
      <c r="G1093" s="3928" t="s">
        <v>6166</v>
      </c>
      <c r="H1093" s="3928" t="s">
        <v>24</v>
      </c>
      <c r="I1093" s="3928" t="s">
        <v>811</v>
      </c>
    </row>
    <row r="1094" spans="1:9" ht="11.25" customHeight="1">
      <c r="A1094" s="3928" t="s">
        <v>2258</v>
      </c>
      <c r="B1094" s="3928" t="s">
        <v>14</v>
      </c>
      <c r="C1094" s="3928" t="s">
        <v>6167</v>
      </c>
      <c r="D1094" s="3928" t="s">
        <v>6168</v>
      </c>
      <c r="E1094" s="3928" t="s">
        <v>6169</v>
      </c>
      <c r="F1094" s="3928" t="s">
        <v>2513</v>
      </c>
      <c r="G1094" s="3928" t="s">
        <v>24</v>
      </c>
      <c r="H1094" s="3928" t="s">
        <v>6170</v>
      </c>
      <c r="I1094" s="3928" t="s">
        <v>811</v>
      </c>
    </row>
    <row r="1095" spans="1:9" ht="11.25" customHeight="1">
      <c r="A1095" s="3928" t="s">
        <v>2258</v>
      </c>
      <c r="B1095" s="3928" t="s">
        <v>14</v>
      </c>
      <c r="C1095" s="3928" t="s">
        <v>6171</v>
      </c>
      <c r="D1095" s="3928" t="s">
        <v>6172</v>
      </c>
      <c r="E1095" s="3928" t="s">
        <v>6173</v>
      </c>
      <c r="F1095" s="3928" t="s">
        <v>2262</v>
      </c>
      <c r="G1095" s="3928" t="s">
        <v>24</v>
      </c>
      <c r="H1095" s="3928" t="s">
        <v>2263</v>
      </c>
      <c r="I1095" s="3928" t="s">
        <v>811</v>
      </c>
    </row>
    <row r="1096" spans="1:9" ht="11.25" customHeight="1">
      <c r="A1096" s="3928" t="s">
        <v>2258</v>
      </c>
      <c r="B1096" s="3928" t="s">
        <v>14</v>
      </c>
      <c r="C1096" s="3928" t="s">
        <v>6174</v>
      </c>
      <c r="D1096" s="3928" t="s">
        <v>6175</v>
      </c>
      <c r="E1096" s="3928" t="s">
        <v>6176</v>
      </c>
      <c r="F1096" s="3928" t="s">
        <v>3039</v>
      </c>
      <c r="G1096" s="3928" t="s">
        <v>24</v>
      </c>
      <c r="H1096" s="3928" t="s">
        <v>2263</v>
      </c>
      <c r="I1096" s="3928" t="s">
        <v>811</v>
      </c>
    </row>
    <row r="1097" spans="1:9" ht="11.25" customHeight="1">
      <c r="A1097" s="3928" t="s">
        <v>2258</v>
      </c>
      <c r="B1097" s="3928" t="s">
        <v>14</v>
      </c>
      <c r="C1097" s="3928" t="s">
        <v>6177</v>
      </c>
      <c r="D1097" s="3928" t="s">
        <v>6178</v>
      </c>
      <c r="E1097" s="3928" t="s">
        <v>6179</v>
      </c>
      <c r="F1097" s="3928" t="s">
        <v>3023</v>
      </c>
      <c r="G1097" s="3928" t="s">
        <v>24</v>
      </c>
      <c r="H1097" s="3928" t="s">
        <v>6180</v>
      </c>
      <c r="I1097" s="3928" t="s">
        <v>811</v>
      </c>
    </row>
    <row r="1098" spans="1:9" ht="11.25" customHeight="1">
      <c r="A1098" s="3928" t="s">
        <v>2258</v>
      </c>
      <c r="B1098" s="3928" t="s">
        <v>14</v>
      </c>
      <c r="C1098" s="3928" t="s">
        <v>6181</v>
      </c>
      <c r="D1098" s="3928" t="s">
        <v>6182</v>
      </c>
      <c r="E1098" s="3928" t="s">
        <v>6183</v>
      </c>
      <c r="F1098" s="3928" t="s">
        <v>6184</v>
      </c>
      <c r="G1098" s="3928" t="s">
        <v>24</v>
      </c>
      <c r="H1098" s="3928" t="s">
        <v>24</v>
      </c>
      <c r="I1098" s="3928" t="s">
        <v>811</v>
      </c>
    </row>
    <row r="1099" spans="1:9" ht="11.25" customHeight="1">
      <c r="A1099" s="3928" t="s">
        <v>2258</v>
      </c>
      <c r="B1099" s="3928" t="s">
        <v>14</v>
      </c>
      <c r="C1099" s="3928" t="s">
        <v>6185</v>
      </c>
      <c r="D1099" s="3928" t="s">
        <v>6186</v>
      </c>
      <c r="E1099" s="3928" t="s">
        <v>6187</v>
      </c>
      <c r="F1099" s="3928" t="s">
        <v>3086</v>
      </c>
      <c r="G1099" s="3928" t="s">
        <v>24</v>
      </c>
      <c r="H1099" s="3928" t="s">
        <v>5945</v>
      </c>
      <c r="I1099" s="3928" t="s">
        <v>811</v>
      </c>
    </row>
    <row r="1100" spans="1:9" ht="11.25" customHeight="1">
      <c r="A1100" s="3928" t="s">
        <v>2258</v>
      </c>
      <c r="B1100" s="3928" t="s">
        <v>14</v>
      </c>
      <c r="C1100" s="3928" t="s">
        <v>6188</v>
      </c>
      <c r="D1100" s="3928" t="s">
        <v>6189</v>
      </c>
      <c r="E1100" s="3928" t="s">
        <v>6190</v>
      </c>
      <c r="F1100" s="3928" t="s">
        <v>2397</v>
      </c>
      <c r="G1100" s="3928" t="s">
        <v>24</v>
      </c>
      <c r="H1100" s="3928" t="s">
        <v>24</v>
      </c>
      <c r="I1100" s="3928" t="s">
        <v>811</v>
      </c>
    </row>
    <row r="1101" spans="1:9" ht="11.25" customHeight="1">
      <c r="A1101" s="3928" t="s">
        <v>2258</v>
      </c>
      <c r="B1101" s="3928" t="s">
        <v>14</v>
      </c>
      <c r="C1101" s="3928" t="s">
        <v>6191</v>
      </c>
      <c r="D1101" s="3928" t="s">
        <v>627</v>
      </c>
      <c r="E1101" s="3928" t="s">
        <v>6192</v>
      </c>
      <c r="F1101" s="3928" t="s">
        <v>2675</v>
      </c>
      <c r="G1101" s="3928" t="s">
        <v>6193</v>
      </c>
      <c r="H1101" s="3928" t="s">
        <v>24</v>
      </c>
      <c r="I1101" s="3928" t="s">
        <v>811</v>
      </c>
    </row>
    <row r="1102" spans="1:9" ht="11.25" customHeight="1">
      <c r="A1102" s="3928" t="s">
        <v>2258</v>
      </c>
      <c r="B1102" s="3928" t="s">
        <v>14</v>
      </c>
      <c r="C1102" s="3928" t="s">
        <v>6194</v>
      </c>
      <c r="D1102" s="3928" t="s">
        <v>6195</v>
      </c>
      <c r="E1102" s="3928" t="s">
        <v>6196</v>
      </c>
      <c r="F1102" s="3928" t="s">
        <v>2473</v>
      </c>
      <c r="G1102" s="3928" t="s">
        <v>24</v>
      </c>
      <c r="H1102" s="3928" t="s">
        <v>6197</v>
      </c>
      <c r="I1102" s="3928" t="s">
        <v>811</v>
      </c>
    </row>
    <row r="1103" spans="1:9" ht="11.25" customHeight="1">
      <c r="A1103" s="3928" t="s">
        <v>2258</v>
      </c>
      <c r="B1103" s="3928" t="s">
        <v>14</v>
      </c>
      <c r="C1103" s="3928" t="s">
        <v>6198</v>
      </c>
      <c r="D1103" s="3928" t="s">
        <v>6199</v>
      </c>
      <c r="E1103" s="3928" t="s">
        <v>6200</v>
      </c>
      <c r="F1103" s="3928" t="s">
        <v>2469</v>
      </c>
      <c r="G1103" s="3928" t="s">
        <v>24</v>
      </c>
      <c r="H1103" s="3928" t="s">
        <v>6201</v>
      </c>
      <c r="I1103" s="3928" t="s">
        <v>811</v>
      </c>
    </row>
    <row r="1104" spans="1:9" ht="11.25" customHeight="1">
      <c r="A1104" s="3928" t="s">
        <v>2258</v>
      </c>
      <c r="B1104" s="3928" t="s">
        <v>14</v>
      </c>
      <c r="C1104" s="3928" t="s">
        <v>6202</v>
      </c>
      <c r="D1104" s="3928" t="s">
        <v>6203</v>
      </c>
      <c r="E1104" s="3928" t="s">
        <v>6204</v>
      </c>
      <c r="F1104" s="3928" t="s">
        <v>2451</v>
      </c>
      <c r="G1104" s="3928" t="s">
        <v>24</v>
      </c>
      <c r="H1104" s="3928" t="s">
        <v>2263</v>
      </c>
      <c r="I1104" s="3928" t="s">
        <v>811</v>
      </c>
    </row>
    <row r="1105" spans="1:9" ht="11.25" customHeight="1">
      <c r="A1105" s="3928" t="s">
        <v>2258</v>
      </c>
      <c r="B1105" s="3928" t="s">
        <v>14</v>
      </c>
      <c r="C1105" s="3928" t="s">
        <v>6205</v>
      </c>
      <c r="D1105" s="3928" t="s">
        <v>6206</v>
      </c>
      <c r="E1105" s="3928" t="s">
        <v>6207</v>
      </c>
      <c r="F1105" s="3928" t="s">
        <v>3323</v>
      </c>
      <c r="G1105" s="3928" t="s">
        <v>6208</v>
      </c>
      <c r="H1105" s="3928" t="s">
        <v>24</v>
      </c>
      <c r="I1105" s="3928" t="s">
        <v>811</v>
      </c>
    </row>
    <row r="1106" spans="1:9" ht="11.25" customHeight="1">
      <c r="A1106" s="3928" t="s">
        <v>2258</v>
      </c>
      <c r="B1106" s="3928" t="s">
        <v>14</v>
      </c>
      <c r="C1106" s="3928" t="s">
        <v>6209</v>
      </c>
      <c r="D1106" s="3928" t="s">
        <v>6210</v>
      </c>
      <c r="E1106" s="3928" t="s">
        <v>6211</v>
      </c>
      <c r="F1106" s="3928" t="s">
        <v>2359</v>
      </c>
      <c r="G1106" s="3928" t="s">
        <v>24</v>
      </c>
      <c r="H1106" s="3928" t="s">
        <v>24</v>
      </c>
      <c r="I1106" s="3928" t="s">
        <v>811</v>
      </c>
    </row>
    <row r="1107" spans="1:9" ht="11.25" customHeight="1">
      <c r="A1107" s="3928" t="s">
        <v>2258</v>
      </c>
      <c r="B1107" s="3928" t="s">
        <v>14</v>
      </c>
      <c r="C1107" s="3928" t="s">
        <v>6212</v>
      </c>
      <c r="D1107" s="3928" t="s">
        <v>6213</v>
      </c>
      <c r="E1107" s="3928" t="s">
        <v>6214</v>
      </c>
      <c r="F1107" s="3928" t="s">
        <v>2675</v>
      </c>
      <c r="G1107" s="3928" t="s">
        <v>24</v>
      </c>
      <c r="H1107" s="3928" t="s">
        <v>24</v>
      </c>
      <c r="I1107" s="3928" t="s">
        <v>811</v>
      </c>
    </row>
    <row r="1108" spans="1:9" ht="11.25" customHeight="1">
      <c r="A1108" s="3928" t="s">
        <v>2258</v>
      </c>
      <c r="B1108" s="3928" t="s">
        <v>14</v>
      </c>
      <c r="C1108" s="3928" t="s">
        <v>6215</v>
      </c>
      <c r="D1108" s="3928" t="s">
        <v>6216</v>
      </c>
      <c r="E1108" s="3928" t="s">
        <v>6217</v>
      </c>
      <c r="F1108" s="3928" t="s">
        <v>2965</v>
      </c>
      <c r="G1108" s="3928" t="s">
        <v>24</v>
      </c>
      <c r="H1108" s="3928" t="s">
        <v>24</v>
      </c>
      <c r="I1108" s="3928" t="s">
        <v>811</v>
      </c>
    </row>
    <row r="1109" spans="1:9" ht="11.25" customHeight="1">
      <c r="A1109" s="3928" t="s">
        <v>2258</v>
      </c>
      <c r="B1109" s="3928" t="s">
        <v>14</v>
      </c>
      <c r="C1109" s="3928" t="s">
        <v>6218</v>
      </c>
      <c r="D1109" s="3928" t="s">
        <v>6219</v>
      </c>
      <c r="E1109" s="3928" t="s">
        <v>6220</v>
      </c>
      <c r="F1109" s="3928" t="s">
        <v>2486</v>
      </c>
      <c r="G1109" s="3928" t="s">
        <v>6221</v>
      </c>
      <c r="H1109" s="3928" t="s">
        <v>24</v>
      </c>
      <c r="I1109" s="3928" t="s">
        <v>811</v>
      </c>
    </row>
    <row r="1110" spans="1:9" ht="11.25" customHeight="1">
      <c r="A1110" s="3928" t="s">
        <v>2258</v>
      </c>
      <c r="B1110" s="3928" t="s">
        <v>14</v>
      </c>
      <c r="C1110" s="3928" t="s">
        <v>6222</v>
      </c>
      <c r="D1110" s="3928" t="s">
        <v>6223</v>
      </c>
      <c r="E1110" s="3928" t="s">
        <v>6224</v>
      </c>
      <c r="F1110" s="3928" t="s">
        <v>3039</v>
      </c>
      <c r="G1110" s="3928" t="s">
        <v>6225</v>
      </c>
      <c r="H1110" s="3928" t="s">
        <v>24</v>
      </c>
      <c r="I1110" s="3928" t="s">
        <v>811</v>
      </c>
    </row>
    <row r="1111" spans="1:9" ht="11.25" customHeight="1">
      <c r="A1111" s="3928" t="s">
        <v>2258</v>
      </c>
      <c r="B1111" s="3928" t="s">
        <v>14</v>
      </c>
      <c r="C1111" s="3928" t="s">
        <v>6226</v>
      </c>
      <c r="D1111" s="3928" t="s">
        <v>6227</v>
      </c>
      <c r="E1111" s="3928" t="s">
        <v>6228</v>
      </c>
      <c r="F1111" s="3928" t="s">
        <v>2309</v>
      </c>
      <c r="G1111" s="3928" t="s">
        <v>24</v>
      </c>
      <c r="H1111" s="3928" t="s">
        <v>24</v>
      </c>
      <c r="I1111" s="3928" t="s">
        <v>811</v>
      </c>
    </row>
    <row r="1112" spans="1:9" ht="11.25" customHeight="1">
      <c r="A1112" s="3928" t="s">
        <v>2258</v>
      </c>
      <c r="B1112" s="3928" t="s">
        <v>14</v>
      </c>
      <c r="C1112" s="3928" t="s">
        <v>6229</v>
      </c>
      <c r="D1112" s="3928" t="s">
        <v>6230</v>
      </c>
      <c r="E1112" s="3928" t="s">
        <v>6231</v>
      </c>
      <c r="F1112" s="3928" t="s">
        <v>2587</v>
      </c>
      <c r="G1112" s="3928" t="s">
        <v>24</v>
      </c>
      <c r="H1112" s="3928" t="s">
        <v>2263</v>
      </c>
      <c r="I1112" s="3928" t="s">
        <v>811</v>
      </c>
    </row>
    <row r="1113" spans="1:9" ht="11.25" customHeight="1">
      <c r="A1113" s="3928" t="s">
        <v>2258</v>
      </c>
      <c r="B1113" s="3928" t="s">
        <v>14</v>
      </c>
      <c r="C1113" s="3928" t="s">
        <v>6232</v>
      </c>
      <c r="D1113" s="3928" t="s">
        <v>6233</v>
      </c>
      <c r="E1113" s="3928" t="s">
        <v>6234</v>
      </c>
      <c r="F1113" s="3928" t="s">
        <v>2469</v>
      </c>
      <c r="G1113" s="3928" t="s">
        <v>24</v>
      </c>
      <c r="H1113" s="3928" t="s">
        <v>24</v>
      </c>
      <c r="I1113" s="3928" t="s">
        <v>811</v>
      </c>
    </row>
    <row r="1114" spans="1:9" ht="11.25" customHeight="1">
      <c r="A1114" s="3928" t="s">
        <v>2258</v>
      </c>
      <c r="B1114" s="3928" t="s">
        <v>14</v>
      </c>
      <c r="C1114" s="3928" t="s">
        <v>6235</v>
      </c>
      <c r="D1114" s="3928" t="s">
        <v>6236</v>
      </c>
      <c r="E1114" s="3928" t="s">
        <v>6237</v>
      </c>
      <c r="F1114" s="3928" t="s">
        <v>2419</v>
      </c>
      <c r="G1114" s="3928" t="s">
        <v>6238</v>
      </c>
      <c r="H1114" s="3928" t="s">
        <v>24</v>
      </c>
      <c r="I1114" s="3928" t="s">
        <v>811</v>
      </c>
    </row>
    <row r="1115" spans="1:9" ht="11.25" customHeight="1">
      <c r="A1115" s="3928" t="s">
        <v>2258</v>
      </c>
      <c r="B1115" s="3928" t="s">
        <v>14</v>
      </c>
      <c r="C1115" s="3928" t="s">
        <v>6239</v>
      </c>
      <c r="D1115" s="3928" t="s">
        <v>6240</v>
      </c>
      <c r="E1115" s="3928" t="s">
        <v>3947</v>
      </c>
      <c r="F1115" s="3928" t="s">
        <v>2847</v>
      </c>
      <c r="G1115" s="3928" t="s">
        <v>5949</v>
      </c>
      <c r="H1115" s="3928" t="s">
        <v>24</v>
      </c>
      <c r="I1115" s="3928" t="s">
        <v>811</v>
      </c>
    </row>
    <row r="1116" spans="1:9" ht="11.25" customHeight="1">
      <c r="A1116" s="3928" t="s">
        <v>2258</v>
      </c>
      <c r="B1116" s="3928" t="s">
        <v>14</v>
      </c>
      <c r="C1116" s="3928" t="s">
        <v>6241</v>
      </c>
      <c r="D1116" s="3928" t="s">
        <v>6242</v>
      </c>
      <c r="E1116" s="3928" t="s">
        <v>6243</v>
      </c>
      <c r="F1116" s="3928" t="s">
        <v>6244</v>
      </c>
      <c r="G1116" s="3928" t="s">
        <v>24</v>
      </c>
      <c r="H1116" s="3928" t="s">
        <v>2263</v>
      </c>
      <c r="I1116" s="3928" t="s">
        <v>811</v>
      </c>
    </row>
    <row r="1117" spans="1:9" ht="11.25" customHeight="1">
      <c r="A1117" s="3928" t="s">
        <v>2258</v>
      </c>
      <c r="B1117" s="3928" t="s">
        <v>14</v>
      </c>
      <c r="C1117" s="3928" t="s">
        <v>6245</v>
      </c>
      <c r="D1117" s="3928" t="s">
        <v>6242</v>
      </c>
      <c r="E1117" s="3928" t="s">
        <v>6243</v>
      </c>
      <c r="F1117" s="3928" t="s">
        <v>2393</v>
      </c>
      <c r="G1117" s="3928" t="s">
        <v>6246</v>
      </c>
      <c r="H1117" s="3928" t="s">
        <v>24</v>
      </c>
      <c r="I1117" s="3928" t="s">
        <v>811</v>
      </c>
    </row>
    <row r="1118" spans="1:9" ht="11.25" customHeight="1">
      <c r="A1118" s="3928" t="s">
        <v>2258</v>
      </c>
      <c r="B1118" s="3928" t="s">
        <v>14</v>
      </c>
      <c r="C1118" s="3928" t="s">
        <v>6247</v>
      </c>
      <c r="D1118" s="3928" t="s">
        <v>6248</v>
      </c>
      <c r="E1118" s="3928" t="s">
        <v>6153</v>
      </c>
      <c r="F1118" s="3928" t="s">
        <v>6249</v>
      </c>
      <c r="G1118" s="3928" t="s">
        <v>24</v>
      </c>
      <c r="H1118" s="3928" t="s">
        <v>2263</v>
      </c>
      <c r="I1118" s="3928" t="s">
        <v>811</v>
      </c>
    </row>
    <row r="1119" spans="1:9" ht="11.25" customHeight="1">
      <c r="A1119" s="3928" t="s">
        <v>2258</v>
      </c>
      <c r="B1119" s="3928" t="s">
        <v>14</v>
      </c>
      <c r="C1119" s="3928" t="s">
        <v>6250</v>
      </c>
      <c r="D1119" s="3928" t="s">
        <v>6251</v>
      </c>
      <c r="E1119" s="3928" t="s">
        <v>6252</v>
      </c>
      <c r="F1119" s="3928" t="s">
        <v>6253</v>
      </c>
      <c r="G1119" s="3928" t="s">
        <v>6254</v>
      </c>
      <c r="H1119" s="3928" t="s">
        <v>24</v>
      </c>
      <c r="I1119" s="3928" t="s">
        <v>811</v>
      </c>
    </row>
    <row r="1120" spans="1:9" ht="11.25" customHeight="1">
      <c r="A1120" s="3928" t="s">
        <v>2258</v>
      </c>
      <c r="B1120" s="3928" t="s">
        <v>14</v>
      </c>
      <c r="C1120" s="3928" t="s">
        <v>6255</v>
      </c>
      <c r="D1120" s="3928" t="s">
        <v>6256</v>
      </c>
      <c r="E1120" s="3928" t="s">
        <v>6257</v>
      </c>
      <c r="F1120" s="3928" t="s">
        <v>6258</v>
      </c>
      <c r="G1120" s="3928" t="s">
        <v>24</v>
      </c>
      <c r="H1120" s="3928" t="s">
        <v>2263</v>
      </c>
      <c r="I1120" s="3928" t="s">
        <v>811</v>
      </c>
    </row>
    <row r="1121" spans="1:9" ht="11.25" customHeight="1">
      <c r="A1121" s="3928" t="s">
        <v>2258</v>
      </c>
      <c r="B1121" s="3928" t="s">
        <v>14</v>
      </c>
      <c r="C1121" s="3928" t="s">
        <v>6259</v>
      </c>
      <c r="D1121" s="3928" t="s">
        <v>6260</v>
      </c>
      <c r="E1121" s="3928" t="s">
        <v>5827</v>
      </c>
      <c r="F1121" s="3928" t="s">
        <v>6261</v>
      </c>
      <c r="G1121" s="3928" t="s">
        <v>6262</v>
      </c>
      <c r="H1121" s="3928" t="s">
        <v>24</v>
      </c>
      <c r="I1121" s="3928" t="s">
        <v>811</v>
      </c>
    </row>
    <row r="1122" spans="1:9" ht="11.25" customHeight="1">
      <c r="A1122" s="3928" t="s">
        <v>2258</v>
      </c>
      <c r="B1122" s="3928" t="s">
        <v>14</v>
      </c>
      <c r="C1122" s="3928" t="s">
        <v>6263</v>
      </c>
      <c r="D1122" s="3928" t="s">
        <v>6264</v>
      </c>
      <c r="E1122" s="3928" t="s">
        <v>6265</v>
      </c>
      <c r="F1122" s="3928" t="s">
        <v>6266</v>
      </c>
      <c r="G1122" s="3928" t="s">
        <v>6267</v>
      </c>
      <c r="H1122" s="3928" t="s">
        <v>24</v>
      </c>
      <c r="I1122" s="3928" t="s">
        <v>811</v>
      </c>
    </row>
    <row r="1123" spans="1:9" ht="11.25" customHeight="1">
      <c r="A1123" s="3928" t="s">
        <v>2258</v>
      </c>
      <c r="B1123" s="3928" t="s">
        <v>14</v>
      </c>
      <c r="C1123" s="3928" t="s">
        <v>6268</v>
      </c>
      <c r="D1123" s="3928" t="s">
        <v>6269</v>
      </c>
      <c r="E1123" s="3928" t="s">
        <v>6270</v>
      </c>
      <c r="F1123" s="3928" t="s">
        <v>2796</v>
      </c>
      <c r="G1123" s="3928" t="s">
        <v>24</v>
      </c>
      <c r="H1123" s="3928" t="s">
        <v>2475</v>
      </c>
      <c r="I1123" s="3928" t="s">
        <v>811</v>
      </c>
    </row>
    <row r="1124" spans="1:9" ht="11.25" customHeight="1">
      <c r="A1124" s="3928" t="s">
        <v>2258</v>
      </c>
      <c r="B1124" s="3928" t="s">
        <v>14</v>
      </c>
      <c r="C1124" s="3928" t="s">
        <v>6271</v>
      </c>
      <c r="D1124" s="3928" t="s">
        <v>6272</v>
      </c>
      <c r="E1124" s="3928" t="s">
        <v>6273</v>
      </c>
      <c r="F1124" s="3928" t="s">
        <v>6274</v>
      </c>
      <c r="G1124" s="3928" t="s">
        <v>6275</v>
      </c>
      <c r="H1124" s="3928" t="s">
        <v>24</v>
      </c>
      <c r="I1124" s="3928" t="s">
        <v>811</v>
      </c>
    </row>
    <row r="1125" spans="1:9" ht="11.25" customHeight="1">
      <c r="A1125" s="3928" t="s">
        <v>2258</v>
      </c>
      <c r="B1125" s="3928" t="s">
        <v>14</v>
      </c>
      <c r="C1125" s="3928" t="s">
        <v>6276</v>
      </c>
      <c r="D1125" s="3928" t="s">
        <v>6277</v>
      </c>
      <c r="E1125" s="3928" t="s">
        <v>6278</v>
      </c>
      <c r="F1125" s="3928" t="s">
        <v>6279</v>
      </c>
      <c r="G1125" s="3928" t="s">
        <v>6280</v>
      </c>
      <c r="H1125" s="3928" t="s">
        <v>24</v>
      </c>
      <c r="I1125" s="3928" t="s">
        <v>811</v>
      </c>
    </row>
    <row r="1126" spans="1:9" ht="11.25" customHeight="1">
      <c r="A1126" s="3928" t="s">
        <v>2258</v>
      </c>
      <c r="B1126" s="3928" t="s">
        <v>14</v>
      </c>
      <c r="C1126" s="3928" t="s">
        <v>6281</v>
      </c>
      <c r="D1126" s="3928" t="s">
        <v>6282</v>
      </c>
      <c r="E1126" s="3928" t="s">
        <v>3095</v>
      </c>
      <c r="F1126" s="3928" t="s">
        <v>6283</v>
      </c>
      <c r="G1126" s="3928" t="s">
        <v>6284</v>
      </c>
      <c r="H1126" s="3928" t="s">
        <v>2263</v>
      </c>
      <c r="I1126" s="3928" t="s">
        <v>811</v>
      </c>
    </row>
    <row r="1127" spans="1:9" ht="11.25" customHeight="1">
      <c r="A1127" s="3928" t="s">
        <v>2258</v>
      </c>
      <c r="B1127" s="3928" t="s">
        <v>14</v>
      </c>
      <c r="C1127" s="3928" t="s">
        <v>6285</v>
      </c>
      <c r="D1127" s="3928" t="s">
        <v>6286</v>
      </c>
      <c r="E1127" s="3928" t="s">
        <v>6287</v>
      </c>
      <c r="F1127" s="3928" t="s">
        <v>6288</v>
      </c>
      <c r="G1127" s="3928" t="s">
        <v>6289</v>
      </c>
      <c r="H1127" s="3928" t="s">
        <v>2263</v>
      </c>
      <c r="I1127" s="3928" t="s">
        <v>811</v>
      </c>
    </row>
    <row r="1128" spans="1:9" ht="11.25" customHeight="1">
      <c r="A1128" s="3928" t="s">
        <v>2258</v>
      </c>
      <c r="B1128" s="3928" t="s">
        <v>14</v>
      </c>
      <c r="C1128" s="3928" t="s">
        <v>6290</v>
      </c>
      <c r="D1128" s="3928" t="s">
        <v>6291</v>
      </c>
      <c r="E1128" s="3928" t="s">
        <v>6292</v>
      </c>
      <c r="F1128" s="3928" t="s">
        <v>6293</v>
      </c>
      <c r="G1128" s="3928" t="s">
        <v>24</v>
      </c>
      <c r="H1128" s="3928" t="s">
        <v>24</v>
      </c>
      <c r="I1128" s="3928" t="s">
        <v>811</v>
      </c>
    </row>
    <row r="1129" spans="1:9" ht="11.25" customHeight="1">
      <c r="A1129" s="3928" t="s">
        <v>2258</v>
      </c>
      <c r="B1129" s="3928" t="s">
        <v>14</v>
      </c>
      <c r="C1129" s="3928" t="s">
        <v>6294</v>
      </c>
      <c r="D1129" s="3928" t="s">
        <v>6295</v>
      </c>
      <c r="E1129" s="3928" t="s">
        <v>6296</v>
      </c>
      <c r="F1129" s="3928" t="s">
        <v>2397</v>
      </c>
      <c r="G1129" s="3928" t="s">
        <v>24</v>
      </c>
      <c r="H1129" s="3928" t="s">
        <v>24</v>
      </c>
      <c r="I1129" s="3928" t="s">
        <v>811</v>
      </c>
    </row>
    <row r="1130" spans="1:9" ht="11.25" customHeight="1">
      <c r="A1130" s="3928" t="s">
        <v>2258</v>
      </c>
      <c r="B1130" s="3928" t="s">
        <v>14</v>
      </c>
      <c r="C1130" s="3928" t="s">
        <v>6297</v>
      </c>
      <c r="D1130" s="3928" t="s">
        <v>6298</v>
      </c>
      <c r="E1130" s="3928" t="s">
        <v>5246</v>
      </c>
      <c r="F1130" s="3928" t="s">
        <v>6299</v>
      </c>
      <c r="G1130" s="3928" t="s">
        <v>24</v>
      </c>
      <c r="H1130" s="3928" t="s">
        <v>24</v>
      </c>
      <c r="I1130" s="3928" t="s">
        <v>811</v>
      </c>
    </row>
    <row r="1131" spans="1:9" ht="11.25" customHeight="1">
      <c r="A1131" s="3928" t="s">
        <v>2258</v>
      </c>
      <c r="B1131" s="3928" t="s">
        <v>14</v>
      </c>
      <c r="C1131" s="3928" t="s">
        <v>6300</v>
      </c>
      <c r="D1131" s="3928" t="s">
        <v>6301</v>
      </c>
      <c r="E1131" s="3928" t="s">
        <v>5771</v>
      </c>
      <c r="F1131" s="3928" t="s">
        <v>6302</v>
      </c>
      <c r="G1131" s="3928" t="s">
        <v>24</v>
      </c>
      <c r="H1131" s="3928" t="s">
        <v>24</v>
      </c>
      <c r="I1131" s="3928" t="s">
        <v>811</v>
      </c>
    </row>
    <row r="1132" spans="1:9" ht="11.25" customHeight="1">
      <c r="A1132" s="3928" t="s">
        <v>2258</v>
      </c>
      <c r="B1132" s="3928" t="s">
        <v>14</v>
      </c>
      <c r="C1132" s="3928" t="s">
        <v>6303</v>
      </c>
      <c r="D1132" s="3928" t="s">
        <v>6304</v>
      </c>
      <c r="E1132" s="3928" t="s">
        <v>6305</v>
      </c>
      <c r="F1132" s="3928" t="s">
        <v>6306</v>
      </c>
      <c r="G1132" s="3928" t="s">
        <v>6307</v>
      </c>
      <c r="H1132" s="3928" t="s">
        <v>24</v>
      </c>
      <c r="I1132" s="3928" t="s">
        <v>811</v>
      </c>
    </row>
    <row r="1133" spans="1:9" ht="11.25" customHeight="1">
      <c r="A1133" s="3928" t="s">
        <v>2258</v>
      </c>
      <c r="B1133" s="3928" t="s">
        <v>14</v>
      </c>
      <c r="C1133" s="3928" t="s">
        <v>6308</v>
      </c>
      <c r="D1133" s="3928" t="s">
        <v>6309</v>
      </c>
      <c r="E1133" s="3928" t="s">
        <v>6310</v>
      </c>
      <c r="F1133" s="3928" t="s">
        <v>2397</v>
      </c>
      <c r="G1133" s="3928" t="s">
        <v>24</v>
      </c>
      <c r="H1133" s="3928" t="s">
        <v>2263</v>
      </c>
      <c r="I1133" s="3928" t="s">
        <v>811</v>
      </c>
    </row>
    <row r="1134" spans="1:9" ht="11.25" customHeight="1">
      <c r="A1134" s="3928" t="s">
        <v>2258</v>
      </c>
      <c r="B1134" s="3928" t="s">
        <v>14</v>
      </c>
      <c r="C1134" s="3928" t="s">
        <v>6311</v>
      </c>
      <c r="D1134" s="3928" t="s">
        <v>6312</v>
      </c>
      <c r="E1134" s="3928" t="s">
        <v>6313</v>
      </c>
      <c r="F1134" s="3928" t="s">
        <v>2796</v>
      </c>
      <c r="G1134" s="3928" t="s">
        <v>6314</v>
      </c>
      <c r="H1134" s="3928" t="s">
        <v>24</v>
      </c>
      <c r="I1134" s="3928" t="s">
        <v>811</v>
      </c>
    </row>
    <row r="1135" spans="1:9" ht="11.25" customHeight="1">
      <c r="A1135" s="3928" t="s">
        <v>2258</v>
      </c>
      <c r="B1135" s="3928" t="s">
        <v>14</v>
      </c>
      <c r="C1135" s="3928" t="s">
        <v>6315</v>
      </c>
      <c r="D1135" s="3928" t="s">
        <v>6316</v>
      </c>
      <c r="E1135" s="3928" t="s">
        <v>5246</v>
      </c>
      <c r="F1135" s="3928" t="s">
        <v>6317</v>
      </c>
      <c r="G1135" s="3928" t="s">
        <v>24</v>
      </c>
      <c r="H1135" s="3928" t="s">
        <v>24</v>
      </c>
      <c r="I1135" s="3928" t="s">
        <v>811</v>
      </c>
    </row>
    <row r="1136" spans="1:9" ht="11.25" customHeight="1">
      <c r="A1136" s="3928" t="s">
        <v>2258</v>
      </c>
      <c r="B1136" s="3928" t="s">
        <v>14</v>
      </c>
      <c r="C1136" s="3928" t="s">
        <v>6318</v>
      </c>
      <c r="D1136" s="3928" t="s">
        <v>6319</v>
      </c>
      <c r="E1136" s="3928" t="s">
        <v>6320</v>
      </c>
      <c r="F1136" s="3928" t="s">
        <v>2289</v>
      </c>
      <c r="G1136" s="3928" t="s">
        <v>24</v>
      </c>
      <c r="H1136" s="3928" t="s">
        <v>2263</v>
      </c>
      <c r="I1136" s="3928" t="s">
        <v>811</v>
      </c>
    </row>
    <row r="1137" spans="1:9" ht="11.25" customHeight="1">
      <c r="A1137" s="3928" t="s">
        <v>2258</v>
      </c>
      <c r="B1137" s="3928" t="s">
        <v>14</v>
      </c>
      <c r="C1137" s="3928" t="s">
        <v>6321</v>
      </c>
      <c r="D1137" s="3928" t="s">
        <v>6322</v>
      </c>
      <c r="E1137" s="3928" t="s">
        <v>2468</v>
      </c>
      <c r="F1137" s="3928" t="s">
        <v>3051</v>
      </c>
      <c r="G1137" s="3928" t="s">
        <v>24</v>
      </c>
      <c r="H1137" s="3928" t="s">
        <v>2263</v>
      </c>
      <c r="I1137" s="3928" t="s">
        <v>811</v>
      </c>
    </row>
    <row r="1138" spans="1:9" ht="11.25" customHeight="1">
      <c r="A1138" s="3928" t="s">
        <v>2258</v>
      </c>
      <c r="B1138" s="3928" t="s">
        <v>14</v>
      </c>
      <c r="C1138" s="3928" t="s">
        <v>6323</v>
      </c>
      <c r="D1138" s="3928" t="s">
        <v>6324</v>
      </c>
      <c r="E1138" s="3928" t="s">
        <v>6325</v>
      </c>
      <c r="F1138" s="3928" t="s">
        <v>3023</v>
      </c>
      <c r="G1138" s="3928" t="s">
        <v>24</v>
      </c>
      <c r="H1138" s="3928" t="s">
        <v>24</v>
      </c>
      <c r="I1138" s="3928" t="s">
        <v>811</v>
      </c>
    </row>
    <row r="1139" spans="1:9" ht="11.25" customHeight="1">
      <c r="A1139" s="3928" t="s">
        <v>2258</v>
      </c>
      <c r="B1139" s="3928" t="s">
        <v>14</v>
      </c>
      <c r="C1139" s="3928" t="s">
        <v>6326</v>
      </c>
      <c r="D1139" s="3928" t="s">
        <v>6327</v>
      </c>
      <c r="E1139" s="3928" t="s">
        <v>5851</v>
      </c>
      <c r="F1139" s="3928" t="s">
        <v>6328</v>
      </c>
      <c r="G1139" s="3928" t="s">
        <v>24</v>
      </c>
      <c r="H1139" s="3928" t="s">
        <v>24</v>
      </c>
      <c r="I1139" s="3928" t="s">
        <v>811</v>
      </c>
    </row>
    <row r="1140" spans="1:9" ht="11.25" customHeight="1">
      <c r="A1140" s="3928" t="s">
        <v>2258</v>
      </c>
      <c r="B1140" s="3928" t="s">
        <v>14</v>
      </c>
      <c r="C1140" s="3928" t="s">
        <v>6329</v>
      </c>
      <c r="D1140" s="3928" t="s">
        <v>6330</v>
      </c>
      <c r="E1140" s="3928" t="s">
        <v>2400</v>
      </c>
      <c r="F1140" s="3928" t="s">
        <v>2763</v>
      </c>
      <c r="G1140" s="3928" t="s">
        <v>24</v>
      </c>
      <c r="H1140" s="3928" t="s">
        <v>24</v>
      </c>
      <c r="I1140" s="3928" t="s">
        <v>898</v>
      </c>
    </row>
    <row r="1141" spans="1:9" ht="11.25" customHeight="1">
      <c r="A1141" s="3928" t="s">
        <v>2258</v>
      </c>
      <c r="B1141" s="3928" t="s">
        <v>14</v>
      </c>
      <c r="C1141" s="3928" t="s">
        <v>2273</v>
      </c>
      <c r="D1141" s="3928" t="s">
        <v>2274</v>
      </c>
      <c r="E1141" s="3928" t="s">
        <v>2275</v>
      </c>
      <c r="F1141" s="3928" t="s">
        <v>2276</v>
      </c>
      <c r="G1141" s="3928" t="s">
        <v>2277</v>
      </c>
      <c r="H1141" s="3928" t="s">
        <v>24</v>
      </c>
      <c r="I1141" s="3928" t="s">
        <v>898</v>
      </c>
    </row>
    <row r="1142" spans="1:9" ht="11.25" customHeight="1">
      <c r="A1142" s="3928" t="s">
        <v>2258</v>
      </c>
      <c r="B1142" s="3928" t="s">
        <v>14</v>
      </c>
      <c r="C1142" s="3928" t="s">
        <v>2278</v>
      </c>
      <c r="D1142" s="3928" t="s">
        <v>2279</v>
      </c>
      <c r="E1142" s="3928" t="s">
        <v>2270</v>
      </c>
      <c r="F1142" s="3928" t="s">
        <v>2280</v>
      </c>
      <c r="G1142" s="3928" t="s">
        <v>24</v>
      </c>
      <c r="H1142" s="3928" t="s">
        <v>2272</v>
      </c>
      <c r="I1142" s="3928" t="s">
        <v>898</v>
      </c>
    </row>
    <row r="1143" spans="1:9" ht="11.25" customHeight="1">
      <c r="A1143" s="3928" t="s">
        <v>2258</v>
      </c>
      <c r="B1143" s="3928" t="s">
        <v>14</v>
      </c>
      <c r="C1143" s="3928" t="s">
        <v>2291</v>
      </c>
      <c r="D1143" s="3928" t="s">
        <v>2292</v>
      </c>
      <c r="E1143" s="3928" t="s">
        <v>2293</v>
      </c>
      <c r="F1143" s="3928" t="s">
        <v>2294</v>
      </c>
      <c r="G1143" s="3928" t="s">
        <v>2295</v>
      </c>
      <c r="H1143" s="3928" t="s">
        <v>24</v>
      </c>
      <c r="I1143" s="3928" t="s">
        <v>898</v>
      </c>
    </row>
    <row r="1144" spans="1:9" ht="11.25" customHeight="1">
      <c r="A1144" s="3928" t="s">
        <v>2258</v>
      </c>
      <c r="B1144" s="3928" t="s">
        <v>14</v>
      </c>
      <c r="C1144" s="3928" t="s">
        <v>2296</v>
      </c>
      <c r="D1144" s="3928" t="s">
        <v>2297</v>
      </c>
      <c r="E1144" s="3928" t="s">
        <v>2298</v>
      </c>
      <c r="F1144" s="3928" t="s">
        <v>2299</v>
      </c>
      <c r="G1144" s="3928" t="s">
        <v>2300</v>
      </c>
      <c r="H1144" s="3928" t="s">
        <v>24</v>
      </c>
      <c r="I1144" s="3928" t="s">
        <v>898</v>
      </c>
    </row>
    <row r="1145" spans="1:9" ht="11.25" customHeight="1">
      <c r="A1145" s="3928" t="s">
        <v>2258</v>
      </c>
      <c r="B1145" s="3928" t="s">
        <v>14</v>
      </c>
      <c r="C1145" s="3928" t="s">
        <v>2301</v>
      </c>
      <c r="D1145" s="3928" t="s">
        <v>2302</v>
      </c>
      <c r="E1145" s="3928" t="s">
        <v>2303</v>
      </c>
      <c r="F1145" s="3928" t="s">
        <v>2304</v>
      </c>
      <c r="G1145" s="3928" t="s">
        <v>2305</v>
      </c>
      <c r="H1145" s="3928" t="s">
        <v>24</v>
      </c>
      <c r="I1145" s="3928" t="s">
        <v>898</v>
      </c>
    </row>
    <row r="1146" spans="1:9" ht="11.25" customHeight="1">
      <c r="A1146" s="3928" t="s">
        <v>2258</v>
      </c>
      <c r="B1146" s="3928" t="s">
        <v>14</v>
      </c>
      <c r="C1146" s="3928" t="s">
        <v>2315</v>
      </c>
      <c r="D1146" s="3928" t="s">
        <v>2316</v>
      </c>
      <c r="E1146" s="3928" t="s">
        <v>2317</v>
      </c>
      <c r="F1146" s="3928" t="s">
        <v>2289</v>
      </c>
      <c r="G1146" s="3928" t="s">
        <v>24</v>
      </c>
      <c r="H1146" s="3928" t="s">
        <v>24</v>
      </c>
      <c r="I1146" s="3928" t="s">
        <v>898</v>
      </c>
    </row>
    <row r="1147" spans="1:9" ht="11.25" customHeight="1">
      <c r="A1147" s="3928" t="s">
        <v>2258</v>
      </c>
      <c r="B1147" s="3928" t="s">
        <v>14</v>
      </c>
      <c r="C1147" s="3928" t="s">
        <v>2322</v>
      </c>
      <c r="D1147" s="3928" t="s">
        <v>2323</v>
      </c>
      <c r="E1147" s="3928" t="s">
        <v>2324</v>
      </c>
      <c r="F1147" s="3928" t="s">
        <v>2325</v>
      </c>
      <c r="G1147" s="3928" t="s">
        <v>2326</v>
      </c>
      <c r="H1147" s="3928" t="s">
        <v>2327</v>
      </c>
      <c r="I1147" s="3928" t="s">
        <v>898</v>
      </c>
    </row>
    <row r="1148" spans="1:9" ht="11.25" customHeight="1">
      <c r="A1148" s="3928" t="s">
        <v>2258</v>
      </c>
      <c r="B1148" s="3928" t="s">
        <v>14</v>
      </c>
      <c r="C1148" s="3928" t="s">
        <v>2328</v>
      </c>
      <c r="D1148" s="3928" t="s">
        <v>2329</v>
      </c>
      <c r="E1148" s="3928" t="s">
        <v>2330</v>
      </c>
      <c r="F1148" s="3928" t="s">
        <v>2304</v>
      </c>
      <c r="G1148" s="3928" t="s">
        <v>2331</v>
      </c>
      <c r="H1148" s="3928" t="s">
        <v>24</v>
      </c>
      <c r="I1148" s="3928" t="s">
        <v>898</v>
      </c>
    </row>
    <row r="1149" spans="1:9" ht="11.25" customHeight="1">
      <c r="A1149" s="3928" t="s">
        <v>2258</v>
      </c>
      <c r="B1149" s="3928" t="s">
        <v>14</v>
      </c>
      <c r="C1149" s="3928" t="s">
        <v>2332</v>
      </c>
      <c r="D1149" s="3928" t="s">
        <v>2333</v>
      </c>
      <c r="E1149" s="3928" t="s">
        <v>2334</v>
      </c>
      <c r="F1149" s="3928" t="s">
        <v>2294</v>
      </c>
      <c r="G1149" s="3928" t="s">
        <v>2335</v>
      </c>
      <c r="H1149" s="3928" t="s">
        <v>24</v>
      </c>
      <c r="I1149" s="3928" t="s">
        <v>898</v>
      </c>
    </row>
    <row r="1150" spans="1:9" ht="11.25" customHeight="1">
      <c r="A1150" s="3928" t="s">
        <v>2258</v>
      </c>
      <c r="B1150" s="3928" t="s">
        <v>14</v>
      </c>
      <c r="C1150" s="3928" t="s">
        <v>2336</v>
      </c>
      <c r="D1150" s="3928" t="s">
        <v>2337</v>
      </c>
      <c r="E1150" s="3928" t="s">
        <v>2338</v>
      </c>
      <c r="F1150" s="3928" t="s">
        <v>2339</v>
      </c>
      <c r="G1150" s="3928" t="s">
        <v>2340</v>
      </c>
      <c r="H1150" s="3928" t="s">
        <v>24</v>
      </c>
      <c r="I1150" s="3928" t="s">
        <v>898</v>
      </c>
    </row>
    <row r="1151" spans="1:9" ht="11.25" customHeight="1">
      <c r="A1151" s="3928" t="s">
        <v>2258</v>
      </c>
      <c r="B1151" s="3928" t="s">
        <v>14</v>
      </c>
      <c r="C1151" s="3928" t="s">
        <v>2341</v>
      </c>
      <c r="D1151" s="3928" t="s">
        <v>2342</v>
      </c>
      <c r="E1151" s="3928" t="s">
        <v>2343</v>
      </c>
      <c r="F1151" s="3928" t="s">
        <v>2344</v>
      </c>
      <c r="G1151" s="3928" t="s">
        <v>2345</v>
      </c>
      <c r="H1151" s="3928" t="s">
        <v>24</v>
      </c>
      <c r="I1151" s="3928" t="s">
        <v>898</v>
      </c>
    </row>
    <row r="1152" spans="1:9" ht="11.25" customHeight="1">
      <c r="A1152" s="3928" t="s">
        <v>2258</v>
      </c>
      <c r="B1152" s="3928" t="s">
        <v>14</v>
      </c>
      <c r="C1152" s="3928" t="s">
        <v>2346</v>
      </c>
      <c r="D1152" s="3928" t="s">
        <v>2347</v>
      </c>
      <c r="E1152" s="3928" t="s">
        <v>2348</v>
      </c>
      <c r="F1152" s="3928" t="s">
        <v>2349</v>
      </c>
      <c r="G1152" s="3928" t="s">
        <v>2350</v>
      </c>
      <c r="H1152" s="3928" t="s">
        <v>24</v>
      </c>
      <c r="I1152" s="3928" t="s">
        <v>898</v>
      </c>
    </row>
    <row r="1153" spans="1:9" ht="11.25" customHeight="1">
      <c r="A1153" s="3928" t="s">
        <v>2258</v>
      </c>
      <c r="B1153" s="3928" t="s">
        <v>14</v>
      </c>
      <c r="C1153" s="3928" t="s">
        <v>2356</v>
      </c>
      <c r="D1153" s="3928" t="s">
        <v>2357</v>
      </c>
      <c r="E1153" s="3928" t="s">
        <v>2358</v>
      </c>
      <c r="F1153" s="3928" t="s">
        <v>2359</v>
      </c>
      <c r="G1153" s="3928" t="s">
        <v>2360</v>
      </c>
      <c r="H1153" s="3928" t="s">
        <v>24</v>
      </c>
      <c r="I1153" s="3928" t="s">
        <v>898</v>
      </c>
    </row>
    <row r="1154" spans="1:9" ht="11.25" customHeight="1">
      <c r="A1154" s="3928" t="s">
        <v>2258</v>
      </c>
      <c r="B1154" s="3928" t="s">
        <v>14</v>
      </c>
      <c r="C1154" s="3928" t="s">
        <v>2361</v>
      </c>
      <c r="D1154" s="3928" t="s">
        <v>2362</v>
      </c>
      <c r="E1154" s="3928" t="s">
        <v>2363</v>
      </c>
      <c r="F1154" s="3928" t="s">
        <v>2294</v>
      </c>
      <c r="G1154" s="3928" t="s">
        <v>2364</v>
      </c>
      <c r="H1154" s="3928" t="s">
        <v>24</v>
      </c>
      <c r="I1154" s="3928" t="s">
        <v>898</v>
      </c>
    </row>
    <row r="1155" spans="1:9" ht="11.25" customHeight="1">
      <c r="A1155" s="3928" t="s">
        <v>2258</v>
      </c>
      <c r="B1155" s="3928" t="s">
        <v>14</v>
      </c>
      <c r="C1155" s="3928" t="s">
        <v>2372</v>
      </c>
      <c r="D1155" s="3928" t="s">
        <v>2373</v>
      </c>
      <c r="E1155" s="3928" t="s">
        <v>2374</v>
      </c>
      <c r="F1155" s="3928" t="s">
        <v>2375</v>
      </c>
      <c r="G1155" s="3928" t="s">
        <v>2376</v>
      </c>
      <c r="H1155" s="3928" t="s">
        <v>24</v>
      </c>
      <c r="I1155" s="3928" t="s">
        <v>898</v>
      </c>
    </row>
    <row r="1156" spans="1:9" ht="11.25" customHeight="1">
      <c r="A1156" s="3928" t="s">
        <v>2258</v>
      </c>
      <c r="B1156" s="3928" t="s">
        <v>14</v>
      </c>
      <c r="C1156" s="3928" t="s">
        <v>2390</v>
      </c>
      <c r="D1156" s="3928" t="s">
        <v>2391</v>
      </c>
      <c r="E1156" s="3928" t="s">
        <v>2392</v>
      </c>
      <c r="F1156" s="3928" t="s">
        <v>2393</v>
      </c>
      <c r="G1156" s="3928" t="s">
        <v>24</v>
      </c>
      <c r="H1156" s="3928" t="s">
        <v>24</v>
      </c>
      <c r="I1156" s="3928" t="s">
        <v>898</v>
      </c>
    </row>
    <row r="1157" spans="1:9" ht="11.25" customHeight="1">
      <c r="A1157" s="3928" t="s">
        <v>2258</v>
      </c>
      <c r="B1157" s="3928" t="s">
        <v>14</v>
      </c>
      <c r="C1157" s="3928" t="s">
        <v>2406</v>
      </c>
      <c r="D1157" s="3928" t="s">
        <v>2407</v>
      </c>
      <c r="E1157" s="3928" t="s">
        <v>2408</v>
      </c>
      <c r="F1157" s="3928" t="s">
        <v>2409</v>
      </c>
      <c r="G1157" s="3928" t="s">
        <v>2410</v>
      </c>
      <c r="H1157" s="3928" t="s">
        <v>24</v>
      </c>
      <c r="I1157" s="3928" t="s">
        <v>898</v>
      </c>
    </row>
    <row r="1158" spans="1:9" ht="11.25" customHeight="1">
      <c r="A1158" s="3928" t="s">
        <v>2258</v>
      </c>
      <c r="B1158" s="3928" t="s">
        <v>14</v>
      </c>
      <c r="C1158" s="3928" t="s">
        <v>2411</v>
      </c>
      <c r="D1158" s="3928" t="s">
        <v>2412</v>
      </c>
      <c r="E1158" s="3928" t="s">
        <v>2413</v>
      </c>
      <c r="F1158" s="3928" t="s">
        <v>2414</v>
      </c>
      <c r="G1158" s="3928" t="s">
        <v>2415</v>
      </c>
      <c r="H1158" s="3928" t="s">
        <v>24</v>
      </c>
      <c r="I1158" s="3928" t="s">
        <v>898</v>
      </c>
    </row>
    <row r="1159" spans="1:9" ht="11.25" customHeight="1">
      <c r="A1159" s="3928" t="s">
        <v>2258</v>
      </c>
      <c r="B1159" s="3928" t="s">
        <v>14</v>
      </c>
      <c r="C1159" s="3928" t="s">
        <v>2426</v>
      </c>
      <c r="D1159" s="3928" t="s">
        <v>2427</v>
      </c>
      <c r="E1159" s="3928" t="s">
        <v>2428</v>
      </c>
      <c r="F1159" s="3928" t="s">
        <v>2429</v>
      </c>
      <c r="G1159" s="3928" t="s">
        <v>2430</v>
      </c>
      <c r="H1159" s="3928" t="s">
        <v>24</v>
      </c>
      <c r="I1159" s="3928" t="s">
        <v>898</v>
      </c>
    </row>
    <row r="1160" spans="1:9" ht="11.25" customHeight="1">
      <c r="A1160" s="3928" t="s">
        <v>2258</v>
      </c>
      <c r="B1160" s="3928" t="s">
        <v>14</v>
      </c>
      <c r="C1160" s="3928" t="s">
        <v>2431</v>
      </c>
      <c r="D1160" s="3928" t="s">
        <v>2432</v>
      </c>
      <c r="E1160" s="3928" t="s">
        <v>2433</v>
      </c>
      <c r="F1160" s="3928" t="s">
        <v>2289</v>
      </c>
      <c r="G1160" s="3928" t="s">
        <v>2434</v>
      </c>
      <c r="H1160" s="3928" t="s">
        <v>24</v>
      </c>
      <c r="I1160" s="3928" t="s">
        <v>898</v>
      </c>
    </row>
    <row r="1161" spans="1:9" ht="11.25" customHeight="1">
      <c r="A1161" s="3928" t="s">
        <v>2258</v>
      </c>
      <c r="B1161" s="3928" t="s">
        <v>14</v>
      </c>
      <c r="C1161" s="3928" t="s">
        <v>2435</v>
      </c>
      <c r="D1161" s="3928" t="s">
        <v>2436</v>
      </c>
      <c r="E1161" s="3928" t="s">
        <v>2437</v>
      </c>
      <c r="F1161" s="3928" t="s">
        <v>2438</v>
      </c>
      <c r="G1161" s="3928" t="s">
        <v>2439</v>
      </c>
      <c r="H1161" s="3928" t="s">
        <v>24</v>
      </c>
      <c r="I1161" s="3928" t="s">
        <v>898</v>
      </c>
    </row>
    <row r="1162" spans="1:9" ht="11.25" customHeight="1">
      <c r="A1162" s="3928" t="s">
        <v>2258</v>
      </c>
      <c r="B1162" s="3928" t="s">
        <v>14</v>
      </c>
      <c r="C1162" s="3928" t="s">
        <v>2440</v>
      </c>
      <c r="D1162" s="3928" t="s">
        <v>2441</v>
      </c>
      <c r="E1162" s="3928" t="s">
        <v>2442</v>
      </c>
      <c r="F1162" s="3928" t="s">
        <v>2414</v>
      </c>
      <c r="G1162" s="3928" t="s">
        <v>2443</v>
      </c>
      <c r="H1162" s="3928" t="s">
        <v>24</v>
      </c>
      <c r="I1162" s="3928" t="s">
        <v>898</v>
      </c>
    </row>
    <row r="1163" spans="1:9" ht="11.25" customHeight="1">
      <c r="A1163" s="3928" t="s">
        <v>2258</v>
      </c>
      <c r="B1163" s="3928" t="s">
        <v>14</v>
      </c>
      <c r="C1163" s="3928" t="s">
        <v>2444</v>
      </c>
      <c r="D1163" s="3928" t="s">
        <v>2445</v>
      </c>
      <c r="E1163" s="3928" t="s">
        <v>2446</v>
      </c>
      <c r="F1163" s="3928" t="s">
        <v>2409</v>
      </c>
      <c r="G1163" s="3928" t="s">
        <v>2447</v>
      </c>
      <c r="H1163" s="3928" t="s">
        <v>24</v>
      </c>
      <c r="I1163" s="3928" t="s">
        <v>898</v>
      </c>
    </row>
    <row r="1164" spans="1:9" ht="11.25" customHeight="1">
      <c r="A1164" s="3928" t="s">
        <v>2258</v>
      </c>
      <c r="B1164" s="3928" t="s">
        <v>14</v>
      </c>
      <c r="C1164" s="3928" t="s">
        <v>2457</v>
      </c>
      <c r="D1164" s="3928" t="s">
        <v>2458</v>
      </c>
      <c r="E1164" s="3928" t="s">
        <v>2459</v>
      </c>
      <c r="F1164" s="3928" t="s">
        <v>2414</v>
      </c>
      <c r="G1164" s="3928" t="s">
        <v>2460</v>
      </c>
      <c r="H1164" s="3928" t="s">
        <v>24</v>
      </c>
      <c r="I1164" s="3928" t="s">
        <v>898</v>
      </c>
    </row>
    <row r="1165" spans="1:9" ht="11.25" customHeight="1">
      <c r="A1165" s="3928" t="s">
        <v>2258</v>
      </c>
      <c r="B1165" s="3928" t="s">
        <v>14</v>
      </c>
      <c r="C1165" s="3928" t="s">
        <v>2466</v>
      </c>
      <c r="D1165" s="3928" t="s">
        <v>2467</v>
      </c>
      <c r="E1165" s="3928" t="s">
        <v>2468</v>
      </c>
      <c r="F1165" s="3928" t="s">
        <v>2469</v>
      </c>
      <c r="G1165" s="3928" t="s">
        <v>24</v>
      </c>
      <c r="H1165" s="3928" t="s">
        <v>24</v>
      </c>
      <c r="I1165" s="3928" t="s">
        <v>898</v>
      </c>
    </row>
    <row r="1166" spans="1:9" ht="11.25" customHeight="1">
      <c r="A1166" s="3928" t="s">
        <v>2258</v>
      </c>
      <c r="B1166" s="3928" t="s">
        <v>14</v>
      </c>
      <c r="C1166" s="3928" t="s">
        <v>2470</v>
      </c>
      <c r="D1166" s="3928" t="s">
        <v>2471</v>
      </c>
      <c r="E1166" s="3928" t="s">
        <v>2472</v>
      </c>
      <c r="F1166" s="3928" t="s">
        <v>2473</v>
      </c>
      <c r="G1166" s="3928" t="s">
        <v>2474</v>
      </c>
      <c r="H1166" s="3928" t="s">
        <v>2475</v>
      </c>
      <c r="I1166" s="3928" t="s">
        <v>898</v>
      </c>
    </row>
    <row r="1167" spans="1:9" ht="11.25" customHeight="1">
      <c r="A1167" s="3928" t="s">
        <v>2258</v>
      </c>
      <c r="B1167" s="3928" t="s">
        <v>14</v>
      </c>
      <c r="C1167" s="3928" t="s">
        <v>2476</v>
      </c>
      <c r="D1167" s="3928" t="s">
        <v>2477</v>
      </c>
      <c r="E1167" s="3928" t="s">
        <v>2478</v>
      </c>
      <c r="F1167" s="3928" t="s">
        <v>2479</v>
      </c>
      <c r="G1167" s="3928" t="s">
        <v>24</v>
      </c>
      <c r="H1167" s="3928" t="s">
        <v>24</v>
      </c>
      <c r="I1167" s="3928" t="s">
        <v>898</v>
      </c>
    </row>
    <row r="1168" spans="1:9" ht="11.25" customHeight="1">
      <c r="A1168" s="3928" t="s">
        <v>2258</v>
      </c>
      <c r="B1168" s="3928" t="s">
        <v>14</v>
      </c>
      <c r="C1168" s="3928" t="s">
        <v>2480</v>
      </c>
      <c r="D1168" s="3928" t="s">
        <v>2481</v>
      </c>
      <c r="E1168" s="3928" t="s">
        <v>2482</v>
      </c>
      <c r="F1168" s="3928" t="s">
        <v>2294</v>
      </c>
      <c r="G1168" s="3928" t="s">
        <v>24</v>
      </c>
      <c r="H1168" s="3928" t="s">
        <v>24</v>
      </c>
      <c r="I1168" s="3928" t="s">
        <v>898</v>
      </c>
    </row>
    <row r="1169" spans="1:9" ht="11.25" customHeight="1">
      <c r="A1169" s="3928" t="s">
        <v>2258</v>
      </c>
      <c r="B1169" s="3928" t="s">
        <v>14</v>
      </c>
      <c r="C1169" s="3928" t="s">
        <v>2488</v>
      </c>
      <c r="D1169" s="3928" t="s">
        <v>2489</v>
      </c>
      <c r="E1169" s="3928" t="s">
        <v>2490</v>
      </c>
      <c r="F1169" s="3928" t="s">
        <v>2344</v>
      </c>
      <c r="G1169" s="3928" t="s">
        <v>2491</v>
      </c>
      <c r="H1169" s="3928" t="s">
        <v>24</v>
      </c>
      <c r="I1169" s="3928" t="s">
        <v>898</v>
      </c>
    </row>
    <row r="1170" spans="1:9" ht="11.25" customHeight="1">
      <c r="A1170" s="3928" t="s">
        <v>2258</v>
      </c>
      <c r="B1170" s="3928" t="s">
        <v>14</v>
      </c>
      <c r="C1170" s="3928" t="s">
        <v>2492</v>
      </c>
      <c r="D1170" s="3928" t="s">
        <v>2493</v>
      </c>
      <c r="E1170" s="3928" t="s">
        <v>2494</v>
      </c>
      <c r="F1170" s="3928" t="s">
        <v>2304</v>
      </c>
      <c r="G1170" s="3928" t="s">
        <v>2495</v>
      </c>
      <c r="H1170" s="3928" t="s">
        <v>24</v>
      </c>
      <c r="I1170" s="3928" t="s">
        <v>898</v>
      </c>
    </row>
    <row r="1171" spans="1:9" ht="11.25" customHeight="1">
      <c r="A1171" s="3928" t="s">
        <v>2258</v>
      </c>
      <c r="B1171" s="3928" t="s">
        <v>14</v>
      </c>
      <c r="C1171" s="3928" t="s">
        <v>2496</v>
      </c>
      <c r="D1171" s="3928" t="s">
        <v>2497</v>
      </c>
      <c r="E1171" s="3928" t="s">
        <v>2498</v>
      </c>
      <c r="F1171" s="3928" t="s">
        <v>49</v>
      </c>
      <c r="G1171" s="3928" t="s">
        <v>24</v>
      </c>
      <c r="H1171" s="3928" t="s">
        <v>24</v>
      </c>
      <c r="I1171" s="3928" t="s">
        <v>898</v>
      </c>
    </row>
    <row r="1172" spans="1:9" ht="11.25" customHeight="1">
      <c r="A1172" s="3928" t="s">
        <v>2258</v>
      </c>
      <c r="B1172" s="3928" t="s">
        <v>14</v>
      </c>
      <c r="C1172" s="3928" t="s">
        <v>2499</v>
      </c>
      <c r="D1172" s="3928" t="s">
        <v>2500</v>
      </c>
      <c r="E1172" s="3928" t="s">
        <v>2501</v>
      </c>
      <c r="F1172" s="3928" t="s">
        <v>2473</v>
      </c>
      <c r="G1172" s="3928" t="s">
        <v>2502</v>
      </c>
      <c r="H1172" s="3928" t="s">
        <v>24</v>
      </c>
      <c r="I1172" s="3928" t="s">
        <v>898</v>
      </c>
    </row>
    <row r="1173" spans="1:9" ht="11.25" customHeight="1">
      <c r="A1173" s="3928" t="s">
        <v>2258</v>
      </c>
      <c r="B1173" s="3928" t="s">
        <v>14</v>
      </c>
      <c r="C1173" s="3928" t="s">
        <v>2519</v>
      </c>
      <c r="D1173" s="3928" t="s">
        <v>2520</v>
      </c>
      <c r="E1173" s="3928" t="s">
        <v>2521</v>
      </c>
      <c r="F1173" s="3928" t="s">
        <v>2522</v>
      </c>
      <c r="G1173" s="3928" t="s">
        <v>2523</v>
      </c>
      <c r="H1173" s="3928" t="s">
        <v>24</v>
      </c>
      <c r="I1173" s="3928" t="s">
        <v>898</v>
      </c>
    </row>
    <row r="1174" spans="1:9" ht="11.25" customHeight="1">
      <c r="A1174" s="3928" t="s">
        <v>2258</v>
      </c>
      <c r="B1174" s="3928" t="s">
        <v>14</v>
      </c>
      <c r="C1174" s="3928" t="s">
        <v>2524</v>
      </c>
      <c r="D1174" s="3928" t="s">
        <v>2525</v>
      </c>
      <c r="E1174" s="3928" t="s">
        <v>2526</v>
      </c>
      <c r="F1174" s="3928" t="s">
        <v>2527</v>
      </c>
      <c r="G1174" s="3928" t="s">
        <v>24</v>
      </c>
      <c r="H1174" s="3928" t="s">
        <v>24</v>
      </c>
      <c r="I1174" s="3928" t="s">
        <v>898</v>
      </c>
    </row>
    <row r="1175" spans="1:9" ht="11.25" customHeight="1">
      <c r="A1175" s="3928" t="s">
        <v>2258</v>
      </c>
      <c r="B1175" s="3928" t="s">
        <v>14</v>
      </c>
      <c r="C1175" s="3928" t="s">
        <v>2528</v>
      </c>
      <c r="D1175" s="3928" t="s">
        <v>2529</v>
      </c>
      <c r="E1175" s="3928" t="s">
        <v>2530</v>
      </c>
      <c r="F1175" s="3928" t="s">
        <v>2473</v>
      </c>
      <c r="G1175" s="3928" t="s">
        <v>2531</v>
      </c>
      <c r="H1175" s="3928" t="s">
        <v>24</v>
      </c>
      <c r="I1175" s="3928" t="s">
        <v>898</v>
      </c>
    </row>
    <row r="1176" spans="1:9" ht="11.25" customHeight="1">
      <c r="A1176" s="3928" t="s">
        <v>2258</v>
      </c>
      <c r="B1176" s="3928" t="s">
        <v>14</v>
      </c>
      <c r="C1176" s="3928" t="s">
        <v>2541</v>
      </c>
      <c r="D1176" s="3928" t="s">
        <v>2542</v>
      </c>
      <c r="E1176" s="3928" t="s">
        <v>2543</v>
      </c>
      <c r="F1176" s="3928" t="s">
        <v>2544</v>
      </c>
      <c r="G1176" s="3928" t="s">
        <v>24</v>
      </c>
      <c r="H1176" s="3928" t="s">
        <v>24</v>
      </c>
      <c r="I1176" s="3928" t="s">
        <v>898</v>
      </c>
    </row>
    <row r="1177" spans="1:9" ht="11.25" customHeight="1">
      <c r="A1177" s="3928" t="s">
        <v>2258</v>
      </c>
      <c r="B1177" s="3928" t="s">
        <v>14</v>
      </c>
      <c r="C1177" s="3928" t="s">
        <v>2549</v>
      </c>
      <c r="D1177" s="3928" t="s">
        <v>2550</v>
      </c>
      <c r="E1177" s="3928" t="s">
        <v>2551</v>
      </c>
      <c r="F1177" s="3928" t="s">
        <v>2552</v>
      </c>
      <c r="G1177" s="3928" t="s">
        <v>2553</v>
      </c>
      <c r="H1177" s="3928" t="s">
        <v>24</v>
      </c>
      <c r="I1177" s="3928" t="s">
        <v>898</v>
      </c>
    </row>
    <row r="1178" spans="1:9" ht="11.25" customHeight="1">
      <c r="A1178" s="3928" t="s">
        <v>2258</v>
      </c>
      <c r="B1178" s="3928" t="s">
        <v>14</v>
      </c>
      <c r="C1178" s="3928" t="s">
        <v>2554</v>
      </c>
      <c r="D1178" s="3928" t="s">
        <v>2555</v>
      </c>
      <c r="E1178" s="3928" t="s">
        <v>2556</v>
      </c>
      <c r="F1178" s="3928" t="s">
        <v>2309</v>
      </c>
      <c r="G1178" s="3928" t="s">
        <v>2557</v>
      </c>
      <c r="H1178" s="3928" t="s">
        <v>24</v>
      </c>
      <c r="I1178" s="3928" t="s">
        <v>898</v>
      </c>
    </row>
    <row r="1179" spans="1:9" ht="11.25" customHeight="1">
      <c r="A1179" s="3928" t="s">
        <v>2258</v>
      </c>
      <c r="B1179" s="3928" t="s">
        <v>14</v>
      </c>
      <c r="C1179" s="3928" t="s">
        <v>2562</v>
      </c>
      <c r="D1179" s="3928" t="s">
        <v>2563</v>
      </c>
      <c r="E1179" s="3928" t="s">
        <v>2275</v>
      </c>
      <c r="F1179" s="3928" t="s">
        <v>2344</v>
      </c>
      <c r="G1179" s="3928" t="s">
        <v>2277</v>
      </c>
      <c r="H1179" s="3928" t="s">
        <v>24</v>
      </c>
      <c r="I1179" s="3928" t="s">
        <v>898</v>
      </c>
    </row>
    <row r="1180" spans="1:9" ht="11.25" customHeight="1">
      <c r="A1180" s="3928" t="s">
        <v>2258</v>
      </c>
      <c r="B1180" s="3928" t="s">
        <v>14</v>
      </c>
      <c r="C1180" s="3928" t="s">
        <v>2564</v>
      </c>
      <c r="D1180" s="3928" t="s">
        <v>2565</v>
      </c>
      <c r="E1180" s="3928" t="s">
        <v>2566</v>
      </c>
      <c r="F1180" s="3928" t="s">
        <v>2567</v>
      </c>
      <c r="G1180" s="3928" t="s">
        <v>2568</v>
      </c>
      <c r="H1180" s="3928" t="s">
        <v>24</v>
      </c>
      <c r="I1180" s="3928" t="s">
        <v>898</v>
      </c>
    </row>
    <row r="1181" spans="1:9" ht="11.25" customHeight="1">
      <c r="A1181" s="3928" t="s">
        <v>2258</v>
      </c>
      <c r="B1181" s="3928" t="s">
        <v>14</v>
      </c>
      <c r="C1181" s="3928" t="s">
        <v>2577</v>
      </c>
      <c r="D1181" s="3928" t="s">
        <v>2578</v>
      </c>
      <c r="E1181" s="3928" t="s">
        <v>2579</v>
      </c>
      <c r="F1181" s="3928" t="s">
        <v>2513</v>
      </c>
      <c r="G1181" s="3928" t="s">
        <v>2580</v>
      </c>
      <c r="H1181" s="3928" t="s">
        <v>24</v>
      </c>
      <c r="I1181" s="3928" t="s">
        <v>898</v>
      </c>
    </row>
    <row r="1182" spans="1:9" ht="11.25" customHeight="1">
      <c r="A1182" s="3928" t="s">
        <v>2258</v>
      </c>
      <c r="B1182" s="3928" t="s">
        <v>14</v>
      </c>
      <c r="C1182" s="3928" t="s">
        <v>2581</v>
      </c>
      <c r="D1182" s="3928" t="s">
        <v>2582</v>
      </c>
      <c r="E1182" s="3928" t="s">
        <v>2583</v>
      </c>
      <c r="F1182" s="3928" t="s">
        <v>2414</v>
      </c>
      <c r="G1182" s="3928" t="s">
        <v>24</v>
      </c>
      <c r="H1182" s="3928" t="s">
        <v>24</v>
      </c>
      <c r="I1182" s="3928" t="s">
        <v>898</v>
      </c>
    </row>
    <row r="1183" spans="1:9" ht="11.25" customHeight="1">
      <c r="A1183" s="3928" t="s">
        <v>2258</v>
      </c>
      <c r="B1183" s="3928" t="s">
        <v>14</v>
      </c>
      <c r="C1183" s="3928" t="s">
        <v>2589</v>
      </c>
      <c r="D1183" s="3928" t="s">
        <v>2590</v>
      </c>
      <c r="E1183" s="3928" t="s">
        <v>2591</v>
      </c>
      <c r="F1183" s="3928" t="s">
        <v>2486</v>
      </c>
      <c r="G1183" s="3928" t="s">
        <v>2592</v>
      </c>
      <c r="H1183" s="3928" t="s">
        <v>24</v>
      </c>
      <c r="I1183" s="3928" t="s">
        <v>898</v>
      </c>
    </row>
    <row r="1184" spans="1:9" ht="11.25" customHeight="1">
      <c r="A1184" s="3928" t="s">
        <v>2258</v>
      </c>
      <c r="B1184" s="3928" t="s">
        <v>14</v>
      </c>
      <c r="C1184" s="3928" t="s">
        <v>2597</v>
      </c>
      <c r="D1184" s="3928" t="s">
        <v>2598</v>
      </c>
      <c r="E1184" s="3928" t="s">
        <v>2599</v>
      </c>
      <c r="F1184" s="3928" t="s">
        <v>2552</v>
      </c>
      <c r="G1184" s="3928" t="s">
        <v>24</v>
      </c>
      <c r="H1184" s="3928" t="s">
        <v>24</v>
      </c>
      <c r="I1184" s="3928" t="s">
        <v>898</v>
      </c>
    </row>
    <row r="1185" spans="1:9" ht="11.25" customHeight="1">
      <c r="A1185" s="3928" t="s">
        <v>2258</v>
      </c>
      <c r="B1185" s="3928" t="s">
        <v>14</v>
      </c>
      <c r="C1185" s="3928" t="s">
        <v>2603</v>
      </c>
      <c r="D1185" s="3928" t="s">
        <v>2604</v>
      </c>
      <c r="E1185" s="3928" t="s">
        <v>2605</v>
      </c>
      <c r="F1185" s="3928" t="s">
        <v>2294</v>
      </c>
      <c r="G1185" s="3928" t="s">
        <v>2606</v>
      </c>
      <c r="H1185" s="3928" t="s">
        <v>24</v>
      </c>
      <c r="I1185" s="3928" t="s">
        <v>898</v>
      </c>
    </row>
    <row r="1186" spans="1:9" ht="11.25" customHeight="1">
      <c r="A1186" s="3928" t="s">
        <v>2258</v>
      </c>
      <c r="B1186" s="3928" t="s">
        <v>14</v>
      </c>
      <c r="C1186" s="3928" t="s">
        <v>2614</v>
      </c>
      <c r="D1186" s="3928" t="s">
        <v>2615</v>
      </c>
      <c r="E1186" s="3928" t="s">
        <v>2616</v>
      </c>
      <c r="F1186" s="3928" t="s">
        <v>2397</v>
      </c>
      <c r="G1186" s="3928" t="s">
        <v>24</v>
      </c>
      <c r="H1186" s="3928" t="s">
        <v>24</v>
      </c>
      <c r="I1186" s="3928" t="s">
        <v>898</v>
      </c>
    </row>
    <row r="1187" spans="1:9" ht="11.25" customHeight="1">
      <c r="A1187" s="3928" t="s">
        <v>2258</v>
      </c>
      <c r="B1187" s="3928" t="s">
        <v>14</v>
      </c>
      <c r="C1187" s="3928" t="s">
        <v>2617</v>
      </c>
      <c r="D1187" s="3928" t="s">
        <v>2618</v>
      </c>
      <c r="E1187" s="3928" t="s">
        <v>2619</v>
      </c>
      <c r="F1187" s="3928" t="s">
        <v>2438</v>
      </c>
      <c r="G1187" s="3928" t="s">
        <v>2620</v>
      </c>
      <c r="H1187" s="3928" t="s">
        <v>24</v>
      </c>
      <c r="I1187" s="3928" t="s">
        <v>898</v>
      </c>
    </row>
    <row r="1188" spans="1:9" ht="11.25" customHeight="1">
      <c r="A1188" s="3928" t="s">
        <v>2258</v>
      </c>
      <c r="B1188" s="3928" t="s">
        <v>14</v>
      </c>
      <c r="C1188" s="3928" t="s">
        <v>2621</v>
      </c>
      <c r="D1188" s="3928" t="s">
        <v>2622</v>
      </c>
      <c r="E1188" s="3928" t="s">
        <v>2623</v>
      </c>
      <c r="F1188" s="3928" t="s">
        <v>2624</v>
      </c>
      <c r="G1188" s="3928" t="s">
        <v>2625</v>
      </c>
      <c r="H1188" s="3928" t="s">
        <v>24</v>
      </c>
      <c r="I1188" s="3928" t="s">
        <v>898</v>
      </c>
    </row>
    <row r="1189" spans="1:9" ht="11.25" customHeight="1">
      <c r="A1189" s="3928" t="s">
        <v>2258</v>
      </c>
      <c r="B1189" s="3928" t="s">
        <v>14</v>
      </c>
      <c r="C1189" s="3928" t="s">
        <v>2626</v>
      </c>
      <c r="D1189" s="3928" t="s">
        <v>2627</v>
      </c>
      <c r="E1189" s="3928" t="s">
        <v>2628</v>
      </c>
      <c r="F1189" s="3928" t="s">
        <v>2629</v>
      </c>
      <c r="G1189" s="3928" t="s">
        <v>2630</v>
      </c>
      <c r="H1189" s="3928" t="s">
        <v>24</v>
      </c>
      <c r="I1189" s="3928" t="s">
        <v>898</v>
      </c>
    </row>
    <row r="1190" spans="1:9" ht="11.25" customHeight="1">
      <c r="A1190" s="3928" t="s">
        <v>2258</v>
      </c>
      <c r="B1190" s="3928" t="s">
        <v>14</v>
      </c>
      <c r="C1190" s="3928" t="s">
        <v>6331</v>
      </c>
      <c r="D1190" s="3928" t="s">
        <v>6332</v>
      </c>
      <c r="E1190" s="3928" t="s">
        <v>6333</v>
      </c>
      <c r="F1190" s="3928" t="s">
        <v>2405</v>
      </c>
      <c r="G1190" s="3928" t="s">
        <v>4058</v>
      </c>
      <c r="H1190" s="3928" t="s">
        <v>24</v>
      </c>
      <c r="I1190" s="3928" t="s">
        <v>898</v>
      </c>
    </row>
    <row r="1191" spans="1:9" ht="11.25" customHeight="1">
      <c r="A1191" s="3928" t="s">
        <v>2258</v>
      </c>
      <c r="B1191" s="3928" t="s">
        <v>14</v>
      </c>
      <c r="C1191" s="3928" t="s">
        <v>2631</v>
      </c>
      <c r="D1191" s="3928" t="s">
        <v>2632</v>
      </c>
      <c r="E1191" s="3928" t="s">
        <v>2633</v>
      </c>
      <c r="F1191" s="3928" t="s">
        <v>2289</v>
      </c>
      <c r="G1191" s="3928" t="s">
        <v>2634</v>
      </c>
      <c r="H1191" s="3928" t="s">
        <v>24</v>
      </c>
      <c r="I1191" s="3928" t="s">
        <v>898</v>
      </c>
    </row>
    <row r="1192" spans="1:9" ht="11.25" customHeight="1">
      <c r="A1192" s="3928" t="s">
        <v>2258</v>
      </c>
      <c r="B1192" s="3928" t="s">
        <v>14</v>
      </c>
      <c r="C1192" s="3928" t="s">
        <v>2643</v>
      </c>
      <c r="D1192" s="3928" t="s">
        <v>2644</v>
      </c>
      <c r="E1192" s="3928" t="s">
        <v>2645</v>
      </c>
      <c r="F1192" s="3928" t="s">
        <v>2289</v>
      </c>
      <c r="G1192" s="3928" t="s">
        <v>2646</v>
      </c>
      <c r="H1192" s="3928" t="s">
        <v>24</v>
      </c>
      <c r="I1192" s="3928" t="s">
        <v>898</v>
      </c>
    </row>
    <row r="1193" spans="1:9" ht="11.25" customHeight="1">
      <c r="A1193" s="3928" t="s">
        <v>2258</v>
      </c>
      <c r="B1193" s="3928" t="s">
        <v>14</v>
      </c>
      <c r="C1193" s="3928" t="s">
        <v>2654</v>
      </c>
      <c r="D1193" s="3928" t="s">
        <v>2655</v>
      </c>
      <c r="E1193" s="3928" t="s">
        <v>2656</v>
      </c>
      <c r="F1193" s="3928" t="s">
        <v>2304</v>
      </c>
      <c r="G1193" s="3928" t="s">
        <v>2657</v>
      </c>
      <c r="H1193" s="3928" t="s">
        <v>24</v>
      </c>
      <c r="I1193" s="3928" t="s">
        <v>898</v>
      </c>
    </row>
    <row r="1194" spans="1:9" ht="11.25" customHeight="1">
      <c r="A1194" s="3928" t="s">
        <v>2258</v>
      </c>
      <c r="B1194" s="3928" t="s">
        <v>14</v>
      </c>
      <c r="C1194" s="3928" t="s">
        <v>2663</v>
      </c>
      <c r="D1194" s="3928" t="s">
        <v>2664</v>
      </c>
      <c r="E1194" s="3928" t="s">
        <v>2665</v>
      </c>
      <c r="F1194" s="3928" t="s">
        <v>2638</v>
      </c>
      <c r="G1194" s="3928" t="s">
        <v>2666</v>
      </c>
      <c r="H1194" s="3928" t="s">
        <v>24</v>
      </c>
      <c r="I1194" s="3928" t="s">
        <v>898</v>
      </c>
    </row>
    <row r="1195" spans="1:9" ht="11.25" customHeight="1">
      <c r="A1195" s="3928" t="s">
        <v>2258</v>
      </c>
      <c r="B1195" s="3928" t="s">
        <v>14</v>
      </c>
      <c r="C1195" s="3928" t="s">
        <v>2672</v>
      </c>
      <c r="D1195" s="3928" t="s">
        <v>2673</v>
      </c>
      <c r="E1195" s="3928" t="s">
        <v>2674</v>
      </c>
      <c r="F1195" s="3928" t="s">
        <v>2675</v>
      </c>
      <c r="G1195" s="3928" t="s">
        <v>2676</v>
      </c>
      <c r="H1195" s="3928" t="s">
        <v>24</v>
      </c>
      <c r="I1195" s="3928" t="s">
        <v>898</v>
      </c>
    </row>
    <row r="1196" spans="1:9" ht="11.25" customHeight="1">
      <c r="A1196" s="3928" t="s">
        <v>2258</v>
      </c>
      <c r="B1196" s="3928" t="s">
        <v>14</v>
      </c>
      <c r="C1196" s="3928" t="s">
        <v>2677</v>
      </c>
      <c r="D1196" s="3928" t="s">
        <v>2678</v>
      </c>
      <c r="E1196" s="3928" t="s">
        <v>2679</v>
      </c>
      <c r="F1196" s="3928" t="s">
        <v>2414</v>
      </c>
      <c r="G1196" s="3928" t="s">
        <v>2680</v>
      </c>
      <c r="H1196" s="3928" t="s">
        <v>24</v>
      </c>
      <c r="I1196" s="3928" t="s">
        <v>898</v>
      </c>
    </row>
    <row r="1197" spans="1:9" ht="11.25" customHeight="1">
      <c r="A1197" s="3928" t="s">
        <v>2258</v>
      </c>
      <c r="B1197" s="3928" t="s">
        <v>14</v>
      </c>
      <c r="C1197" s="3928" t="s">
        <v>2681</v>
      </c>
      <c r="D1197" s="3928" t="s">
        <v>2682</v>
      </c>
      <c r="E1197" s="3928" t="s">
        <v>2683</v>
      </c>
      <c r="F1197" s="3928" t="s">
        <v>2409</v>
      </c>
      <c r="G1197" s="3928" t="s">
        <v>2684</v>
      </c>
      <c r="H1197" s="3928" t="s">
        <v>24</v>
      </c>
      <c r="I1197" s="3928" t="s">
        <v>898</v>
      </c>
    </row>
    <row r="1198" spans="1:9" ht="11.25" customHeight="1">
      <c r="A1198" s="3928" t="s">
        <v>2258</v>
      </c>
      <c r="B1198" s="3928" t="s">
        <v>14</v>
      </c>
      <c r="C1198" s="3928" t="s">
        <v>2690</v>
      </c>
      <c r="D1198" s="3928" t="s">
        <v>2691</v>
      </c>
      <c r="E1198" s="3928" t="s">
        <v>2692</v>
      </c>
      <c r="F1198" s="3928" t="s">
        <v>2409</v>
      </c>
      <c r="G1198" s="3928" t="s">
        <v>2693</v>
      </c>
      <c r="H1198" s="3928" t="s">
        <v>24</v>
      </c>
      <c r="I1198" s="3928" t="s">
        <v>898</v>
      </c>
    </row>
    <row r="1199" spans="1:9" ht="11.25" customHeight="1">
      <c r="A1199" s="3928" t="s">
        <v>2258</v>
      </c>
      <c r="B1199" s="3928" t="s">
        <v>14</v>
      </c>
      <c r="C1199" s="3928" t="s">
        <v>2694</v>
      </c>
      <c r="D1199" s="3928" t="s">
        <v>2695</v>
      </c>
      <c r="E1199" s="3928" t="s">
        <v>2696</v>
      </c>
      <c r="F1199" s="3928" t="s">
        <v>2289</v>
      </c>
      <c r="G1199" s="3928" t="s">
        <v>2697</v>
      </c>
      <c r="H1199" s="3928" t="s">
        <v>24</v>
      </c>
      <c r="I1199" s="3928" t="s">
        <v>898</v>
      </c>
    </row>
    <row r="1200" spans="1:9" ht="11.25" customHeight="1">
      <c r="A1200" s="3928" t="s">
        <v>2258</v>
      </c>
      <c r="B1200" s="3928" t="s">
        <v>14</v>
      </c>
      <c r="C1200" s="3928" t="s">
        <v>2706</v>
      </c>
      <c r="D1200" s="3928" t="s">
        <v>2707</v>
      </c>
      <c r="E1200" s="3928" t="s">
        <v>2708</v>
      </c>
      <c r="F1200" s="3928" t="s">
        <v>2567</v>
      </c>
      <c r="G1200" s="3928" t="s">
        <v>2709</v>
      </c>
      <c r="H1200" s="3928" t="s">
        <v>24</v>
      </c>
      <c r="I1200" s="3928" t="s">
        <v>898</v>
      </c>
    </row>
    <row r="1201" spans="1:9" ht="11.25" customHeight="1">
      <c r="A1201" s="3928" t="s">
        <v>2258</v>
      </c>
      <c r="B1201" s="3928" t="s">
        <v>14</v>
      </c>
      <c r="C1201" s="3928" t="s">
        <v>2710</v>
      </c>
      <c r="D1201" s="3928" t="s">
        <v>2711</v>
      </c>
      <c r="E1201" s="3928" t="s">
        <v>2712</v>
      </c>
      <c r="F1201" s="3928" t="s">
        <v>2587</v>
      </c>
      <c r="G1201" s="3928" t="s">
        <v>2713</v>
      </c>
      <c r="H1201" s="3928" t="s">
        <v>2263</v>
      </c>
      <c r="I1201" s="3928" t="s">
        <v>898</v>
      </c>
    </row>
    <row r="1202" spans="1:9" ht="11.25" customHeight="1">
      <c r="A1202" s="3928" t="s">
        <v>2258</v>
      </c>
      <c r="B1202" s="3928" t="s">
        <v>14</v>
      </c>
      <c r="C1202" s="3928" t="s">
        <v>2714</v>
      </c>
      <c r="D1202" s="3928" t="s">
        <v>2715</v>
      </c>
      <c r="E1202" s="3928" t="s">
        <v>2716</v>
      </c>
      <c r="F1202" s="3928" t="s">
        <v>2294</v>
      </c>
      <c r="G1202" s="3928" t="s">
        <v>24</v>
      </c>
      <c r="H1202" s="3928" t="s">
        <v>24</v>
      </c>
      <c r="I1202" s="3928" t="s">
        <v>898</v>
      </c>
    </row>
    <row r="1203" spans="1:9" ht="11.25" customHeight="1">
      <c r="A1203" s="3928" t="s">
        <v>2258</v>
      </c>
      <c r="B1203" s="3928" t="s">
        <v>14</v>
      </c>
      <c r="C1203" s="3928" t="s">
        <v>2717</v>
      </c>
      <c r="D1203" s="3928" t="s">
        <v>2718</v>
      </c>
      <c r="E1203" s="3928" t="s">
        <v>2719</v>
      </c>
      <c r="F1203" s="3928" t="s">
        <v>2587</v>
      </c>
      <c r="G1203" s="3928" t="s">
        <v>24</v>
      </c>
      <c r="H1203" s="3928" t="s">
        <v>24</v>
      </c>
      <c r="I1203" s="3928" t="s">
        <v>898</v>
      </c>
    </row>
    <row r="1204" spans="1:9" ht="11.25" customHeight="1">
      <c r="A1204" s="3928" t="s">
        <v>2258</v>
      </c>
      <c r="B1204" s="3928" t="s">
        <v>14</v>
      </c>
      <c r="C1204" s="3928" t="s">
        <v>2720</v>
      </c>
      <c r="D1204" s="3928" t="s">
        <v>2718</v>
      </c>
      <c r="E1204" s="3928" t="s">
        <v>2721</v>
      </c>
      <c r="F1204" s="3928" t="s">
        <v>2397</v>
      </c>
      <c r="G1204" s="3928" t="s">
        <v>2722</v>
      </c>
      <c r="H1204" s="3928" t="s">
        <v>24</v>
      </c>
      <c r="I1204" s="3928" t="s">
        <v>898</v>
      </c>
    </row>
    <row r="1205" spans="1:9" ht="11.25" customHeight="1">
      <c r="A1205" s="3928" t="s">
        <v>2258</v>
      </c>
      <c r="B1205" s="3928" t="s">
        <v>14</v>
      </c>
      <c r="C1205" s="3928" t="s">
        <v>2723</v>
      </c>
      <c r="D1205" s="3928" t="s">
        <v>2724</v>
      </c>
      <c r="E1205" s="3928" t="s">
        <v>2725</v>
      </c>
      <c r="F1205" s="3928" t="s">
        <v>2726</v>
      </c>
      <c r="G1205" s="3928" t="s">
        <v>24</v>
      </c>
      <c r="H1205" s="3928" t="s">
        <v>24</v>
      </c>
      <c r="I1205" s="3928" t="s">
        <v>898</v>
      </c>
    </row>
    <row r="1206" spans="1:9" ht="11.25" customHeight="1">
      <c r="A1206" s="3928" t="s">
        <v>2258</v>
      </c>
      <c r="B1206" s="3928" t="s">
        <v>14</v>
      </c>
      <c r="C1206" s="3928" t="s">
        <v>2727</v>
      </c>
      <c r="D1206" s="3928" t="s">
        <v>2728</v>
      </c>
      <c r="E1206" s="3928" t="s">
        <v>2729</v>
      </c>
      <c r="F1206" s="3928" t="s">
        <v>2299</v>
      </c>
      <c r="G1206" s="3928" t="s">
        <v>2730</v>
      </c>
      <c r="H1206" s="3928" t="s">
        <v>24</v>
      </c>
      <c r="I1206" s="3928" t="s">
        <v>898</v>
      </c>
    </row>
    <row r="1207" spans="1:9" ht="11.25" customHeight="1">
      <c r="A1207" s="3928" t="s">
        <v>2258</v>
      </c>
      <c r="B1207" s="3928" t="s">
        <v>14</v>
      </c>
      <c r="C1207" s="3928" t="s">
        <v>2735</v>
      </c>
      <c r="D1207" s="3928" t="s">
        <v>2736</v>
      </c>
      <c r="E1207" s="3928" t="s">
        <v>2737</v>
      </c>
      <c r="F1207" s="3928" t="s">
        <v>2675</v>
      </c>
      <c r="G1207" s="3928" t="s">
        <v>2738</v>
      </c>
      <c r="H1207" s="3928" t="s">
        <v>24</v>
      </c>
      <c r="I1207" s="3928" t="s">
        <v>898</v>
      </c>
    </row>
    <row r="1208" spans="1:9" ht="11.25" customHeight="1">
      <c r="A1208" s="3928" t="s">
        <v>2258</v>
      </c>
      <c r="B1208" s="3928" t="s">
        <v>14</v>
      </c>
      <c r="C1208" s="3928" t="s">
        <v>2757</v>
      </c>
      <c r="D1208" s="3928" t="s">
        <v>2758</v>
      </c>
      <c r="E1208" s="3928" t="s">
        <v>2759</v>
      </c>
      <c r="F1208" s="3928" t="s">
        <v>2405</v>
      </c>
      <c r="G1208" s="3928" t="s">
        <v>24</v>
      </c>
      <c r="H1208" s="3928" t="s">
        <v>24</v>
      </c>
      <c r="I1208" s="3928" t="s">
        <v>898</v>
      </c>
    </row>
    <row r="1209" spans="1:9" ht="11.25" customHeight="1">
      <c r="A1209" s="3928" t="s">
        <v>2258</v>
      </c>
      <c r="B1209" s="3928" t="s">
        <v>14</v>
      </c>
      <c r="C1209" s="3928" t="s">
        <v>6334</v>
      </c>
      <c r="D1209" s="3928" t="s">
        <v>6335</v>
      </c>
      <c r="E1209" s="3928" t="s">
        <v>6336</v>
      </c>
      <c r="F1209" s="3928" t="s">
        <v>2359</v>
      </c>
      <c r="G1209" s="3928" t="s">
        <v>6337</v>
      </c>
      <c r="H1209" s="3928" t="s">
        <v>2263</v>
      </c>
      <c r="I1209" s="3928" t="s">
        <v>898</v>
      </c>
    </row>
    <row r="1210" spans="1:9" ht="11.25" customHeight="1">
      <c r="A1210" s="3928" t="s">
        <v>2258</v>
      </c>
      <c r="B1210" s="3928" t="s">
        <v>14</v>
      </c>
      <c r="C1210" s="3928" t="s">
        <v>2768</v>
      </c>
      <c r="D1210" s="3928" t="s">
        <v>2769</v>
      </c>
      <c r="E1210" s="3928" t="s">
        <v>2770</v>
      </c>
      <c r="F1210" s="3928" t="s">
        <v>2771</v>
      </c>
      <c r="G1210" s="3928" t="s">
        <v>2630</v>
      </c>
      <c r="H1210" s="3928" t="s">
        <v>2772</v>
      </c>
      <c r="I1210" s="3928" t="s">
        <v>898</v>
      </c>
    </row>
    <row r="1211" spans="1:9" ht="11.25" customHeight="1">
      <c r="A1211" s="3928" t="s">
        <v>2258</v>
      </c>
      <c r="B1211" s="3928" t="s">
        <v>14</v>
      </c>
      <c r="C1211" s="3928" t="s">
        <v>2773</v>
      </c>
      <c r="D1211" s="3928" t="s">
        <v>2774</v>
      </c>
      <c r="E1211" s="3928" t="s">
        <v>2775</v>
      </c>
      <c r="F1211" s="3928" t="s">
        <v>2638</v>
      </c>
      <c r="G1211" s="3928" t="s">
        <v>2776</v>
      </c>
      <c r="H1211" s="3928" t="s">
        <v>24</v>
      </c>
      <c r="I1211" s="3928" t="s">
        <v>898</v>
      </c>
    </row>
    <row r="1212" spans="1:9" ht="11.25" customHeight="1">
      <c r="A1212" s="3928" t="s">
        <v>2258</v>
      </c>
      <c r="B1212" s="3928" t="s">
        <v>14</v>
      </c>
      <c r="C1212" s="3928" t="s">
        <v>2786</v>
      </c>
      <c r="D1212" s="3928" t="s">
        <v>2787</v>
      </c>
      <c r="E1212" s="3928" t="s">
        <v>2788</v>
      </c>
      <c r="F1212" s="3928" t="s">
        <v>2289</v>
      </c>
      <c r="G1212" s="3928" t="s">
        <v>2789</v>
      </c>
      <c r="H1212" s="3928" t="s">
        <v>24</v>
      </c>
      <c r="I1212" s="3928" t="s">
        <v>898</v>
      </c>
    </row>
    <row r="1213" spans="1:9" ht="11.25" customHeight="1">
      <c r="A1213" s="3928" t="s">
        <v>2258</v>
      </c>
      <c r="B1213" s="3928" t="s">
        <v>14</v>
      </c>
      <c r="C1213" s="3928" t="s">
        <v>2790</v>
      </c>
      <c r="D1213" s="3928" t="s">
        <v>2791</v>
      </c>
      <c r="E1213" s="3928" t="s">
        <v>2792</v>
      </c>
      <c r="F1213" s="3928" t="s">
        <v>2438</v>
      </c>
      <c r="G1213" s="3928" t="s">
        <v>2697</v>
      </c>
      <c r="H1213" s="3928" t="s">
        <v>24</v>
      </c>
      <c r="I1213" s="3928" t="s">
        <v>898</v>
      </c>
    </row>
    <row r="1214" spans="1:9" ht="11.25" customHeight="1">
      <c r="A1214" s="3928" t="s">
        <v>2258</v>
      </c>
      <c r="B1214" s="3928" t="s">
        <v>14</v>
      </c>
      <c r="C1214" s="3928" t="s">
        <v>2793</v>
      </c>
      <c r="D1214" s="3928" t="s">
        <v>2794</v>
      </c>
      <c r="E1214" s="3928" t="s">
        <v>2795</v>
      </c>
      <c r="F1214" s="3928" t="s">
        <v>2796</v>
      </c>
      <c r="G1214" s="3928" t="s">
        <v>24</v>
      </c>
      <c r="H1214" s="3928" t="s">
        <v>24</v>
      </c>
      <c r="I1214" s="3928" t="s">
        <v>898</v>
      </c>
    </row>
    <row r="1215" spans="1:9" ht="11.25" customHeight="1">
      <c r="A1215" s="3928" t="s">
        <v>2258</v>
      </c>
      <c r="B1215" s="3928" t="s">
        <v>14</v>
      </c>
      <c r="C1215" s="3928" t="s">
        <v>6338</v>
      </c>
      <c r="D1215" s="3928" t="s">
        <v>6339</v>
      </c>
      <c r="E1215" s="3928" t="s">
        <v>6340</v>
      </c>
      <c r="F1215" s="3928" t="s">
        <v>2796</v>
      </c>
      <c r="G1215" s="3928" t="s">
        <v>6341</v>
      </c>
      <c r="H1215" s="3928" t="s">
        <v>24</v>
      </c>
      <c r="I1215" s="3928" t="s">
        <v>898</v>
      </c>
    </row>
    <row r="1216" spans="1:9" ht="11.25" customHeight="1">
      <c r="A1216" s="3928" t="s">
        <v>2258</v>
      </c>
      <c r="B1216" s="3928" t="s">
        <v>14</v>
      </c>
      <c r="C1216" s="3928" t="s">
        <v>2803</v>
      </c>
      <c r="D1216" s="3928" t="s">
        <v>2804</v>
      </c>
      <c r="E1216" s="3928" t="s">
        <v>2805</v>
      </c>
      <c r="F1216" s="3928" t="s">
        <v>2675</v>
      </c>
      <c r="G1216" s="3928" t="s">
        <v>2806</v>
      </c>
      <c r="H1216" s="3928" t="s">
        <v>24</v>
      </c>
      <c r="I1216" s="3928" t="s">
        <v>898</v>
      </c>
    </row>
    <row r="1217" spans="1:9" ht="11.25" customHeight="1">
      <c r="A1217" s="3928" t="s">
        <v>2258</v>
      </c>
      <c r="B1217" s="3928" t="s">
        <v>14</v>
      </c>
      <c r="C1217" s="3928" t="s">
        <v>6342</v>
      </c>
      <c r="D1217" s="3928" t="s">
        <v>6343</v>
      </c>
      <c r="E1217" s="3928" t="s">
        <v>6344</v>
      </c>
      <c r="F1217" s="3928" t="s">
        <v>2304</v>
      </c>
      <c r="G1217" s="3928" t="s">
        <v>24</v>
      </c>
      <c r="H1217" s="3928" t="s">
        <v>6345</v>
      </c>
      <c r="I1217" s="3928" t="s">
        <v>898</v>
      </c>
    </row>
    <row r="1218" spans="1:9" ht="11.25" customHeight="1">
      <c r="A1218" s="3928" t="s">
        <v>2258</v>
      </c>
      <c r="B1218" s="3928" t="s">
        <v>14</v>
      </c>
      <c r="C1218" s="3928" t="s">
        <v>2814</v>
      </c>
      <c r="D1218" s="3928" t="s">
        <v>2815</v>
      </c>
      <c r="E1218" s="3928" t="s">
        <v>2816</v>
      </c>
      <c r="F1218" s="3928" t="s">
        <v>2817</v>
      </c>
      <c r="G1218" s="3928" t="s">
        <v>2818</v>
      </c>
      <c r="H1218" s="3928" t="s">
        <v>24</v>
      </c>
      <c r="I1218" s="3928" t="s">
        <v>898</v>
      </c>
    </row>
    <row r="1219" spans="1:9" ht="11.25" customHeight="1">
      <c r="A1219" s="3928" t="s">
        <v>2258</v>
      </c>
      <c r="B1219" s="3928" t="s">
        <v>14</v>
      </c>
      <c r="C1219" s="3928" t="s">
        <v>2823</v>
      </c>
      <c r="D1219" s="3928" t="s">
        <v>2824</v>
      </c>
      <c r="E1219" s="3928" t="s">
        <v>2825</v>
      </c>
      <c r="F1219" s="3928" t="s">
        <v>2826</v>
      </c>
      <c r="G1219" s="3928" t="s">
        <v>2827</v>
      </c>
      <c r="H1219" s="3928" t="s">
        <v>24</v>
      </c>
      <c r="I1219" s="3928" t="s">
        <v>898</v>
      </c>
    </row>
    <row r="1220" spans="1:9" ht="11.25" customHeight="1">
      <c r="A1220" s="3928" t="s">
        <v>2258</v>
      </c>
      <c r="B1220" s="3928" t="s">
        <v>14</v>
      </c>
      <c r="C1220" s="3928" t="s">
        <v>2832</v>
      </c>
      <c r="D1220" s="3928" t="s">
        <v>2833</v>
      </c>
      <c r="E1220" s="3928" t="s">
        <v>2834</v>
      </c>
      <c r="F1220" s="3928" t="s">
        <v>2339</v>
      </c>
      <c r="G1220" s="3928" t="s">
        <v>24</v>
      </c>
      <c r="H1220" s="3928" t="s">
        <v>2263</v>
      </c>
      <c r="I1220" s="3928" t="s">
        <v>898</v>
      </c>
    </row>
    <row r="1221" spans="1:9" ht="11.25" customHeight="1">
      <c r="A1221" s="3928" t="s">
        <v>2258</v>
      </c>
      <c r="B1221" s="3928" t="s">
        <v>14</v>
      </c>
      <c r="C1221" s="3928" t="s">
        <v>6346</v>
      </c>
      <c r="D1221" s="3928" t="s">
        <v>6347</v>
      </c>
      <c r="E1221" s="3928" t="s">
        <v>6348</v>
      </c>
      <c r="F1221" s="3928" t="s">
        <v>2522</v>
      </c>
      <c r="G1221" s="3928" t="s">
        <v>24</v>
      </c>
      <c r="H1221" s="3928" t="s">
        <v>2263</v>
      </c>
      <c r="I1221" s="3928" t="s">
        <v>898</v>
      </c>
    </row>
    <row r="1222" spans="1:9" ht="11.25" customHeight="1">
      <c r="A1222" s="3928" t="s">
        <v>2258</v>
      </c>
      <c r="B1222" s="3928" t="s">
        <v>14</v>
      </c>
      <c r="C1222" s="3928" t="s">
        <v>2868</v>
      </c>
      <c r="D1222" s="3928" t="s">
        <v>2869</v>
      </c>
      <c r="E1222" s="3928" t="s">
        <v>2870</v>
      </c>
      <c r="F1222" s="3928" t="s">
        <v>2587</v>
      </c>
      <c r="G1222" s="3928" t="s">
        <v>2871</v>
      </c>
      <c r="H1222" s="3928" t="s">
        <v>24</v>
      </c>
      <c r="I1222" s="3928" t="s">
        <v>898</v>
      </c>
    </row>
    <row r="1223" spans="1:9" ht="11.25" customHeight="1">
      <c r="A1223" s="3928" t="s">
        <v>2258</v>
      </c>
      <c r="B1223" s="3928" t="s">
        <v>14</v>
      </c>
      <c r="C1223" s="3928" t="s">
        <v>2887</v>
      </c>
      <c r="D1223" s="3928" t="s">
        <v>2888</v>
      </c>
      <c r="E1223" s="3928" t="s">
        <v>2889</v>
      </c>
      <c r="F1223" s="3928" t="s">
        <v>2587</v>
      </c>
      <c r="G1223" s="3928" t="s">
        <v>2890</v>
      </c>
      <c r="H1223" s="3928" t="s">
        <v>24</v>
      </c>
      <c r="I1223" s="3928" t="s">
        <v>898</v>
      </c>
    </row>
    <row r="1224" spans="1:9" ht="11.25" customHeight="1">
      <c r="A1224" s="3928" t="s">
        <v>2258</v>
      </c>
      <c r="B1224" s="3928" t="s">
        <v>14</v>
      </c>
      <c r="C1224" s="3928" t="s">
        <v>2891</v>
      </c>
      <c r="D1224" s="3928" t="s">
        <v>2892</v>
      </c>
      <c r="E1224" s="3928" t="s">
        <v>2893</v>
      </c>
      <c r="F1224" s="3928" t="s">
        <v>2535</v>
      </c>
      <c r="G1224" s="3928" t="s">
        <v>2894</v>
      </c>
      <c r="H1224" s="3928" t="s">
        <v>24</v>
      </c>
      <c r="I1224" s="3928" t="s">
        <v>898</v>
      </c>
    </row>
    <row r="1225" spans="1:9" ht="11.25" customHeight="1">
      <c r="A1225" s="3928" t="s">
        <v>2258</v>
      </c>
      <c r="B1225" s="3928" t="s">
        <v>14</v>
      </c>
      <c r="C1225" s="3928" t="s">
        <v>2895</v>
      </c>
      <c r="D1225" s="3928" t="s">
        <v>2896</v>
      </c>
      <c r="E1225" s="3928" t="s">
        <v>2897</v>
      </c>
      <c r="F1225" s="3928" t="s">
        <v>2898</v>
      </c>
      <c r="G1225" s="3928" t="s">
        <v>2899</v>
      </c>
      <c r="H1225" s="3928" t="s">
        <v>24</v>
      </c>
      <c r="I1225" s="3928" t="s">
        <v>898</v>
      </c>
    </row>
    <row r="1226" spans="1:9" ht="11.25" customHeight="1">
      <c r="A1226" s="3928" t="s">
        <v>2258</v>
      </c>
      <c r="B1226" s="3928" t="s">
        <v>14</v>
      </c>
      <c r="C1226" s="3928" t="s">
        <v>2904</v>
      </c>
      <c r="D1226" s="3928" t="s">
        <v>2905</v>
      </c>
      <c r="E1226" s="3928" t="s">
        <v>2906</v>
      </c>
      <c r="F1226" s="3928" t="s">
        <v>2907</v>
      </c>
      <c r="G1226" s="3928" t="s">
        <v>2908</v>
      </c>
      <c r="H1226" s="3928" t="s">
        <v>2909</v>
      </c>
      <c r="I1226" s="3928" t="s">
        <v>898</v>
      </c>
    </row>
    <row r="1227" spans="1:9" ht="11.25" customHeight="1">
      <c r="A1227" s="3928" t="s">
        <v>2258</v>
      </c>
      <c r="B1227" s="3928" t="s">
        <v>14</v>
      </c>
      <c r="C1227" s="3928" t="s">
        <v>2914</v>
      </c>
      <c r="D1227" s="3928" t="s">
        <v>2915</v>
      </c>
      <c r="E1227" s="3928" t="s">
        <v>2916</v>
      </c>
      <c r="F1227" s="3928" t="s">
        <v>2424</v>
      </c>
      <c r="G1227" s="3928" t="s">
        <v>24</v>
      </c>
      <c r="H1227" s="3928" t="s">
        <v>2917</v>
      </c>
      <c r="I1227" s="3928" t="s">
        <v>898</v>
      </c>
    </row>
    <row r="1228" spans="1:9" ht="11.25" customHeight="1">
      <c r="A1228" s="3928" t="s">
        <v>2258</v>
      </c>
      <c r="B1228" s="3928" t="s">
        <v>14</v>
      </c>
      <c r="C1228" s="3928" t="s">
        <v>2918</v>
      </c>
      <c r="D1228" s="3928" t="s">
        <v>2919</v>
      </c>
      <c r="E1228" s="3928" t="s">
        <v>2920</v>
      </c>
      <c r="F1228" s="3928" t="s">
        <v>2375</v>
      </c>
      <c r="G1228" s="3928" t="s">
        <v>2921</v>
      </c>
      <c r="H1228" s="3928" t="s">
        <v>24</v>
      </c>
      <c r="I1228" s="3928" t="s">
        <v>898</v>
      </c>
    </row>
    <row r="1229" spans="1:9" ht="11.25" customHeight="1">
      <c r="A1229" s="3928" t="s">
        <v>2258</v>
      </c>
      <c r="B1229" s="3928" t="s">
        <v>14</v>
      </c>
      <c r="C1229" s="3928" t="s">
        <v>2922</v>
      </c>
      <c r="D1229" s="3928" t="s">
        <v>2923</v>
      </c>
      <c r="E1229" s="3928" t="s">
        <v>2924</v>
      </c>
      <c r="F1229" s="3928" t="s">
        <v>2535</v>
      </c>
      <c r="G1229" s="3928" t="s">
        <v>2925</v>
      </c>
      <c r="H1229" s="3928" t="s">
        <v>24</v>
      </c>
      <c r="I1229" s="3928" t="s">
        <v>898</v>
      </c>
    </row>
    <row r="1230" spans="1:9" ht="11.25" customHeight="1">
      <c r="A1230" s="3928" t="s">
        <v>2258</v>
      </c>
      <c r="B1230" s="3928" t="s">
        <v>14</v>
      </c>
      <c r="C1230" s="3928" t="s">
        <v>2926</v>
      </c>
      <c r="D1230" s="3928" t="s">
        <v>2927</v>
      </c>
      <c r="E1230" s="3928" t="s">
        <v>2928</v>
      </c>
      <c r="F1230" s="3928" t="s">
        <v>2929</v>
      </c>
      <c r="G1230" s="3928" t="s">
        <v>24</v>
      </c>
      <c r="H1230" s="3928" t="s">
        <v>24</v>
      </c>
      <c r="I1230" s="3928" t="s">
        <v>898</v>
      </c>
    </row>
    <row r="1231" spans="1:9" ht="11.25" customHeight="1">
      <c r="A1231" s="3928" t="s">
        <v>2258</v>
      </c>
      <c r="B1231" s="3928" t="s">
        <v>14</v>
      </c>
      <c r="C1231" s="3928" t="s">
        <v>2930</v>
      </c>
      <c r="D1231" s="3928" t="s">
        <v>2931</v>
      </c>
      <c r="E1231" s="3928" t="s">
        <v>2932</v>
      </c>
      <c r="F1231" s="3928" t="s">
        <v>2796</v>
      </c>
      <c r="G1231" s="3928" t="s">
        <v>2933</v>
      </c>
      <c r="H1231" s="3928" t="s">
        <v>2263</v>
      </c>
      <c r="I1231" s="3928" t="s">
        <v>898</v>
      </c>
    </row>
    <row r="1232" spans="1:9" ht="11.25" customHeight="1">
      <c r="A1232" s="3928" t="s">
        <v>2258</v>
      </c>
      <c r="B1232" s="3928" t="s">
        <v>14</v>
      </c>
      <c r="C1232" s="3928" t="s">
        <v>2934</v>
      </c>
      <c r="D1232" s="3928" t="s">
        <v>2931</v>
      </c>
      <c r="E1232" s="3928" t="s">
        <v>2935</v>
      </c>
      <c r="F1232" s="3928" t="s">
        <v>2796</v>
      </c>
      <c r="G1232" s="3928" t="s">
        <v>2936</v>
      </c>
      <c r="H1232" s="3928" t="s">
        <v>24</v>
      </c>
      <c r="I1232" s="3928" t="s">
        <v>898</v>
      </c>
    </row>
    <row r="1233" spans="1:9" ht="11.25" customHeight="1">
      <c r="A1233" s="3928" t="s">
        <v>2258</v>
      </c>
      <c r="B1233" s="3928" t="s">
        <v>14</v>
      </c>
      <c r="C1233" s="3928" t="s">
        <v>2937</v>
      </c>
      <c r="D1233" s="3928" t="s">
        <v>2938</v>
      </c>
      <c r="E1233" s="3928" t="s">
        <v>2939</v>
      </c>
      <c r="F1233" s="3928" t="s">
        <v>2414</v>
      </c>
      <c r="G1233" s="3928" t="s">
        <v>2940</v>
      </c>
      <c r="H1233" s="3928" t="s">
        <v>2941</v>
      </c>
      <c r="I1233" s="3928" t="s">
        <v>898</v>
      </c>
    </row>
    <row r="1234" spans="1:9" ht="11.25" customHeight="1">
      <c r="A1234" s="3928" t="s">
        <v>2258</v>
      </c>
      <c r="B1234" s="3928" t="s">
        <v>14</v>
      </c>
      <c r="C1234" s="3928" t="s">
        <v>2942</v>
      </c>
      <c r="D1234" s="3928" t="s">
        <v>2943</v>
      </c>
      <c r="E1234" s="3928" t="s">
        <v>2944</v>
      </c>
      <c r="F1234" s="3928" t="s">
        <v>2929</v>
      </c>
      <c r="G1234" s="3928" t="s">
        <v>24</v>
      </c>
      <c r="H1234" s="3928" t="s">
        <v>2945</v>
      </c>
      <c r="I1234" s="3928" t="s">
        <v>898</v>
      </c>
    </row>
    <row r="1235" spans="1:9" ht="11.25" customHeight="1">
      <c r="A1235" s="3928" t="s">
        <v>2258</v>
      </c>
      <c r="B1235" s="3928" t="s">
        <v>14</v>
      </c>
      <c r="C1235" s="3928" t="s">
        <v>2962</v>
      </c>
      <c r="D1235" s="3928" t="s">
        <v>2963</v>
      </c>
      <c r="E1235" s="3928" t="s">
        <v>2964</v>
      </c>
      <c r="F1235" s="3928" t="s">
        <v>2965</v>
      </c>
      <c r="G1235" s="3928" t="s">
        <v>2966</v>
      </c>
      <c r="H1235" s="3928" t="s">
        <v>24</v>
      </c>
      <c r="I1235" s="3928" t="s">
        <v>898</v>
      </c>
    </row>
    <row r="1236" spans="1:9" ht="11.25" customHeight="1">
      <c r="A1236" s="3928" t="s">
        <v>2258</v>
      </c>
      <c r="B1236" s="3928" t="s">
        <v>14</v>
      </c>
      <c r="C1236" s="3928" t="s">
        <v>2967</v>
      </c>
      <c r="D1236" s="3928" t="s">
        <v>2968</v>
      </c>
      <c r="E1236" s="3928" t="s">
        <v>2969</v>
      </c>
      <c r="F1236" s="3928" t="s">
        <v>2638</v>
      </c>
      <c r="G1236" s="3928" t="s">
        <v>2970</v>
      </c>
      <c r="H1236" s="3928" t="s">
        <v>24</v>
      </c>
      <c r="I1236" s="3928" t="s">
        <v>898</v>
      </c>
    </row>
    <row r="1237" spans="1:9" ht="11.25" customHeight="1">
      <c r="A1237" s="3928" t="s">
        <v>2258</v>
      </c>
      <c r="B1237" s="3928" t="s">
        <v>14</v>
      </c>
      <c r="C1237" s="3928" t="s">
        <v>2975</v>
      </c>
      <c r="D1237" s="3928" t="s">
        <v>2976</v>
      </c>
      <c r="E1237" s="3928" t="s">
        <v>2977</v>
      </c>
      <c r="F1237" s="3928" t="s">
        <v>2701</v>
      </c>
      <c r="G1237" s="3928" t="s">
        <v>2978</v>
      </c>
      <c r="H1237" s="3928" t="s">
        <v>24</v>
      </c>
      <c r="I1237" s="3928" t="s">
        <v>898</v>
      </c>
    </row>
    <row r="1238" spans="1:9" ht="11.25" customHeight="1">
      <c r="A1238" s="3928" t="s">
        <v>2258</v>
      </c>
      <c r="B1238" s="3928" t="s">
        <v>14</v>
      </c>
      <c r="C1238" s="3928" t="s">
        <v>2979</v>
      </c>
      <c r="D1238" s="3928" t="s">
        <v>2980</v>
      </c>
      <c r="E1238" s="3928" t="s">
        <v>2981</v>
      </c>
      <c r="F1238" s="3928" t="s">
        <v>49</v>
      </c>
      <c r="G1238" s="3928" t="s">
        <v>2982</v>
      </c>
      <c r="H1238" s="3928" t="s">
        <v>24</v>
      </c>
      <c r="I1238" s="3928" t="s">
        <v>898</v>
      </c>
    </row>
    <row r="1239" spans="1:9" ht="11.25" customHeight="1">
      <c r="A1239" s="3928" t="s">
        <v>2258</v>
      </c>
      <c r="B1239" s="3928" t="s">
        <v>14</v>
      </c>
      <c r="C1239" s="3928" t="s">
        <v>2983</v>
      </c>
      <c r="D1239" s="3928" t="s">
        <v>2984</v>
      </c>
      <c r="E1239" s="3928" t="s">
        <v>2985</v>
      </c>
      <c r="F1239" s="3928" t="s">
        <v>2780</v>
      </c>
      <c r="G1239" s="3928" t="s">
        <v>24</v>
      </c>
      <c r="H1239" s="3928" t="s">
        <v>24</v>
      </c>
      <c r="I1239" s="3928" t="s">
        <v>898</v>
      </c>
    </row>
    <row r="1240" spans="1:9" ht="11.25" customHeight="1">
      <c r="A1240" s="3928" t="s">
        <v>2258</v>
      </c>
      <c r="B1240" s="3928" t="s">
        <v>14</v>
      </c>
      <c r="C1240" s="3928" t="s">
        <v>2986</v>
      </c>
      <c r="D1240" s="3928" t="s">
        <v>2987</v>
      </c>
      <c r="E1240" s="3928" t="s">
        <v>2988</v>
      </c>
      <c r="F1240" s="3928" t="s">
        <v>2701</v>
      </c>
      <c r="G1240" s="3928" t="s">
        <v>2989</v>
      </c>
      <c r="H1240" s="3928" t="s">
        <v>2990</v>
      </c>
      <c r="I1240" s="3928" t="s">
        <v>898</v>
      </c>
    </row>
    <row r="1241" spans="1:9" ht="11.25" customHeight="1">
      <c r="A1241" s="3928" t="s">
        <v>2258</v>
      </c>
      <c r="B1241" s="3928" t="s">
        <v>14</v>
      </c>
      <c r="C1241" s="3928" t="s">
        <v>2991</v>
      </c>
      <c r="D1241" s="3928" t="s">
        <v>2992</v>
      </c>
      <c r="E1241" s="3928" t="s">
        <v>2973</v>
      </c>
      <c r="F1241" s="3928" t="s">
        <v>2642</v>
      </c>
      <c r="G1241" s="3928" t="s">
        <v>2993</v>
      </c>
      <c r="H1241" s="3928" t="s">
        <v>24</v>
      </c>
      <c r="I1241" s="3928" t="s">
        <v>898</v>
      </c>
    </row>
    <row r="1242" spans="1:9" ht="11.25" customHeight="1">
      <c r="A1242" s="3928" t="s">
        <v>2258</v>
      </c>
      <c r="B1242" s="3928" t="s">
        <v>14</v>
      </c>
      <c r="C1242" s="3928" t="s">
        <v>2994</v>
      </c>
      <c r="D1242" s="3928" t="s">
        <v>2995</v>
      </c>
      <c r="E1242" s="3928" t="s">
        <v>2996</v>
      </c>
      <c r="F1242" s="3928" t="s">
        <v>2701</v>
      </c>
      <c r="G1242" s="3928" t="s">
        <v>2997</v>
      </c>
      <c r="H1242" s="3928" t="s">
        <v>24</v>
      </c>
      <c r="I1242" s="3928" t="s">
        <v>898</v>
      </c>
    </row>
    <row r="1243" spans="1:9" ht="11.25" customHeight="1">
      <c r="A1243" s="3928" t="s">
        <v>2258</v>
      </c>
      <c r="B1243" s="3928" t="s">
        <v>14</v>
      </c>
      <c r="C1243" s="3928" t="s">
        <v>2998</v>
      </c>
      <c r="D1243" s="3928" t="s">
        <v>2999</v>
      </c>
      <c r="E1243" s="3928" t="s">
        <v>3000</v>
      </c>
      <c r="F1243" s="3928" t="s">
        <v>2419</v>
      </c>
      <c r="G1243" s="3928" t="s">
        <v>3001</v>
      </c>
      <c r="H1243" s="3928" t="s">
        <v>24</v>
      </c>
      <c r="I1243" s="3928" t="s">
        <v>898</v>
      </c>
    </row>
    <row r="1244" spans="1:9" ht="11.25" customHeight="1">
      <c r="A1244" s="3928" t="s">
        <v>2258</v>
      </c>
      <c r="B1244" s="3928" t="s">
        <v>14</v>
      </c>
      <c r="C1244" s="3928" t="s">
        <v>3002</v>
      </c>
      <c r="D1244" s="3928" t="s">
        <v>3003</v>
      </c>
      <c r="E1244" s="3928" t="s">
        <v>3004</v>
      </c>
      <c r="F1244" s="3928" t="s">
        <v>2469</v>
      </c>
      <c r="G1244" s="3928" t="s">
        <v>24</v>
      </c>
      <c r="H1244" s="3928" t="s">
        <v>24</v>
      </c>
      <c r="I1244" s="3928" t="s">
        <v>898</v>
      </c>
    </row>
    <row r="1245" spans="1:9" ht="11.25" customHeight="1">
      <c r="A1245" s="3928" t="s">
        <v>2258</v>
      </c>
      <c r="B1245" s="3928" t="s">
        <v>14</v>
      </c>
      <c r="C1245" s="3928" t="s">
        <v>6349</v>
      </c>
      <c r="D1245" s="3928" t="s">
        <v>6350</v>
      </c>
      <c r="E1245" s="3928" t="s">
        <v>6351</v>
      </c>
      <c r="F1245" s="3928" t="s">
        <v>2289</v>
      </c>
      <c r="G1245" s="3928" t="s">
        <v>6352</v>
      </c>
      <c r="H1245" s="3928" t="s">
        <v>6353</v>
      </c>
      <c r="I1245" s="3928" t="s">
        <v>898</v>
      </c>
    </row>
    <row r="1246" spans="1:9" ht="11.25" customHeight="1">
      <c r="A1246" s="3928" t="s">
        <v>2258</v>
      </c>
      <c r="B1246" s="3928" t="s">
        <v>14</v>
      </c>
      <c r="C1246" s="3928" t="s">
        <v>3013</v>
      </c>
      <c r="D1246" s="3928" t="s">
        <v>3014</v>
      </c>
      <c r="E1246" s="3928" t="s">
        <v>3015</v>
      </c>
      <c r="F1246" s="3928" t="s">
        <v>2294</v>
      </c>
      <c r="G1246" s="3928" t="s">
        <v>24</v>
      </c>
      <c r="H1246" s="3928" t="s">
        <v>24</v>
      </c>
      <c r="I1246" s="3928" t="s">
        <v>898</v>
      </c>
    </row>
    <row r="1247" spans="1:9" ht="11.25" customHeight="1">
      <c r="A1247" s="3928" t="s">
        <v>2258</v>
      </c>
      <c r="B1247" s="3928" t="s">
        <v>14</v>
      </c>
      <c r="C1247" s="3928" t="s">
        <v>3016</v>
      </c>
      <c r="D1247" s="3928" t="s">
        <v>3017</v>
      </c>
      <c r="E1247" s="3928" t="s">
        <v>3018</v>
      </c>
      <c r="F1247" s="3928" t="s">
        <v>2965</v>
      </c>
      <c r="G1247" s="3928" t="s">
        <v>3019</v>
      </c>
      <c r="H1247" s="3928" t="s">
        <v>24</v>
      </c>
      <c r="I1247" s="3928" t="s">
        <v>898</v>
      </c>
    </row>
    <row r="1248" spans="1:9" ht="11.25" customHeight="1">
      <c r="A1248" s="3928" t="s">
        <v>2258</v>
      </c>
      <c r="B1248" s="3928" t="s">
        <v>14</v>
      </c>
      <c r="C1248" s="3928" t="s">
        <v>3020</v>
      </c>
      <c r="D1248" s="3928" t="s">
        <v>3021</v>
      </c>
      <c r="E1248" s="3928" t="s">
        <v>3022</v>
      </c>
      <c r="F1248" s="3928" t="s">
        <v>3023</v>
      </c>
      <c r="G1248" s="3928" t="s">
        <v>3024</v>
      </c>
      <c r="H1248" s="3928" t="s">
        <v>2263</v>
      </c>
      <c r="I1248" s="3928" t="s">
        <v>898</v>
      </c>
    </row>
    <row r="1249" spans="1:9" ht="11.25" customHeight="1">
      <c r="A1249" s="3928" t="s">
        <v>2258</v>
      </c>
      <c r="B1249" s="3928" t="s">
        <v>14</v>
      </c>
      <c r="C1249" s="3928" t="s">
        <v>3029</v>
      </c>
      <c r="D1249" s="3928" t="s">
        <v>3030</v>
      </c>
      <c r="E1249" s="3928" t="s">
        <v>3031</v>
      </c>
      <c r="F1249" s="3928" t="s">
        <v>2414</v>
      </c>
      <c r="G1249" s="3928" t="s">
        <v>2420</v>
      </c>
      <c r="H1249" s="3928" t="s">
        <v>24</v>
      </c>
      <c r="I1249" s="3928" t="s">
        <v>898</v>
      </c>
    </row>
    <row r="1250" spans="1:9" ht="11.25" customHeight="1">
      <c r="A1250" s="3928" t="s">
        <v>2258</v>
      </c>
      <c r="B1250" s="3928" t="s">
        <v>14</v>
      </c>
      <c r="C1250" s="3928" t="s">
        <v>3036</v>
      </c>
      <c r="D1250" s="3928" t="s">
        <v>3037</v>
      </c>
      <c r="E1250" s="3928" t="s">
        <v>3038</v>
      </c>
      <c r="F1250" s="3928" t="s">
        <v>3039</v>
      </c>
      <c r="G1250" s="3928" t="s">
        <v>3040</v>
      </c>
      <c r="H1250" s="3928" t="s">
        <v>24</v>
      </c>
      <c r="I1250" s="3928" t="s">
        <v>898</v>
      </c>
    </row>
    <row r="1251" spans="1:9" ht="11.25" customHeight="1">
      <c r="A1251" s="3928" t="s">
        <v>2258</v>
      </c>
      <c r="B1251" s="3928" t="s">
        <v>14</v>
      </c>
      <c r="C1251" s="3928" t="s">
        <v>3041</v>
      </c>
      <c r="D1251" s="3928" t="s">
        <v>3042</v>
      </c>
      <c r="E1251" s="3928" t="s">
        <v>3043</v>
      </c>
      <c r="F1251" s="3928" t="s">
        <v>2486</v>
      </c>
      <c r="G1251" s="3928" t="s">
        <v>24</v>
      </c>
      <c r="H1251" s="3928" t="s">
        <v>24</v>
      </c>
      <c r="I1251" s="3928" t="s">
        <v>898</v>
      </c>
    </row>
    <row r="1252" spans="1:9" ht="11.25" customHeight="1">
      <c r="A1252" s="3928" t="s">
        <v>2258</v>
      </c>
      <c r="B1252" s="3928" t="s">
        <v>14</v>
      </c>
      <c r="C1252" s="3928" t="s">
        <v>3044</v>
      </c>
      <c r="D1252" s="3928" t="s">
        <v>3045</v>
      </c>
      <c r="E1252" s="3928" t="s">
        <v>3046</v>
      </c>
      <c r="F1252" s="3928" t="s">
        <v>2451</v>
      </c>
      <c r="G1252" s="3928" t="s">
        <v>3047</v>
      </c>
      <c r="H1252" s="3928" t="s">
        <v>24</v>
      </c>
      <c r="I1252" s="3928" t="s">
        <v>898</v>
      </c>
    </row>
    <row r="1253" spans="1:9" ht="11.25" customHeight="1">
      <c r="A1253" s="3928" t="s">
        <v>2258</v>
      </c>
      <c r="B1253" s="3928" t="s">
        <v>14</v>
      </c>
      <c r="C1253" s="3928" t="s">
        <v>3048</v>
      </c>
      <c r="D1253" s="3928" t="s">
        <v>3049</v>
      </c>
      <c r="E1253" s="3928" t="s">
        <v>3050</v>
      </c>
      <c r="F1253" s="3928" t="s">
        <v>3051</v>
      </c>
      <c r="G1253" s="3928" t="s">
        <v>3052</v>
      </c>
      <c r="H1253" s="3928" t="s">
        <v>24</v>
      </c>
      <c r="I1253" s="3928" t="s">
        <v>898</v>
      </c>
    </row>
    <row r="1254" spans="1:9" ht="11.25" customHeight="1">
      <c r="A1254" s="3928" t="s">
        <v>2258</v>
      </c>
      <c r="B1254" s="3928" t="s">
        <v>14</v>
      </c>
      <c r="C1254" s="3928" t="s">
        <v>3053</v>
      </c>
      <c r="D1254" s="3928" t="s">
        <v>3054</v>
      </c>
      <c r="E1254" s="3928" t="s">
        <v>3055</v>
      </c>
      <c r="F1254" s="3928" t="s">
        <v>2429</v>
      </c>
      <c r="G1254" s="3928" t="s">
        <v>24</v>
      </c>
      <c r="H1254" s="3928" t="s">
        <v>3056</v>
      </c>
      <c r="I1254" s="3928" t="s">
        <v>898</v>
      </c>
    </row>
    <row r="1255" spans="1:9" ht="11.25" customHeight="1">
      <c r="A1255" s="3928" t="s">
        <v>2258</v>
      </c>
      <c r="B1255" s="3928" t="s">
        <v>14</v>
      </c>
      <c r="C1255" s="3928" t="s">
        <v>3072</v>
      </c>
      <c r="D1255" s="3928" t="s">
        <v>3073</v>
      </c>
      <c r="E1255" s="3928" t="s">
        <v>3074</v>
      </c>
      <c r="F1255" s="3928" t="s">
        <v>2397</v>
      </c>
      <c r="G1255" s="3928" t="s">
        <v>24</v>
      </c>
      <c r="H1255" s="3928" t="s">
        <v>3075</v>
      </c>
      <c r="I1255" s="3928" t="s">
        <v>898</v>
      </c>
    </row>
    <row r="1256" spans="1:9" ht="11.25" customHeight="1">
      <c r="A1256" s="3928" t="s">
        <v>2258</v>
      </c>
      <c r="B1256" s="3928" t="s">
        <v>14</v>
      </c>
      <c r="C1256" s="3928" t="s">
        <v>3083</v>
      </c>
      <c r="D1256" s="3928" t="s">
        <v>3084</v>
      </c>
      <c r="E1256" s="3928" t="s">
        <v>3085</v>
      </c>
      <c r="F1256" s="3928" t="s">
        <v>3086</v>
      </c>
      <c r="G1256" s="3928" t="s">
        <v>3087</v>
      </c>
      <c r="H1256" s="3928" t="s">
        <v>24</v>
      </c>
      <c r="I1256" s="3928" t="s">
        <v>898</v>
      </c>
    </row>
    <row r="1257" spans="1:9" ht="11.25" customHeight="1">
      <c r="A1257" s="3928" t="s">
        <v>2258</v>
      </c>
      <c r="B1257" s="3928" t="s">
        <v>14</v>
      </c>
      <c r="C1257" s="3928" t="s">
        <v>3093</v>
      </c>
      <c r="D1257" s="3928" t="s">
        <v>3094</v>
      </c>
      <c r="E1257" s="3928" t="s">
        <v>3095</v>
      </c>
      <c r="F1257" s="3928" t="s">
        <v>2464</v>
      </c>
      <c r="G1257" s="3928" t="s">
        <v>3096</v>
      </c>
      <c r="H1257" s="3928" t="s">
        <v>24</v>
      </c>
      <c r="I1257" s="3928" t="s">
        <v>898</v>
      </c>
    </row>
    <row r="1258" spans="1:9" ht="11.25" customHeight="1">
      <c r="A1258" s="3928" t="s">
        <v>2258</v>
      </c>
      <c r="B1258" s="3928" t="s">
        <v>14</v>
      </c>
      <c r="C1258" s="3928" t="s">
        <v>3097</v>
      </c>
      <c r="D1258" s="3928" t="s">
        <v>3098</v>
      </c>
      <c r="E1258" s="3928" t="s">
        <v>3099</v>
      </c>
      <c r="F1258" s="3928" t="s">
        <v>2929</v>
      </c>
      <c r="G1258" s="3928" t="s">
        <v>3100</v>
      </c>
      <c r="H1258" s="3928" t="s">
        <v>24</v>
      </c>
      <c r="I1258" s="3928" t="s">
        <v>898</v>
      </c>
    </row>
    <row r="1259" spans="1:9" ht="11.25" customHeight="1">
      <c r="A1259" s="3928" t="s">
        <v>2258</v>
      </c>
      <c r="B1259" s="3928" t="s">
        <v>14</v>
      </c>
      <c r="C1259" s="3928" t="s">
        <v>3104</v>
      </c>
      <c r="D1259" s="3928" t="s">
        <v>3105</v>
      </c>
      <c r="E1259" s="3928" t="s">
        <v>3106</v>
      </c>
      <c r="F1259" s="3928" t="s">
        <v>2419</v>
      </c>
      <c r="G1259" s="3928" t="s">
        <v>3107</v>
      </c>
      <c r="H1259" s="3928" t="s">
        <v>24</v>
      </c>
      <c r="I1259" s="3928" t="s">
        <v>898</v>
      </c>
    </row>
    <row r="1260" spans="1:9" ht="11.25" customHeight="1">
      <c r="A1260" s="3928" t="s">
        <v>2258</v>
      </c>
      <c r="B1260" s="3928" t="s">
        <v>14</v>
      </c>
      <c r="C1260" s="3928" t="s">
        <v>3108</v>
      </c>
      <c r="D1260" s="3928" t="s">
        <v>3109</v>
      </c>
      <c r="E1260" s="3928" t="s">
        <v>3110</v>
      </c>
      <c r="F1260" s="3928" t="s">
        <v>2473</v>
      </c>
      <c r="G1260" s="3928" t="s">
        <v>3111</v>
      </c>
      <c r="H1260" s="3928" t="s">
        <v>24</v>
      </c>
      <c r="I1260" s="3928" t="s">
        <v>898</v>
      </c>
    </row>
    <row r="1261" spans="1:9" ht="11.25" customHeight="1">
      <c r="A1261" s="3928" t="s">
        <v>2258</v>
      </c>
      <c r="B1261" s="3928" t="s">
        <v>14</v>
      </c>
      <c r="C1261" s="3928" t="s">
        <v>6354</v>
      </c>
      <c r="D1261" s="3928" t="s">
        <v>6355</v>
      </c>
      <c r="E1261" s="3928" t="s">
        <v>6356</v>
      </c>
      <c r="F1261" s="3928" t="s">
        <v>2409</v>
      </c>
      <c r="G1261" s="3928" t="s">
        <v>24</v>
      </c>
      <c r="H1261" s="3928" t="s">
        <v>2263</v>
      </c>
      <c r="I1261" s="3928" t="s">
        <v>898</v>
      </c>
    </row>
    <row r="1262" spans="1:9" ht="11.25" customHeight="1">
      <c r="A1262" s="3928" t="s">
        <v>2258</v>
      </c>
      <c r="B1262" s="3928" t="s">
        <v>14</v>
      </c>
      <c r="C1262" s="3928" t="s">
        <v>6357</v>
      </c>
      <c r="D1262" s="3928" t="s">
        <v>6358</v>
      </c>
      <c r="E1262" s="3928" t="s">
        <v>6359</v>
      </c>
      <c r="F1262" s="3928" t="s">
        <v>2409</v>
      </c>
      <c r="G1262" s="3928" t="s">
        <v>6360</v>
      </c>
      <c r="H1262" s="3928" t="s">
        <v>2263</v>
      </c>
      <c r="I1262" s="3928" t="s">
        <v>898</v>
      </c>
    </row>
    <row r="1263" spans="1:9" ht="11.25" customHeight="1">
      <c r="A1263" s="3928" t="s">
        <v>2258</v>
      </c>
      <c r="B1263" s="3928" t="s">
        <v>14</v>
      </c>
      <c r="C1263" s="3928" t="s">
        <v>3112</v>
      </c>
      <c r="D1263" s="3928" t="s">
        <v>3113</v>
      </c>
      <c r="E1263" s="3928" t="s">
        <v>3114</v>
      </c>
      <c r="F1263" s="3928" t="s">
        <v>3115</v>
      </c>
      <c r="G1263" s="3928" t="s">
        <v>3116</v>
      </c>
      <c r="H1263" s="3928" t="s">
        <v>24</v>
      </c>
      <c r="I1263" s="3928" t="s">
        <v>898</v>
      </c>
    </row>
    <row r="1264" spans="1:9" ht="11.25" customHeight="1">
      <c r="A1264" s="3928" t="s">
        <v>2258</v>
      </c>
      <c r="B1264" s="3928" t="s">
        <v>14</v>
      </c>
      <c r="C1264" s="3928" t="s">
        <v>6361</v>
      </c>
      <c r="D1264" s="3928" t="s">
        <v>6362</v>
      </c>
      <c r="E1264" s="3928" t="s">
        <v>6363</v>
      </c>
      <c r="F1264" s="3928" t="s">
        <v>2424</v>
      </c>
      <c r="G1264" s="3928" t="s">
        <v>24</v>
      </c>
      <c r="H1264" s="3928" t="s">
        <v>2263</v>
      </c>
      <c r="I1264" s="3928" t="s">
        <v>898</v>
      </c>
    </row>
    <row r="1265" spans="1:9" ht="11.25" customHeight="1">
      <c r="A1265" s="3928" t="s">
        <v>2258</v>
      </c>
      <c r="B1265" s="3928" t="s">
        <v>14</v>
      </c>
      <c r="C1265" s="3928" t="s">
        <v>3122</v>
      </c>
      <c r="D1265" s="3928" t="s">
        <v>3123</v>
      </c>
      <c r="E1265" s="3928" t="s">
        <v>3124</v>
      </c>
      <c r="F1265" s="3928" t="s">
        <v>3125</v>
      </c>
      <c r="G1265" s="3928" t="s">
        <v>3126</v>
      </c>
      <c r="H1265" s="3928" t="s">
        <v>24</v>
      </c>
      <c r="I1265" s="3928" t="s">
        <v>898</v>
      </c>
    </row>
    <row r="1266" spans="1:9" ht="11.25" customHeight="1">
      <c r="A1266" s="3928" t="s">
        <v>2258</v>
      </c>
      <c r="B1266" s="3928" t="s">
        <v>14</v>
      </c>
      <c r="C1266" s="3928" t="s">
        <v>3130</v>
      </c>
      <c r="D1266" s="3928" t="s">
        <v>3131</v>
      </c>
      <c r="E1266" s="3928" t="s">
        <v>3132</v>
      </c>
      <c r="F1266" s="3928" t="s">
        <v>2469</v>
      </c>
      <c r="G1266" s="3928" t="s">
        <v>24</v>
      </c>
      <c r="H1266" s="3928" t="s">
        <v>24</v>
      </c>
      <c r="I1266" s="3928" t="s">
        <v>898</v>
      </c>
    </row>
    <row r="1267" spans="1:9" ht="11.25" customHeight="1">
      <c r="A1267" s="3928" t="s">
        <v>2258</v>
      </c>
      <c r="B1267" s="3928" t="s">
        <v>14</v>
      </c>
      <c r="C1267" s="3928" t="s">
        <v>3146</v>
      </c>
      <c r="D1267" s="3928" t="s">
        <v>3147</v>
      </c>
      <c r="E1267" s="3928" t="s">
        <v>3148</v>
      </c>
      <c r="F1267" s="3928" t="s">
        <v>2325</v>
      </c>
      <c r="G1267" s="3928" t="s">
        <v>24</v>
      </c>
      <c r="H1267" s="3928" t="s">
        <v>24</v>
      </c>
      <c r="I1267" s="3928" t="s">
        <v>898</v>
      </c>
    </row>
    <row r="1268" spans="1:9" ht="11.25" customHeight="1">
      <c r="A1268" s="3928" t="s">
        <v>2258</v>
      </c>
      <c r="B1268" s="3928" t="s">
        <v>14</v>
      </c>
      <c r="C1268" s="3928" t="s">
        <v>3152</v>
      </c>
      <c r="D1268" s="3928" t="s">
        <v>3150</v>
      </c>
      <c r="E1268" s="3928" t="s">
        <v>3151</v>
      </c>
      <c r="F1268" s="3928" t="s">
        <v>3153</v>
      </c>
      <c r="G1268" s="3928" t="s">
        <v>24</v>
      </c>
      <c r="H1268" s="3928" t="s">
        <v>3154</v>
      </c>
      <c r="I1268" s="3928" t="s">
        <v>898</v>
      </c>
    </row>
    <row r="1269" spans="1:9" ht="11.25" customHeight="1">
      <c r="A1269" s="3928" t="s">
        <v>2258</v>
      </c>
      <c r="B1269" s="3928" t="s">
        <v>14</v>
      </c>
      <c r="C1269" s="3928" t="s">
        <v>3165</v>
      </c>
      <c r="D1269" s="3928" t="s">
        <v>3166</v>
      </c>
      <c r="E1269" s="3928" t="s">
        <v>3167</v>
      </c>
      <c r="F1269" s="3928" t="s">
        <v>49</v>
      </c>
      <c r="G1269" s="3928" t="s">
        <v>24</v>
      </c>
      <c r="H1269" s="3928" t="s">
        <v>3168</v>
      </c>
      <c r="I1269" s="3928" t="s">
        <v>898</v>
      </c>
    </row>
    <row r="1270" spans="1:9" ht="11.25" customHeight="1">
      <c r="A1270" s="3928" t="s">
        <v>2258</v>
      </c>
      <c r="B1270" s="3928" t="s">
        <v>14</v>
      </c>
      <c r="C1270" s="3928" t="s">
        <v>3176</v>
      </c>
      <c r="D1270" s="3928" t="s">
        <v>3177</v>
      </c>
      <c r="E1270" s="3928" t="s">
        <v>3178</v>
      </c>
      <c r="F1270" s="3928" t="s">
        <v>2675</v>
      </c>
      <c r="G1270" s="3928" t="s">
        <v>3179</v>
      </c>
      <c r="H1270" s="3928" t="s">
        <v>24</v>
      </c>
      <c r="I1270" s="3928" t="s">
        <v>898</v>
      </c>
    </row>
    <row r="1271" spans="1:9" ht="11.25" customHeight="1">
      <c r="A1271" s="3928" t="s">
        <v>2258</v>
      </c>
      <c r="B1271" s="3928" t="s">
        <v>14</v>
      </c>
      <c r="C1271" s="3928" t="s">
        <v>3184</v>
      </c>
      <c r="D1271" s="3928" t="s">
        <v>3185</v>
      </c>
      <c r="E1271" s="3928" t="s">
        <v>3186</v>
      </c>
      <c r="F1271" s="3928" t="s">
        <v>3082</v>
      </c>
      <c r="G1271" s="3928" t="s">
        <v>24</v>
      </c>
      <c r="H1271" s="3928" t="s">
        <v>2263</v>
      </c>
      <c r="I1271" s="3928" t="s">
        <v>898</v>
      </c>
    </row>
    <row r="1272" spans="1:9" ht="11.25" customHeight="1">
      <c r="A1272" s="3928" t="s">
        <v>2258</v>
      </c>
      <c r="B1272" s="3928" t="s">
        <v>14</v>
      </c>
      <c r="C1272" s="3928" t="s">
        <v>3198</v>
      </c>
      <c r="D1272" s="3928" t="s">
        <v>3199</v>
      </c>
      <c r="E1272" s="3928" t="s">
        <v>3200</v>
      </c>
      <c r="F1272" s="3928" t="s">
        <v>3201</v>
      </c>
      <c r="G1272" s="3928" t="s">
        <v>24</v>
      </c>
      <c r="H1272" s="3928" t="s">
        <v>24</v>
      </c>
      <c r="I1272" s="3928" t="s">
        <v>898</v>
      </c>
    </row>
    <row r="1273" spans="1:9" ht="11.25" customHeight="1">
      <c r="A1273" s="3928" t="s">
        <v>2258</v>
      </c>
      <c r="B1273" s="3928" t="s">
        <v>14</v>
      </c>
      <c r="C1273" s="3928" t="s">
        <v>6364</v>
      </c>
      <c r="D1273" s="3928" t="s">
        <v>6365</v>
      </c>
      <c r="E1273" s="3928" t="s">
        <v>6366</v>
      </c>
      <c r="F1273" s="3928" t="s">
        <v>2299</v>
      </c>
      <c r="G1273" s="3928" t="s">
        <v>24</v>
      </c>
      <c r="H1273" s="3928" t="s">
        <v>24</v>
      </c>
      <c r="I1273" s="3928" t="s">
        <v>898</v>
      </c>
    </row>
    <row r="1274" spans="1:9" ht="11.25" customHeight="1">
      <c r="A1274" s="3928" t="s">
        <v>2258</v>
      </c>
      <c r="B1274" s="3928" t="s">
        <v>14</v>
      </c>
      <c r="C1274" s="3928" t="s">
        <v>3229</v>
      </c>
      <c r="D1274" s="3928" t="s">
        <v>3230</v>
      </c>
      <c r="E1274" s="3928" t="s">
        <v>3231</v>
      </c>
      <c r="F1274" s="3928" t="s">
        <v>2929</v>
      </c>
      <c r="G1274" s="3928" t="s">
        <v>3232</v>
      </c>
      <c r="H1274" s="3928" t="s">
        <v>24</v>
      </c>
      <c r="I1274" s="3928" t="s">
        <v>898</v>
      </c>
    </row>
    <row r="1275" spans="1:9" ht="11.25" customHeight="1">
      <c r="A1275" s="3928" t="s">
        <v>2258</v>
      </c>
      <c r="B1275" s="3928" t="s">
        <v>14</v>
      </c>
      <c r="C1275" s="3928" t="s">
        <v>3233</v>
      </c>
      <c r="D1275" s="3928" t="s">
        <v>3234</v>
      </c>
      <c r="E1275" s="3928" t="s">
        <v>3235</v>
      </c>
      <c r="F1275" s="3928" t="s">
        <v>2289</v>
      </c>
      <c r="G1275" s="3928" t="s">
        <v>3236</v>
      </c>
      <c r="H1275" s="3928" t="s">
        <v>24</v>
      </c>
      <c r="I1275" s="3928" t="s">
        <v>898</v>
      </c>
    </row>
    <row r="1276" spans="1:9" ht="11.25" customHeight="1">
      <c r="A1276" s="3928" t="s">
        <v>2258</v>
      </c>
      <c r="B1276" s="3928" t="s">
        <v>14</v>
      </c>
      <c r="C1276" s="3928" t="s">
        <v>3246</v>
      </c>
      <c r="D1276" s="3928" t="s">
        <v>3247</v>
      </c>
      <c r="E1276" s="3928" t="s">
        <v>3248</v>
      </c>
      <c r="F1276" s="3928" t="s">
        <v>2675</v>
      </c>
      <c r="G1276" s="3928" t="s">
        <v>3249</v>
      </c>
      <c r="H1276" s="3928" t="s">
        <v>24</v>
      </c>
      <c r="I1276" s="3928" t="s">
        <v>898</v>
      </c>
    </row>
    <row r="1277" spans="1:9" ht="11.25" customHeight="1">
      <c r="A1277" s="3928" t="s">
        <v>2258</v>
      </c>
      <c r="B1277" s="3928" t="s">
        <v>14</v>
      </c>
      <c r="C1277" s="3928" t="s">
        <v>3256</v>
      </c>
      <c r="D1277" s="3928" t="s">
        <v>3257</v>
      </c>
      <c r="E1277" s="3928" t="s">
        <v>3258</v>
      </c>
      <c r="F1277" s="3928" t="s">
        <v>2262</v>
      </c>
      <c r="G1277" s="3928" t="s">
        <v>24</v>
      </c>
      <c r="H1277" s="3928" t="s">
        <v>24</v>
      </c>
      <c r="I1277" s="3928" t="s">
        <v>898</v>
      </c>
    </row>
    <row r="1278" spans="1:9" ht="11.25" customHeight="1">
      <c r="A1278" s="3928" t="s">
        <v>2258</v>
      </c>
      <c r="B1278" s="3928" t="s">
        <v>14</v>
      </c>
      <c r="C1278" s="3928" t="s">
        <v>3262</v>
      </c>
      <c r="D1278" s="3928" t="s">
        <v>3263</v>
      </c>
      <c r="E1278" s="3928" t="s">
        <v>3264</v>
      </c>
      <c r="F1278" s="3928" t="s">
        <v>2397</v>
      </c>
      <c r="G1278" s="3928" t="s">
        <v>24</v>
      </c>
      <c r="H1278" s="3928" t="s">
        <v>2263</v>
      </c>
      <c r="I1278" s="3928" t="s">
        <v>898</v>
      </c>
    </row>
    <row r="1279" spans="1:9" ht="11.25" customHeight="1">
      <c r="A1279" s="3928" t="s">
        <v>2258</v>
      </c>
      <c r="B1279" s="3928" t="s">
        <v>14</v>
      </c>
      <c r="C1279" s="3928" t="s">
        <v>3268</v>
      </c>
      <c r="D1279" s="3928" t="s">
        <v>3269</v>
      </c>
      <c r="E1279" s="3928" t="s">
        <v>3270</v>
      </c>
      <c r="F1279" s="3928" t="s">
        <v>2473</v>
      </c>
      <c r="G1279" s="3928" t="s">
        <v>3271</v>
      </c>
      <c r="H1279" s="3928" t="s">
        <v>2263</v>
      </c>
      <c r="I1279" s="3928" t="s">
        <v>898</v>
      </c>
    </row>
    <row r="1280" spans="1:9" ht="11.25" customHeight="1">
      <c r="A1280" s="3928" t="s">
        <v>2258</v>
      </c>
      <c r="B1280" s="3928" t="s">
        <v>14</v>
      </c>
      <c r="C1280" s="3928" t="s">
        <v>3272</v>
      </c>
      <c r="D1280" s="3928" t="s">
        <v>3273</v>
      </c>
      <c r="E1280" s="3928" t="s">
        <v>3274</v>
      </c>
      <c r="F1280" s="3928" t="s">
        <v>3275</v>
      </c>
      <c r="G1280" s="3928" t="s">
        <v>3276</v>
      </c>
      <c r="H1280" s="3928" t="s">
        <v>24</v>
      </c>
      <c r="I1280" s="3928" t="s">
        <v>898</v>
      </c>
    </row>
    <row r="1281" spans="1:9" ht="11.25" customHeight="1">
      <c r="A1281" s="3928" t="s">
        <v>2258</v>
      </c>
      <c r="B1281" s="3928" t="s">
        <v>14</v>
      </c>
      <c r="C1281" s="3928" t="s">
        <v>3280</v>
      </c>
      <c r="D1281" s="3928" t="s">
        <v>3281</v>
      </c>
      <c r="E1281" s="3928" t="s">
        <v>3282</v>
      </c>
      <c r="F1281" s="3928" t="s">
        <v>2409</v>
      </c>
      <c r="G1281" s="3928" t="s">
        <v>3283</v>
      </c>
      <c r="H1281" s="3928" t="s">
        <v>24</v>
      </c>
      <c r="I1281" s="3928" t="s">
        <v>898</v>
      </c>
    </row>
    <row r="1282" spans="1:9" ht="11.25" customHeight="1">
      <c r="A1282" s="3928" t="s">
        <v>2258</v>
      </c>
      <c r="B1282" s="3928" t="s">
        <v>14</v>
      </c>
      <c r="C1282" s="3928" t="s">
        <v>6367</v>
      </c>
      <c r="D1282" s="3928" t="s">
        <v>6368</v>
      </c>
      <c r="E1282" s="3928" t="s">
        <v>6369</v>
      </c>
      <c r="F1282" s="3928" t="s">
        <v>2535</v>
      </c>
      <c r="G1282" s="3928" t="s">
        <v>24</v>
      </c>
      <c r="H1282" s="3928" t="s">
        <v>2263</v>
      </c>
      <c r="I1282" s="3928" t="s">
        <v>898</v>
      </c>
    </row>
    <row r="1283" spans="1:9" ht="11.25" customHeight="1">
      <c r="A1283" s="3928" t="s">
        <v>2258</v>
      </c>
      <c r="B1283" s="3928" t="s">
        <v>14</v>
      </c>
      <c r="C1283" s="3928" t="s">
        <v>3301</v>
      </c>
      <c r="D1283" s="3928" t="s">
        <v>3302</v>
      </c>
      <c r="E1283" s="3928" t="s">
        <v>3303</v>
      </c>
      <c r="F1283" s="3928" t="s">
        <v>2701</v>
      </c>
      <c r="G1283" s="3928" t="s">
        <v>24</v>
      </c>
      <c r="H1283" s="3928" t="s">
        <v>2263</v>
      </c>
      <c r="I1283" s="3928" t="s">
        <v>898</v>
      </c>
    </row>
    <row r="1284" spans="1:9" ht="11.25" customHeight="1">
      <c r="A1284" s="3928" t="s">
        <v>2258</v>
      </c>
      <c r="B1284" s="3928" t="s">
        <v>14</v>
      </c>
      <c r="C1284" s="3928" t="s">
        <v>3307</v>
      </c>
      <c r="D1284" s="3928" t="s">
        <v>3308</v>
      </c>
      <c r="E1284" s="3928" t="s">
        <v>3309</v>
      </c>
      <c r="F1284" s="3928" t="s">
        <v>3310</v>
      </c>
      <c r="G1284" s="3928" t="s">
        <v>24</v>
      </c>
      <c r="H1284" s="3928" t="s">
        <v>2263</v>
      </c>
      <c r="I1284" s="3928" t="s">
        <v>898</v>
      </c>
    </row>
    <row r="1285" spans="1:9" ht="11.25" customHeight="1">
      <c r="A1285" s="3928" t="s">
        <v>2258</v>
      </c>
      <c r="B1285" s="3928" t="s">
        <v>14</v>
      </c>
      <c r="C1285" s="3928" t="s">
        <v>3330</v>
      </c>
      <c r="D1285" s="3928" t="s">
        <v>3331</v>
      </c>
      <c r="E1285" s="3928" t="s">
        <v>3332</v>
      </c>
      <c r="F1285" s="3928" t="s">
        <v>664</v>
      </c>
      <c r="G1285" s="3928" t="s">
        <v>3333</v>
      </c>
      <c r="H1285" s="3928" t="s">
        <v>24</v>
      </c>
      <c r="I1285" s="3928" t="s">
        <v>898</v>
      </c>
    </row>
    <row r="1286" spans="1:9" ht="11.25" customHeight="1">
      <c r="A1286" s="3928" t="s">
        <v>2258</v>
      </c>
      <c r="B1286" s="3928" t="s">
        <v>14</v>
      </c>
      <c r="C1286" s="3928" t="s">
        <v>24</v>
      </c>
      <c r="D1286" s="3928" t="s">
        <v>3338</v>
      </c>
      <c r="E1286" s="3928" t="s">
        <v>3339</v>
      </c>
      <c r="F1286" s="3928" t="s">
        <v>2294</v>
      </c>
      <c r="G1286" s="3928" t="s">
        <v>24</v>
      </c>
      <c r="H1286" s="3928" t="s">
        <v>24</v>
      </c>
      <c r="I1286" s="3928" t="s">
        <v>898</v>
      </c>
    </row>
    <row r="1287" spans="1:9" ht="11.25" customHeight="1">
      <c r="A1287" s="3928" t="s">
        <v>2258</v>
      </c>
      <c r="B1287" s="3928" t="s">
        <v>14</v>
      </c>
      <c r="C1287" s="3928" t="s">
        <v>3340</v>
      </c>
      <c r="D1287" s="3928" t="s">
        <v>3341</v>
      </c>
      <c r="E1287" s="3928" t="s">
        <v>3342</v>
      </c>
      <c r="F1287" s="3928" t="s">
        <v>2796</v>
      </c>
      <c r="G1287" s="3928" t="s">
        <v>24</v>
      </c>
      <c r="H1287" s="3928" t="s">
        <v>3068</v>
      </c>
      <c r="I1287" s="3928" t="s">
        <v>898</v>
      </c>
    </row>
    <row r="1288" spans="1:9" ht="11.25" customHeight="1">
      <c r="A1288" s="3928" t="s">
        <v>2258</v>
      </c>
      <c r="B1288" s="3928" t="s">
        <v>14</v>
      </c>
      <c r="C1288" s="3928" t="s">
        <v>3350</v>
      </c>
      <c r="D1288" s="3928" t="s">
        <v>3351</v>
      </c>
      <c r="E1288" s="3928" t="s">
        <v>3352</v>
      </c>
      <c r="F1288" s="3928" t="s">
        <v>3353</v>
      </c>
      <c r="G1288" s="3928" t="s">
        <v>3354</v>
      </c>
      <c r="H1288" s="3928" t="s">
        <v>24</v>
      </c>
      <c r="I1288" s="3928" t="s">
        <v>898</v>
      </c>
    </row>
    <row r="1289" spans="1:9" ht="11.25" customHeight="1">
      <c r="A1289" s="3928" t="s">
        <v>2258</v>
      </c>
      <c r="B1289" s="3928" t="s">
        <v>14</v>
      </c>
      <c r="C1289" s="3928" t="s">
        <v>3355</v>
      </c>
      <c r="D1289" s="3928" t="s">
        <v>3356</v>
      </c>
      <c r="E1289" s="3928" t="s">
        <v>3357</v>
      </c>
      <c r="F1289" s="3928" t="s">
        <v>2414</v>
      </c>
      <c r="G1289" s="3928" t="s">
        <v>24</v>
      </c>
      <c r="H1289" s="3928" t="s">
        <v>24</v>
      </c>
      <c r="I1289" s="3928" t="s">
        <v>898</v>
      </c>
    </row>
    <row r="1290" spans="1:9" ht="11.25" customHeight="1">
      <c r="A1290" s="3928" t="s">
        <v>2258</v>
      </c>
      <c r="B1290" s="3928" t="s">
        <v>14</v>
      </c>
      <c r="C1290" s="3928" t="s">
        <v>3361</v>
      </c>
      <c r="D1290" s="3928" t="s">
        <v>3362</v>
      </c>
      <c r="E1290" s="3928" t="s">
        <v>2270</v>
      </c>
      <c r="F1290" s="3928" t="s">
        <v>3363</v>
      </c>
      <c r="G1290" s="3928" t="s">
        <v>24</v>
      </c>
      <c r="H1290" s="3928" t="s">
        <v>2272</v>
      </c>
      <c r="I1290" s="3928" t="s">
        <v>898</v>
      </c>
    </row>
    <row r="1291" spans="1:9" ht="11.25" customHeight="1">
      <c r="A1291" s="3928" t="s">
        <v>2258</v>
      </c>
      <c r="B1291" s="3928" t="s">
        <v>14</v>
      </c>
      <c r="C1291" s="3928" t="s">
        <v>3367</v>
      </c>
      <c r="D1291" s="3928" t="s">
        <v>3368</v>
      </c>
      <c r="E1291" s="3928" t="s">
        <v>3369</v>
      </c>
      <c r="F1291" s="3928" t="s">
        <v>3370</v>
      </c>
      <c r="G1291" s="3928" t="s">
        <v>3371</v>
      </c>
      <c r="H1291" s="3928" t="s">
        <v>24</v>
      </c>
      <c r="I1291" s="3928" t="s">
        <v>898</v>
      </c>
    </row>
    <row r="1292" spans="1:9" ht="11.25" customHeight="1">
      <c r="A1292" s="3928" t="s">
        <v>2258</v>
      </c>
      <c r="B1292" s="3928" t="s">
        <v>14</v>
      </c>
      <c r="C1292" s="3928" t="s">
        <v>3375</v>
      </c>
      <c r="D1292" s="3928" t="s">
        <v>629</v>
      </c>
      <c r="E1292" s="3928" t="s">
        <v>3376</v>
      </c>
      <c r="F1292" s="3928" t="s">
        <v>2486</v>
      </c>
      <c r="G1292" s="3928" t="s">
        <v>3377</v>
      </c>
      <c r="H1292" s="3928" t="s">
        <v>24</v>
      </c>
      <c r="I1292" s="3928" t="s">
        <v>898</v>
      </c>
    </row>
    <row r="1293" spans="1:9" ht="11.25" customHeight="1">
      <c r="A1293" s="3928" t="s">
        <v>2258</v>
      </c>
      <c r="B1293" s="3928" t="s">
        <v>14</v>
      </c>
      <c r="C1293" s="3928" t="s">
        <v>3378</v>
      </c>
      <c r="D1293" s="3928" t="s">
        <v>3379</v>
      </c>
      <c r="E1293" s="3928" t="s">
        <v>3380</v>
      </c>
      <c r="F1293" s="3928" t="s">
        <v>2486</v>
      </c>
      <c r="G1293" s="3928" t="s">
        <v>3381</v>
      </c>
      <c r="H1293" s="3928" t="s">
        <v>2475</v>
      </c>
      <c r="I1293" s="3928" t="s">
        <v>898</v>
      </c>
    </row>
    <row r="1294" spans="1:9" ht="11.25" customHeight="1">
      <c r="A1294" s="3928" t="s">
        <v>2258</v>
      </c>
      <c r="B1294" s="3928" t="s">
        <v>14</v>
      </c>
      <c r="C1294" s="3928" t="s">
        <v>3382</v>
      </c>
      <c r="D1294" s="3928" t="s">
        <v>3383</v>
      </c>
      <c r="E1294" s="3928" t="s">
        <v>3384</v>
      </c>
      <c r="F1294" s="3928" t="s">
        <v>2486</v>
      </c>
      <c r="G1294" s="3928" t="s">
        <v>3385</v>
      </c>
      <c r="H1294" s="3928" t="s">
        <v>2475</v>
      </c>
      <c r="I1294" s="3928" t="s">
        <v>898</v>
      </c>
    </row>
    <row r="1295" spans="1:9" ht="11.25" customHeight="1">
      <c r="A1295" s="3928" t="s">
        <v>2258</v>
      </c>
      <c r="B1295" s="3928" t="s">
        <v>14</v>
      </c>
      <c r="C1295" s="3928" t="s">
        <v>3389</v>
      </c>
      <c r="D1295" s="3928" t="s">
        <v>3390</v>
      </c>
      <c r="E1295" s="3928" t="s">
        <v>3391</v>
      </c>
      <c r="F1295" s="3928" t="s">
        <v>2409</v>
      </c>
      <c r="G1295" s="3928" t="s">
        <v>24</v>
      </c>
      <c r="H1295" s="3928" t="s">
        <v>2263</v>
      </c>
      <c r="I1295" s="3928" t="s">
        <v>898</v>
      </c>
    </row>
    <row r="1296" spans="1:9" ht="11.25" customHeight="1">
      <c r="A1296" s="3928" t="s">
        <v>2258</v>
      </c>
      <c r="B1296" s="3928" t="s">
        <v>14</v>
      </c>
      <c r="C1296" s="3928" t="s">
        <v>3392</v>
      </c>
      <c r="D1296" s="3928" t="s">
        <v>3393</v>
      </c>
      <c r="E1296" s="3928" t="s">
        <v>3394</v>
      </c>
      <c r="F1296" s="3928" t="s">
        <v>3353</v>
      </c>
      <c r="G1296" s="3928" t="s">
        <v>24</v>
      </c>
      <c r="H1296" s="3928" t="s">
        <v>3395</v>
      </c>
      <c r="I1296" s="3928" t="s">
        <v>898</v>
      </c>
    </row>
    <row r="1297" spans="1:9" ht="11.25" customHeight="1">
      <c r="A1297" s="3928" t="s">
        <v>2258</v>
      </c>
      <c r="B1297" s="3928" t="s">
        <v>14</v>
      </c>
      <c r="C1297" s="3928" t="s">
        <v>3399</v>
      </c>
      <c r="D1297" s="3928" t="s">
        <v>3400</v>
      </c>
      <c r="E1297" s="3928" t="s">
        <v>3401</v>
      </c>
      <c r="F1297" s="3928" t="s">
        <v>2965</v>
      </c>
      <c r="G1297" s="3928" t="s">
        <v>3402</v>
      </c>
      <c r="H1297" s="3928" t="s">
        <v>24</v>
      </c>
      <c r="I1297" s="3928" t="s">
        <v>898</v>
      </c>
    </row>
    <row r="1298" spans="1:9" ht="11.25" customHeight="1">
      <c r="A1298" s="3928" t="s">
        <v>2258</v>
      </c>
      <c r="B1298" s="3928" t="s">
        <v>14</v>
      </c>
      <c r="C1298" s="3928" t="s">
        <v>3403</v>
      </c>
      <c r="D1298" s="3928" t="s">
        <v>3404</v>
      </c>
      <c r="E1298" s="3928" t="s">
        <v>3405</v>
      </c>
      <c r="F1298" s="3928" t="s">
        <v>3406</v>
      </c>
      <c r="G1298" s="3928" t="s">
        <v>24</v>
      </c>
      <c r="H1298" s="3928" t="s">
        <v>2263</v>
      </c>
      <c r="I1298" s="3928" t="s">
        <v>898</v>
      </c>
    </row>
    <row r="1299" spans="1:9" ht="11.25" customHeight="1">
      <c r="A1299" s="3928" t="s">
        <v>2258</v>
      </c>
      <c r="B1299" s="3928" t="s">
        <v>14</v>
      </c>
      <c r="C1299" s="3928" t="s">
        <v>3407</v>
      </c>
      <c r="D1299" s="3928" t="s">
        <v>3408</v>
      </c>
      <c r="E1299" s="3928" t="s">
        <v>3409</v>
      </c>
      <c r="F1299" s="3928" t="s">
        <v>3082</v>
      </c>
      <c r="G1299" s="3928" t="s">
        <v>24</v>
      </c>
      <c r="H1299" s="3928" t="s">
        <v>24</v>
      </c>
      <c r="I1299" s="3928" t="s">
        <v>898</v>
      </c>
    </row>
    <row r="1300" spans="1:9" ht="11.25" customHeight="1">
      <c r="A1300" s="3928" t="s">
        <v>2258</v>
      </c>
      <c r="B1300" s="3928" t="s">
        <v>14</v>
      </c>
      <c r="C1300" s="3928" t="s">
        <v>3410</v>
      </c>
      <c r="D1300" s="3928" t="s">
        <v>3411</v>
      </c>
      <c r="E1300" s="3928" t="s">
        <v>3412</v>
      </c>
      <c r="F1300" s="3928" t="s">
        <v>2397</v>
      </c>
      <c r="G1300" s="3928" t="s">
        <v>3413</v>
      </c>
      <c r="H1300" s="3928" t="s">
        <v>24</v>
      </c>
      <c r="I1300" s="3928" t="s">
        <v>898</v>
      </c>
    </row>
    <row r="1301" spans="1:9" ht="11.25" customHeight="1">
      <c r="A1301" s="3928" t="s">
        <v>2258</v>
      </c>
      <c r="B1301" s="3928" t="s">
        <v>14</v>
      </c>
      <c r="C1301" s="3928" t="s">
        <v>3414</v>
      </c>
      <c r="D1301" s="3928" t="s">
        <v>3415</v>
      </c>
      <c r="E1301" s="3928" t="s">
        <v>3416</v>
      </c>
      <c r="F1301" s="3928" t="s">
        <v>3406</v>
      </c>
      <c r="G1301" s="3928" t="s">
        <v>24</v>
      </c>
      <c r="H1301" s="3928" t="s">
        <v>24</v>
      </c>
      <c r="I1301" s="3928" t="s">
        <v>898</v>
      </c>
    </row>
    <row r="1302" spans="1:9" ht="11.25" customHeight="1">
      <c r="A1302" s="3928" t="s">
        <v>2258</v>
      </c>
      <c r="B1302" s="3928" t="s">
        <v>14</v>
      </c>
      <c r="C1302" s="3928" t="s">
        <v>3417</v>
      </c>
      <c r="D1302" s="3928" t="s">
        <v>3418</v>
      </c>
      <c r="E1302" s="3928" t="s">
        <v>3419</v>
      </c>
      <c r="F1302" s="3928" t="s">
        <v>3420</v>
      </c>
      <c r="G1302" s="3928" t="s">
        <v>3421</v>
      </c>
      <c r="H1302" s="3928" t="s">
        <v>24</v>
      </c>
      <c r="I1302" s="3928" t="s">
        <v>898</v>
      </c>
    </row>
    <row r="1303" spans="1:9" ht="11.25" customHeight="1">
      <c r="A1303" s="3928" t="s">
        <v>2258</v>
      </c>
      <c r="B1303" s="3928" t="s">
        <v>14</v>
      </c>
      <c r="C1303" s="3928" t="s">
        <v>3422</v>
      </c>
      <c r="D1303" s="3928" t="s">
        <v>3423</v>
      </c>
      <c r="E1303" s="3928" t="s">
        <v>3424</v>
      </c>
      <c r="F1303" s="3928" t="s">
        <v>3353</v>
      </c>
      <c r="G1303" s="3928" t="s">
        <v>3425</v>
      </c>
      <c r="H1303" s="3928" t="s">
        <v>24</v>
      </c>
      <c r="I1303" s="3928" t="s">
        <v>898</v>
      </c>
    </row>
    <row r="1304" spans="1:9" ht="11.25" customHeight="1">
      <c r="A1304" s="3928" t="s">
        <v>2258</v>
      </c>
      <c r="B1304" s="3928" t="s">
        <v>14</v>
      </c>
      <c r="C1304" s="3928" t="s">
        <v>3429</v>
      </c>
      <c r="D1304" s="3928" t="s">
        <v>3430</v>
      </c>
      <c r="E1304" s="3928" t="s">
        <v>3431</v>
      </c>
      <c r="F1304" s="3928" t="s">
        <v>2638</v>
      </c>
      <c r="G1304" s="3928" t="s">
        <v>3432</v>
      </c>
      <c r="H1304" s="3928" t="s">
        <v>24</v>
      </c>
      <c r="I1304" s="3928" t="s">
        <v>898</v>
      </c>
    </row>
    <row r="1305" spans="1:9" ht="11.25" customHeight="1">
      <c r="A1305" s="3928" t="s">
        <v>2258</v>
      </c>
      <c r="B1305" s="3928" t="s">
        <v>14</v>
      </c>
      <c r="C1305" s="3928" t="s">
        <v>3433</v>
      </c>
      <c r="D1305" s="3928" t="s">
        <v>3434</v>
      </c>
      <c r="E1305" s="3928" t="s">
        <v>3435</v>
      </c>
      <c r="F1305" s="3928" t="s">
        <v>2344</v>
      </c>
      <c r="G1305" s="3928" t="s">
        <v>24</v>
      </c>
      <c r="H1305" s="3928" t="s">
        <v>2263</v>
      </c>
      <c r="I1305" s="3928" t="s">
        <v>898</v>
      </c>
    </row>
    <row r="1306" spans="1:9" ht="11.25" customHeight="1">
      <c r="A1306" s="3928" t="s">
        <v>2258</v>
      </c>
      <c r="B1306" s="3928" t="s">
        <v>14</v>
      </c>
      <c r="C1306" s="3928" t="s">
        <v>3436</v>
      </c>
      <c r="D1306" s="3928" t="s">
        <v>3437</v>
      </c>
      <c r="E1306" s="3928" t="s">
        <v>3438</v>
      </c>
      <c r="F1306" s="3928" t="s">
        <v>3439</v>
      </c>
      <c r="G1306" s="3928" t="s">
        <v>24</v>
      </c>
      <c r="H1306" s="3928" t="s">
        <v>3440</v>
      </c>
      <c r="I1306" s="3928" t="s">
        <v>898</v>
      </c>
    </row>
    <row r="1307" spans="1:9" ht="11.25" customHeight="1">
      <c r="A1307" s="3928" t="s">
        <v>2258</v>
      </c>
      <c r="B1307" s="3928" t="s">
        <v>14</v>
      </c>
      <c r="C1307" s="3928" t="s">
        <v>3441</v>
      </c>
      <c r="D1307" s="3928" t="s">
        <v>3442</v>
      </c>
      <c r="E1307" s="3928" t="s">
        <v>3443</v>
      </c>
      <c r="F1307" s="3928" t="s">
        <v>2397</v>
      </c>
      <c r="G1307" s="3928" t="s">
        <v>24</v>
      </c>
      <c r="H1307" s="3928" t="s">
        <v>24</v>
      </c>
      <c r="I1307" s="3928" t="s">
        <v>898</v>
      </c>
    </row>
    <row r="1308" spans="1:9" ht="11.25" customHeight="1">
      <c r="A1308" s="3928" t="s">
        <v>2258</v>
      </c>
      <c r="B1308" s="3928" t="s">
        <v>14</v>
      </c>
      <c r="C1308" s="3928" t="s">
        <v>3444</v>
      </c>
      <c r="D1308" s="3928" t="s">
        <v>3445</v>
      </c>
      <c r="E1308" s="3928" t="s">
        <v>3446</v>
      </c>
      <c r="F1308" s="3928" t="s">
        <v>2397</v>
      </c>
      <c r="G1308" s="3928" t="s">
        <v>3447</v>
      </c>
      <c r="H1308" s="3928" t="s">
        <v>24</v>
      </c>
      <c r="I1308" s="3928" t="s">
        <v>898</v>
      </c>
    </row>
    <row r="1309" spans="1:9" ht="11.25" customHeight="1">
      <c r="A1309" s="3928" t="s">
        <v>2258</v>
      </c>
      <c r="B1309" s="3928" t="s">
        <v>14</v>
      </c>
      <c r="C1309" s="3928" t="s">
        <v>3451</v>
      </c>
      <c r="D1309" s="3928" t="s">
        <v>3452</v>
      </c>
      <c r="E1309" s="3928" t="s">
        <v>3453</v>
      </c>
      <c r="F1309" s="3928" t="s">
        <v>2397</v>
      </c>
      <c r="G1309" s="3928" t="s">
        <v>24</v>
      </c>
      <c r="H1309" s="3928" t="s">
        <v>3075</v>
      </c>
      <c r="I1309" s="3928" t="s">
        <v>898</v>
      </c>
    </row>
    <row r="1310" spans="1:9" ht="11.25" customHeight="1">
      <c r="A1310" s="3928" t="s">
        <v>2258</v>
      </c>
      <c r="B1310" s="3928" t="s">
        <v>14</v>
      </c>
      <c r="C1310" s="3928" t="s">
        <v>3454</v>
      </c>
      <c r="D1310" s="3928" t="s">
        <v>3455</v>
      </c>
      <c r="E1310" s="3928" t="s">
        <v>3456</v>
      </c>
      <c r="F1310" s="3928" t="s">
        <v>3457</v>
      </c>
      <c r="G1310" s="3928" t="s">
        <v>24</v>
      </c>
      <c r="H1310" s="3928" t="s">
        <v>24</v>
      </c>
      <c r="I1310" s="3928" t="s">
        <v>898</v>
      </c>
    </row>
    <row r="1311" spans="1:9" ht="11.25" customHeight="1">
      <c r="A1311" s="3928" t="s">
        <v>2258</v>
      </c>
      <c r="B1311" s="3928" t="s">
        <v>14</v>
      </c>
      <c r="C1311" s="3928" t="s">
        <v>3458</v>
      </c>
      <c r="D1311" s="3928" t="s">
        <v>3459</v>
      </c>
      <c r="E1311" s="3928" t="s">
        <v>3460</v>
      </c>
      <c r="F1311" s="3928" t="s">
        <v>2473</v>
      </c>
      <c r="G1311" s="3928" t="s">
        <v>2961</v>
      </c>
      <c r="H1311" s="3928" t="s">
        <v>24</v>
      </c>
      <c r="I1311" s="3928" t="s">
        <v>898</v>
      </c>
    </row>
    <row r="1312" spans="1:9" ht="11.25" customHeight="1">
      <c r="A1312" s="3928" t="s">
        <v>2258</v>
      </c>
      <c r="B1312" s="3928" t="s">
        <v>14</v>
      </c>
      <c r="C1312" s="3928" t="s">
        <v>6370</v>
      </c>
      <c r="D1312" s="3928" t="s">
        <v>6371</v>
      </c>
      <c r="E1312" s="3928" t="s">
        <v>6372</v>
      </c>
      <c r="F1312" s="3928" t="s">
        <v>2405</v>
      </c>
      <c r="G1312" s="3928" t="s">
        <v>24</v>
      </c>
      <c r="H1312" s="3928" t="s">
        <v>2263</v>
      </c>
      <c r="I1312" s="3928" t="s">
        <v>898</v>
      </c>
    </row>
    <row r="1313" spans="1:9" ht="11.25" customHeight="1">
      <c r="A1313" s="3928" t="s">
        <v>2258</v>
      </c>
      <c r="B1313" s="3928" t="s">
        <v>14</v>
      </c>
      <c r="C1313" s="3928" t="s">
        <v>3467</v>
      </c>
      <c r="D1313" s="3928" t="s">
        <v>3468</v>
      </c>
      <c r="E1313" s="3928" t="s">
        <v>3469</v>
      </c>
      <c r="F1313" s="3928" t="s">
        <v>2424</v>
      </c>
      <c r="G1313" s="3928" t="s">
        <v>3470</v>
      </c>
      <c r="H1313" s="3928" t="s">
        <v>24</v>
      </c>
      <c r="I1313" s="3928" t="s">
        <v>898</v>
      </c>
    </row>
    <row r="1314" spans="1:9" ht="11.25" customHeight="1">
      <c r="A1314" s="3928" t="s">
        <v>2258</v>
      </c>
      <c r="B1314" s="3928" t="s">
        <v>14</v>
      </c>
      <c r="C1314" s="3928" t="s">
        <v>3471</v>
      </c>
      <c r="D1314" s="3928" t="s">
        <v>3472</v>
      </c>
      <c r="E1314" s="3928" t="s">
        <v>3473</v>
      </c>
      <c r="F1314" s="3928" t="s">
        <v>2522</v>
      </c>
      <c r="G1314" s="3928" t="s">
        <v>3474</v>
      </c>
      <c r="H1314" s="3928" t="s">
        <v>24</v>
      </c>
      <c r="I1314" s="3928" t="s">
        <v>898</v>
      </c>
    </row>
    <row r="1315" spans="1:9" ht="11.25" customHeight="1">
      <c r="A1315" s="3928" t="s">
        <v>2258</v>
      </c>
      <c r="B1315" s="3928" t="s">
        <v>14</v>
      </c>
      <c r="C1315" s="3928" t="s">
        <v>3475</v>
      </c>
      <c r="D1315" s="3928" t="s">
        <v>620</v>
      </c>
      <c r="E1315" s="3928" t="s">
        <v>3476</v>
      </c>
      <c r="F1315" s="3928" t="s">
        <v>2359</v>
      </c>
      <c r="G1315" s="3928" t="s">
        <v>3477</v>
      </c>
      <c r="H1315" s="3928" t="s">
        <v>24</v>
      </c>
      <c r="I1315" s="3928" t="s">
        <v>898</v>
      </c>
    </row>
    <row r="1316" spans="1:9" ht="11.25" customHeight="1">
      <c r="A1316" s="3928" t="s">
        <v>2258</v>
      </c>
      <c r="B1316" s="3928" t="s">
        <v>14</v>
      </c>
      <c r="C1316" s="3928" t="s">
        <v>3478</v>
      </c>
      <c r="D1316" s="3928" t="s">
        <v>3479</v>
      </c>
      <c r="E1316" s="3928" t="s">
        <v>3480</v>
      </c>
      <c r="F1316" s="3928" t="s">
        <v>2289</v>
      </c>
      <c r="G1316" s="3928" t="s">
        <v>3481</v>
      </c>
      <c r="H1316" s="3928" t="s">
        <v>24</v>
      </c>
      <c r="I1316" s="3928" t="s">
        <v>898</v>
      </c>
    </row>
    <row r="1317" spans="1:9" ht="11.25" customHeight="1">
      <c r="A1317" s="3928" t="s">
        <v>2258</v>
      </c>
      <c r="B1317" s="3928" t="s">
        <v>14</v>
      </c>
      <c r="C1317" s="3928" t="s">
        <v>3482</v>
      </c>
      <c r="D1317" s="3928" t="s">
        <v>3483</v>
      </c>
      <c r="E1317" s="3928" t="s">
        <v>3484</v>
      </c>
      <c r="F1317" s="3928" t="s">
        <v>2289</v>
      </c>
      <c r="G1317" s="3928" t="s">
        <v>24</v>
      </c>
      <c r="H1317" s="3928" t="s">
        <v>24</v>
      </c>
      <c r="I1317" s="3928" t="s">
        <v>898</v>
      </c>
    </row>
    <row r="1318" spans="1:9" ht="11.25" customHeight="1">
      <c r="A1318" s="3928" t="s">
        <v>2258</v>
      </c>
      <c r="B1318" s="3928" t="s">
        <v>14</v>
      </c>
      <c r="C1318" s="3928" t="s">
        <v>3488</v>
      </c>
      <c r="D1318" s="3928" t="s">
        <v>3489</v>
      </c>
      <c r="E1318" s="3928" t="s">
        <v>3490</v>
      </c>
      <c r="F1318" s="3928" t="s">
        <v>2262</v>
      </c>
      <c r="G1318" s="3928" t="s">
        <v>3491</v>
      </c>
      <c r="H1318" s="3928" t="s">
        <v>24</v>
      </c>
      <c r="I1318" s="3928" t="s">
        <v>898</v>
      </c>
    </row>
    <row r="1319" spans="1:9" ht="11.25" customHeight="1">
      <c r="A1319" s="3928" t="s">
        <v>2258</v>
      </c>
      <c r="B1319" s="3928" t="s">
        <v>14</v>
      </c>
      <c r="C1319" s="3928" t="s">
        <v>3492</v>
      </c>
      <c r="D1319" s="3928" t="s">
        <v>3493</v>
      </c>
      <c r="E1319" s="3928" t="s">
        <v>3494</v>
      </c>
      <c r="F1319" s="3928" t="s">
        <v>2464</v>
      </c>
      <c r="G1319" s="3928" t="s">
        <v>3495</v>
      </c>
      <c r="H1319" s="3928" t="s">
        <v>24</v>
      </c>
      <c r="I1319" s="3928" t="s">
        <v>898</v>
      </c>
    </row>
    <row r="1320" spans="1:9" ht="11.25" customHeight="1">
      <c r="A1320" s="3928" t="s">
        <v>2258</v>
      </c>
      <c r="B1320" s="3928" t="s">
        <v>14</v>
      </c>
      <c r="C1320" s="3928" t="s">
        <v>3496</v>
      </c>
      <c r="D1320" s="3928" t="s">
        <v>625</v>
      </c>
      <c r="E1320" s="3928" t="s">
        <v>3497</v>
      </c>
      <c r="F1320" s="3928" t="s">
        <v>2451</v>
      </c>
      <c r="G1320" s="3928" t="s">
        <v>3498</v>
      </c>
      <c r="H1320" s="3928" t="s">
        <v>24</v>
      </c>
      <c r="I1320" s="3928" t="s">
        <v>898</v>
      </c>
    </row>
    <row r="1321" spans="1:9" ht="11.25" customHeight="1">
      <c r="A1321" s="3928" t="s">
        <v>2258</v>
      </c>
      <c r="B1321" s="3928" t="s">
        <v>14</v>
      </c>
      <c r="C1321" s="3928" t="s">
        <v>6373</v>
      </c>
      <c r="D1321" s="3928" t="s">
        <v>628</v>
      </c>
      <c r="E1321" s="3928" t="s">
        <v>6374</v>
      </c>
      <c r="F1321" s="3928" t="s">
        <v>2688</v>
      </c>
      <c r="G1321" s="3928" t="s">
        <v>6375</v>
      </c>
      <c r="H1321" s="3928" t="s">
        <v>24</v>
      </c>
      <c r="I1321" s="3928" t="s">
        <v>898</v>
      </c>
    </row>
    <row r="1322" spans="1:9" ht="11.25" customHeight="1">
      <c r="A1322" s="3928" t="s">
        <v>2258</v>
      </c>
      <c r="B1322" s="3928" t="s">
        <v>14</v>
      </c>
      <c r="C1322" s="3928" t="s">
        <v>3502</v>
      </c>
      <c r="D1322" s="3928" t="s">
        <v>3503</v>
      </c>
      <c r="E1322" s="3928" t="s">
        <v>3504</v>
      </c>
      <c r="F1322" s="3928" t="s">
        <v>2409</v>
      </c>
      <c r="G1322" s="3928" t="s">
        <v>3505</v>
      </c>
      <c r="H1322" s="3928" t="s">
        <v>24</v>
      </c>
      <c r="I1322" s="3928" t="s">
        <v>898</v>
      </c>
    </row>
    <row r="1323" spans="1:9" ht="11.25" customHeight="1">
      <c r="A1323" s="3928" t="s">
        <v>2258</v>
      </c>
      <c r="B1323" s="3928" t="s">
        <v>14</v>
      </c>
      <c r="C1323" s="3928" t="s">
        <v>3506</v>
      </c>
      <c r="D1323" s="3928" t="s">
        <v>3507</v>
      </c>
      <c r="E1323" s="3928" t="s">
        <v>3508</v>
      </c>
      <c r="F1323" s="3928" t="s">
        <v>3509</v>
      </c>
      <c r="G1323" s="3928" t="s">
        <v>24</v>
      </c>
      <c r="H1323" s="3928" t="s">
        <v>3510</v>
      </c>
      <c r="I1323" s="3928" t="s">
        <v>898</v>
      </c>
    </row>
    <row r="1324" spans="1:9" ht="11.25" customHeight="1">
      <c r="A1324" s="3928" t="s">
        <v>2258</v>
      </c>
      <c r="B1324" s="3928" t="s">
        <v>14</v>
      </c>
      <c r="C1324" s="3928" t="s">
        <v>3511</v>
      </c>
      <c r="D1324" s="3928" t="s">
        <v>3512</v>
      </c>
      <c r="E1324" s="3928" t="s">
        <v>3513</v>
      </c>
      <c r="F1324" s="3928" t="s">
        <v>2262</v>
      </c>
      <c r="G1324" s="3928" t="s">
        <v>24</v>
      </c>
      <c r="H1324" s="3928" t="s">
        <v>2314</v>
      </c>
      <c r="I1324" s="3928" t="s">
        <v>898</v>
      </c>
    </row>
    <row r="1325" spans="1:9" ht="11.25" customHeight="1">
      <c r="A1325" s="3928" t="s">
        <v>2258</v>
      </c>
      <c r="B1325" s="3928" t="s">
        <v>14</v>
      </c>
      <c r="C1325" s="3928" t="s">
        <v>6376</v>
      </c>
      <c r="D1325" s="3928" t="s">
        <v>6377</v>
      </c>
      <c r="E1325" s="3928" t="s">
        <v>6378</v>
      </c>
      <c r="F1325" s="3928" t="s">
        <v>2486</v>
      </c>
      <c r="G1325" s="3928" t="s">
        <v>24</v>
      </c>
      <c r="H1325" s="3928" t="s">
        <v>3297</v>
      </c>
      <c r="I1325" s="3928" t="s">
        <v>898</v>
      </c>
    </row>
    <row r="1326" spans="1:9" ht="11.25" customHeight="1">
      <c r="A1326" s="3928" t="s">
        <v>2258</v>
      </c>
      <c r="B1326" s="3928" t="s">
        <v>14</v>
      </c>
      <c r="C1326" s="3928" t="s">
        <v>3514</v>
      </c>
      <c r="D1326" s="3928" t="s">
        <v>3515</v>
      </c>
      <c r="E1326" s="3928" t="s">
        <v>3516</v>
      </c>
      <c r="F1326" s="3928" t="s">
        <v>2451</v>
      </c>
      <c r="G1326" s="3928" t="s">
        <v>3517</v>
      </c>
      <c r="H1326" s="3928" t="s">
        <v>3518</v>
      </c>
      <c r="I1326" s="3928" t="s">
        <v>898</v>
      </c>
    </row>
    <row r="1327" spans="1:9" ht="11.25" customHeight="1">
      <c r="A1327" s="3928" t="s">
        <v>2258</v>
      </c>
      <c r="B1327" s="3928" t="s">
        <v>14</v>
      </c>
      <c r="C1327" s="3928" t="s">
        <v>3519</v>
      </c>
      <c r="D1327" s="3928" t="s">
        <v>3520</v>
      </c>
      <c r="E1327" s="3928" t="s">
        <v>3521</v>
      </c>
      <c r="F1327" s="3928" t="s">
        <v>49</v>
      </c>
      <c r="G1327" s="3928" t="s">
        <v>3522</v>
      </c>
      <c r="H1327" s="3928" t="s">
        <v>24</v>
      </c>
      <c r="I1327" s="3928" t="s">
        <v>898</v>
      </c>
    </row>
    <row r="1328" spans="1:9" ht="11.25" customHeight="1">
      <c r="A1328" s="3928" t="s">
        <v>2258</v>
      </c>
      <c r="B1328" s="3928" t="s">
        <v>14</v>
      </c>
      <c r="C1328" s="3928" t="s">
        <v>6379</v>
      </c>
      <c r="D1328" s="3928" t="s">
        <v>6380</v>
      </c>
      <c r="E1328" s="3928" t="s">
        <v>6381</v>
      </c>
      <c r="F1328" s="3928" t="s">
        <v>2486</v>
      </c>
      <c r="G1328" s="3928" t="s">
        <v>24</v>
      </c>
      <c r="H1328" s="3928" t="s">
        <v>6382</v>
      </c>
      <c r="I1328" s="3928" t="s">
        <v>898</v>
      </c>
    </row>
    <row r="1329" spans="1:9" ht="11.25" customHeight="1">
      <c r="A1329" s="3928" t="s">
        <v>2258</v>
      </c>
      <c r="B1329" s="3928" t="s">
        <v>14</v>
      </c>
      <c r="C1329" s="3928" t="s">
        <v>3526</v>
      </c>
      <c r="D1329" s="3928" t="s">
        <v>3527</v>
      </c>
      <c r="E1329" s="3928" t="s">
        <v>3528</v>
      </c>
      <c r="F1329" s="3928" t="s">
        <v>2701</v>
      </c>
      <c r="G1329" s="3928" t="s">
        <v>24</v>
      </c>
      <c r="H1329" s="3928" t="s">
        <v>2263</v>
      </c>
      <c r="I1329" s="3928" t="s">
        <v>898</v>
      </c>
    </row>
    <row r="1330" spans="1:9" ht="11.25" customHeight="1">
      <c r="A1330" s="3928" t="s">
        <v>2258</v>
      </c>
      <c r="B1330" s="3928" t="s">
        <v>14</v>
      </c>
      <c r="C1330" s="3928" t="s">
        <v>3529</v>
      </c>
      <c r="D1330" s="3928" t="s">
        <v>3530</v>
      </c>
      <c r="E1330" s="3928" t="s">
        <v>3531</v>
      </c>
      <c r="F1330" s="3928" t="s">
        <v>3532</v>
      </c>
      <c r="G1330" s="3928" t="s">
        <v>3533</v>
      </c>
      <c r="H1330" s="3928" t="s">
        <v>24</v>
      </c>
      <c r="I1330" s="3928" t="s">
        <v>898</v>
      </c>
    </row>
    <row r="1331" spans="1:9" ht="11.25" customHeight="1">
      <c r="A1331" s="3928" t="s">
        <v>2258</v>
      </c>
      <c r="B1331" s="3928" t="s">
        <v>14</v>
      </c>
      <c r="C1331" s="3928" t="s">
        <v>3537</v>
      </c>
      <c r="D1331" s="3928" t="s">
        <v>3538</v>
      </c>
      <c r="E1331" s="3928" t="s">
        <v>3539</v>
      </c>
      <c r="F1331" s="3928" t="s">
        <v>2424</v>
      </c>
      <c r="G1331" s="3928" t="s">
        <v>24</v>
      </c>
      <c r="H1331" s="3928" t="s">
        <v>3540</v>
      </c>
      <c r="I1331" s="3928" t="s">
        <v>898</v>
      </c>
    </row>
    <row r="1332" spans="1:9" ht="11.25" customHeight="1">
      <c r="A1332" s="3928" t="s">
        <v>2258</v>
      </c>
      <c r="B1332" s="3928" t="s">
        <v>14</v>
      </c>
      <c r="C1332" s="3928" t="s">
        <v>3541</v>
      </c>
      <c r="D1332" s="3928" t="s">
        <v>3542</v>
      </c>
      <c r="E1332" s="3928" t="s">
        <v>3543</v>
      </c>
      <c r="F1332" s="3928" t="s">
        <v>2289</v>
      </c>
      <c r="G1332" s="3928" t="s">
        <v>3544</v>
      </c>
      <c r="H1332" s="3928" t="s">
        <v>3545</v>
      </c>
      <c r="I1332" s="3928" t="s">
        <v>898</v>
      </c>
    </row>
    <row r="1333" spans="1:9" ht="11.25" customHeight="1">
      <c r="A1333" s="3928" t="s">
        <v>2258</v>
      </c>
      <c r="B1333" s="3928" t="s">
        <v>14</v>
      </c>
      <c r="C1333" s="3928" t="s">
        <v>3546</v>
      </c>
      <c r="D1333" s="3928" t="s">
        <v>3547</v>
      </c>
      <c r="E1333" s="3928" t="s">
        <v>3548</v>
      </c>
      <c r="F1333" s="3928" t="s">
        <v>2289</v>
      </c>
      <c r="G1333" s="3928" t="s">
        <v>3549</v>
      </c>
      <c r="H1333" s="3928" t="s">
        <v>24</v>
      </c>
      <c r="I1333" s="3928" t="s">
        <v>898</v>
      </c>
    </row>
    <row r="1334" spans="1:9" ht="11.25" customHeight="1">
      <c r="A1334" s="3928" t="s">
        <v>2258</v>
      </c>
      <c r="B1334" s="3928" t="s">
        <v>14</v>
      </c>
      <c r="C1334" s="3928" t="s">
        <v>3550</v>
      </c>
      <c r="D1334" s="3928" t="s">
        <v>3551</v>
      </c>
      <c r="E1334" s="3928" t="s">
        <v>3552</v>
      </c>
      <c r="F1334" s="3928" t="s">
        <v>2299</v>
      </c>
      <c r="G1334" s="3928" t="s">
        <v>24</v>
      </c>
      <c r="H1334" s="3928" t="s">
        <v>2263</v>
      </c>
      <c r="I1334" s="3928" t="s">
        <v>898</v>
      </c>
    </row>
    <row r="1335" spans="1:9" ht="11.25" customHeight="1">
      <c r="A1335" s="3928" t="s">
        <v>2258</v>
      </c>
      <c r="B1335" s="3928" t="s">
        <v>14</v>
      </c>
      <c r="C1335" s="3928" t="s">
        <v>3553</v>
      </c>
      <c r="D1335" s="3928" t="s">
        <v>3554</v>
      </c>
      <c r="E1335" s="3928" t="s">
        <v>3555</v>
      </c>
      <c r="F1335" s="3928" t="s">
        <v>2313</v>
      </c>
      <c r="G1335" s="3928" t="s">
        <v>24</v>
      </c>
      <c r="H1335" s="3928" t="s">
        <v>3556</v>
      </c>
      <c r="I1335" s="3928" t="s">
        <v>898</v>
      </c>
    </row>
    <row r="1336" spans="1:9" ht="11.25" customHeight="1">
      <c r="A1336" s="3928" t="s">
        <v>2258</v>
      </c>
      <c r="B1336" s="3928" t="s">
        <v>14</v>
      </c>
      <c r="C1336" s="3928" t="s">
        <v>3557</v>
      </c>
      <c r="D1336" s="3928" t="s">
        <v>3558</v>
      </c>
      <c r="E1336" s="3928" t="s">
        <v>3559</v>
      </c>
      <c r="F1336" s="3928" t="s">
        <v>49</v>
      </c>
      <c r="G1336" s="3928" t="s">
        <v>24</v>
      </c>
      <c r="H1336" s="3928" t="s">
        <v>3560</v>
      </c>
      <c r="I1336" s="3928" t="s">
        <v>898</v>
      </c>
    </row>
    <row r="1337" spans="1:9" ht="11.25" customHeight="1">
      <c r="A1337" s="3928" t="s">
        <v>2258</v>
      </c>
      <c r="B1337" s="3928" t="s">
        <v>14</v>
      </c>
      <c r="C1337" s="3928" t="s">
        <v>3561</v>
      </c>
      <c r="D1337" s="3928" t="s">
        <v>3562</v>
      </c>
      <c r="E1337" s="3928" t="s">
        <v>3563</v>
      </c>
      <c r="F1337" s="3928" t="s">
        <v>2831</v>
      </c>
      <c r="G1337" s="3928" t="s">
        <v>24</v>
      </c>
      <c r="H1337" s="3928" t="s">
        <v>2475</v>
      </c>
      <c r="I1337" s="3928" t="s">
        <v>898</v>
      </c>
    </row>
    <row r="1338" spans="1:9" ht="11.25" customHeight="1">
      <c r="A1338" s="3928" t="s">
        <v>2258</v>
      </c>
      <c r="B1338" s="3928" t="s">
        <v>14</v>
      </c>
      <c r="C1338" s="3928" t="s">
        <v>3564</v>
      </c>
      <c r="D1338" s="3928" t="s">
        <v>3565</v>
      </c>
      <c r="E1338" s="3928" t="s">
        <v>3566</v>
      </c>
      <c r="F1338" s="3928" t="s">
        <v>2552</v>
      </c>
      <c r="G1338" s="3928" t="s">
        <v>3567</v>
      </c>
      <c r="H1338" s="3928" t="s">
        <v>3568</v>
      </c>
      <c r="I1338" s="3928" t="s">
        <v>898</v>
      </c>
    </row>
    <row r="1339" spans="1:9" ht="11.25" customHeight="1">
      <c r="A1339" s="3928" t="s">
        <v>2258</v>
      </c>
      <c r="B1339" s="3928" t="s">
        <v>14</v>
      </c>
      <c r="C1339" s="3928" t="s">
        <v>3573</v>
      </c>
      <c r="D1339" s="3928" t="s">
        <v>3574</v>
      </c>
      <c r="E1339" s="3928" t="s">
        <v>3575</v>
      </c>
      <c r="F1339" s="3928" t="s">
        <v>2746</v>
      </c>
      <c r="G1339" s="3928" t="s">
        <v>3576</v>
      </c>
      <c r="H1339" s="3928" t="s">
        <v>2314</v>
      </c>
      <c r="I1339" s="3928" t="s">
        <v>898</v>
      </c>
    </row>
    <row r="1340" spans="1:9" ht="11.25" customHeight="1">
      <c r="A1340" s="3928" t="s">
        <v>2258</v>
      </c>
      <c r="B1340" s="3928" t="s">
        <v>14</v>
      </c>
      <c r="C1340" s="3928" t="s">
        <v>3577</v>
      </c>
      <c r="D1340" s="3928" t="s">
        <v>3578</v>
      </c>
      <c r="E1340" s="3928" t="s">
        <v>3579</v>
      </c>
      <c r="F1340" s="3928" t="s">
        <v>3580</v>
      </c>
      <c r="G1340" s="3928" t="s">
        <v>3581</v>
      </c>
      <c r="H1340" s="3928" t="s">
        <v>24</v>
      </c>
      <c r="I1340" s="3928" t="s">
        <v>898</v>
      </c>
    </row>
    <row r="1341" spans="1:9" ht="11.25" customHeight="1">
      <c r="A1341" s="3928" t="s">
        <v>2258</v>
      </c>
      <c r="B1341" s="3928" t="s">
        <v>14</v>
      </c>
      <c r="C1341" s="3928" t="s">
        <v>3582</v>
      </c>
      <c r="D1341" s="3928" t="s">
        <v>3583</v>
      </c>
      <c r="E1341" s="3928" t="s">
        <v>3584</v>
      </c>
      <c r="F1341" s="3928" t="s">
        <v>2304</v>
      </c>
      <c r="G1341" s="3928" t="s">
        <v>3585</v>
      </c>
      <c r="H1341" s="3928" t="s">
        <v>2263</v>
      </c>
      <c r="I1341" s="3928" t="s">
        <v>898</v>
      </c>
    </row>
    <row r="1342" spans="1:9" ht="11.25" customHeight="1">
      <c r="A1342" s="3928" t="s">
        <v>2258</v>
      </c>
      <c r="B1342" s="3928" t="s">
        <v>14</v>
      </c>
      <c r="C1342" s="3928" t="s">
        <v>3586</v>
      </c>
      <c r="D1342" s="3928" t="s">
        <v>3587</v>
      </c>
      <c r="E1342" s="3928" t="s">
        <v>3588</v>
      </c>
      <c r="F1342" s="3928" t="s">
        <v>2675</v>
      </c>
      <c r="G1342" s="3928" t="s">
        <v>3589</v>
      </c>
      <c r="H1342" s="3928" t="s">
        <v>3590</v>
      </c>
      <c r="I1342" s="3928" t="s">
        <v>898</v>
      </c>
    </row>
    <row r="1343" spans="1:9" ht="11.25" customHeight="1">
      <c r="A1343" s="3928" t="s">
        <v>2258</v>
      </c>
      <c r="B1343" s="3928" t="s">
        <v>14</v>
      </c>
      <c r="C1343" s="3928" t="s">
        <v>3591</v>
      </c>
      <c r="D1343" s="3928" t="s">
        <v>3592</v>
      </c>
      <c r="E1343" s="3928" t="s">
        <v>3593</v>
      </c>
      <c r="F1343" s="3928" t="s">
        <v>3509</v>
      </c>
      <c r="G1343" s="3928" t="s">
        <v>3594</v>
      </c>
      <c r="H1343" s="3928" t="s">
        <v>24</v>
      </c>
      <c r="I1343" s="3928" t="s">
        <v>898</v>
      </c>
    </row>
    <row r="1344" spans="1:9" ht="11.25" customHeight="1">
      <c r="A1344" s="3928" t="s">
        <v>2258</v>
      </c>
      <c r="B1344" s="3928" t="s">
        <v>14</v>
      </c>
      <c r="C1344" s="3928" t="s">
        <v>3602</v>
      </c>
      <c r="D1344" s="3928" t="s">
        <v>3603</v>
      </c>
      <c r="E1344" s="3928" t="s">
        <v>3604</v>
      </c>
      <c r="F1344" s="3928" t="s">
        <v>2675</v>
      </c>
      <c r="G1344" s="3928" t="s">
        <v>24</v>
      </c>
      <c r="H1344" s="3928" t="s">
        <v>3068</v>
      </c>
      <c r="I1344" s="3928" t="s">
        <v>898</v>
      </c>
    </row>
    <row r="1345" spans="1:9" ht="11.25" customHeight="1">
      <c r="A1345" s="3928" t="s">
        <v>2258</v>
      </c>
      <c r="B1345" s="3928" t="s">
        <v>14</v>
      </c>
      <c r="C1345" s="3928" t="s">
        <v>3605</v>
      </c>
      <c r="D1345" s="3928" t="s">
        <v>3606</v>
      </c>
      <c r="E1345" s="3928" t="s">
        <v>3607</v>
      </c>
      <c r="F1345" s="3928" t="s">
        <v>2771</v>
      </c>
      <c r="G1345" s="3928" t="s">
        <v>24</v>
      </c>
      <c r="H1345" s="3928" t="s">
        <v>3608</v>
      </c>
      <c r="I1345" s="3928" t="s">
        <v>898</v>
      </c>
    </row>
    <row r="1346" spans="1:9" ht="11.25" customHeight="1">
      <c r="A1346" s="3928" t="s">
        <v>2258</v>
      </c>
      <c r="B1346" s="3928" t="s">
        <v>14</v>
      </c>
      <c r="C1346" s="3928" t="s">
        <v>3609</v>
      </c>
      <c r="D1346" s="3928" t="s">
        <v>3610</v>
      </c>
      <c r="E1346" s="3928" t="s">
        <v>3611</v>
      </c>
      <c r="F1346" s="3928" t="s">
        <v>3612</v>
      </c>
      <c r="G1346" s="3928" t="s">
        <v>24</v>
      </c>
      <c r="H1346" s="3928" t="s">
        <v>2263</v>
      </c>
      <c r="I1346" s="3928" t="s">
        <v>898</v>
      </c>
    </row>
    <row r="1347" spans="1:9" ht="11.25" customHeight="1">
      <c r="A1347" s="3928" t="s">
        <v>2258</v>
      </c>
      <c r="B1347" s="3928" t="s">
        <v>14</v>
      </c>
      <c r="C1347" s="3928" t="s">
        <v>3616</v>
      </c>
      <c r="D1347" s="3928" t="s">
        <v>3617</v>
      </c>
      <c r="E1347" s="3928" t="s">
        <v>3618</v>
      </c>
      <c r="F1347" s="3928" t="s">
        <v>2780</v>
      </c>
      <c r="G1347" s="3928" t="s">
        <v>3619</v>
      </c>
      <c r="H1347" s="3928" t="s">
        <v>2263</v>
      </c>
      <c r="I1347" s="3928" t="s">
        <v>898</v>
      </c>
    </row>
    <row r="1348" spans="1:9" ht="11.25" customHeight="1">
      <c r="A1348" s="3928" t="s">
        <v>2258</v>
      </c>
      <c r="B1348" s="3928" t="s">
        <v>14</v>
      </c>
      <c r="C1348" s="3928" t="s">
        <v>3620</v>
      </c>
      <c r="D1348" s="3928" t="s">
        <v>3621</v>
      </c>
      <c r="E1348" s="3928" t="s">
        <v>3622</v>
      </c>
      <c r="F1348" s="3928" t="s">
        <v>2701</v>
      </c>
      <c r="G1348" s="3928" t="s">
        <v>3623</v>
      </c>
      <c r="H1348" s="3928" t="s">
        <v>24</v>
      </c>
      <c r="I1348" s="3928" t="s">
        <v>898</v>
      </c>
    </row>
    <row r="1349" spans="1:9" ht="11.25" customHeight="1">
      <c r="A1349" s="3928" t="s">
        <v>2258</v>
      </c>
      <c r="B1349" s="3928" t="s">
        <v>14</v>
      </c>
      <c r="C1349" s="3928" t="s">
        <v>3624</v>
      </c>
      <c r="D1349" s="3928" t="s">
        <v>3625</v>
      </c>
      <c r="E1349" s="3928" t="s">
        <v>3626</v>
      </c>
      <c r="F1349" s="3928" t="s">
        <v>2414</v>
      </c>
      <c r="G1349" s="3928" t="s">
        <v>3627</v>
      </c>
      <c r="H1349" s="3928" t="s">
        <v>24</v>
      </c>
      <c r="I1349" s="3928" t="s">
        <v>898</v>
      </c>
    </row>
    <row r="1350" spans="1:9" ht="11.25" customHeight="1">
      <c r="A1350" s="3928" t="s">
        <v>2258</v>
      </c>
      <c r="B1350" s="3928" t="s">
        <v>14</v>
      </c>
      <c r="C1350" s="3928" t="s">
        <v>3628</v>
      </c>
      <c r="D1350" s="3928" t="s">
        <v>3629</v>
      </c>
      <c r="E1350" s="3928" t="s">
        <v>3630</v>
      </c>
      <c r="F1350" s="3928" t="s">
        <v>2486</v>
      </c>
      <c r="G1350" s="3928" t="s">
        <v>24</v>
      </c>
      <c r="H1350" s="3928" t="s">
        <v>3631</v>
      </c>
      <c r="I1350" s="3928" t="s">
        <v>898</v>
      </c>
    </row>
    <row r="1351" spans="1:9" ht="11.25" customHeight="1">
      <c r="A1351" s="3928" t="s">
        <v>2258</v>
      </c>
      <c r="B1351" s="3928" t="s">
        <v>14</v>
      </c>
      <c r="C1351" s="3928" t="s">
        <v>3632</v>
      </c>
      <c r="D1351" s="3928" t="s">
        <v>3633</v>
      </c>
      <c r="E1351" s="3928" t="s">
        <v>3634</v>
      </c>
      <c r="F1351" s="3928" t="s">
        <v>2294</v>
      </c>
      <c r="G1351" s="3928" t="s">
        <v>3635</v>
      </c>
      <c r="H1351" s="3928" t="s">
        <v>3636</v>
      </c>
      <c r="I1351" s="3928" t="s">
        <v>898</v>
      </c>
    </row>
    <row r="1352" spans="1:9" ht="11.25" customHeight="1">
      <c r="A1352" s="3928" t="s">
        <v>2258</v>
      </c>
      <c r="B1352" s="3928" t="s">
        <v>14</v>
      </c>
      <c r="C1352" s="3928" t="s">
        <v>6383</v>
      </c>
      <c r="D1352" s="3928" t="s">
        <v>6384</v>
      </c>
      <c r="E1352" s="3928" t="s">
        <v>6385</v>
      </c>
      <c r="F1352" s="3928" t="s">
        <v>2424</v>
      </c>
      <c r="G1352" s="3928" t="s">
        <v>24</v>
      </c>
      <c r="H1352" s="3928" t="s">
        <v>3068</v>
      </c>
      <c r="I1352" s="3928" t="s">
        <v>898</v>
      </c>
    </row>
    <row r="1353" spans="1:9" ht="11.25" customHeight="1">
      <c r="A1353" s="3928" t="s">
        <v>2258</v>
      </c>
      <c r="B1353" s="3928" t="s">
        <v>14</v>
      </c>
      <c r="C1353" s="3928" t="s">
        <v>3637</v>
      </c>
      <c r="D1353" s="3928" t="s">
        <v>3638</v>
      </c>
      <c r="E1353" s="3928" t="s">
        <v>3639</v>
      </c>
      <c r="F1353" s="3928" t="s">
        <v>3353</v>
      </c>
      <c r="G1353" s="3928" t="s">
        <v>3640</v>
      </c>
      <c r="H1353" s="3928" t="s">
        <v>2263</v>
      </c>
      <c r="I1353" s="3928" t="s">
        <v>898</v>
      </c>
    </row>
    <row r="1354" spans="1:9" ht="11.25" customHeight="1">
      <c r="A1354" s="3928" t="s">
        <v>2258</v>
      </c>
      <c r="B1354" s="3928" t="s">
        <v>14</v>
      </c>
      <c r="C1354" s="3928" t="s">
        <v>3641</v>
      </c>
      <c r="D1354" s="3928" t="s">
        <v>3642</v>
      </c>
      <c r="E1354" s="3928" t="s">
        <v>3643</v>
      </c>
      <c r="F1354" s="3928" t="s">
        <v>2473</v>
      </c>
      <c r="G1354" s="3928" t="s">
        <v>3644</v>
      </c>
      <c r="H1354" s="3928" t="s">
        <v>3645</v>
      </c>
      <c r="I1354" s="3928" t="s">
        <v>898</v>
      </c>
    </row>
    <row r="1355" spans="1:9" ht="11.25" customHeight="1">
      <c r="A1355" s="3928" t="s">
        <v>2258</v>
      </c>
      <c r="B1355" s="3928" t="s">
        <v>14</v>
      </c>
      <c r="C1355" s="3928" t="s">
        <v>3649</v>
      </c>
      <c r="D1355" s="3928" t="s">
        <v>3650</v>
      </c>
      <c r="E1355" s="3928" t="s">
        <v>3651</v>
      </c>
      <c r="F1355" s="3928" t="s">
        <v>2375</v>
      </c>
      <c r="G1355" s="3928" t="s">
        <v>24</v>
      </c>
      <c r="H1355" s="3928" t="s">
        <v>2263</v>
      </c>
      <c r="I1355" s="3928" t="s">
        <v>898</v>
      </c>
    </row>
    <row r="1356" spans="1:9" ht="11.25" customHeight="1">
      <c r="A1356" s="3928" t="s">
        <v>2258</v>
      </c>
      <c r="B1356" s="3928" t="s">
        <v>14</v>
      </c>
      <c r="C1356" s="3928" t="s">
        <v>3652</v>
      </c>
      <c r="D1356" s="3928" t="s">
        <v>3653</v>
      </c>
      <c r="E1356" s="3928" t="s">
        <v>3654</v>
      </c>
      <c r="F1356" s="3928" t="s">
        <v>2486</v>
      </c>
      <c r="G1356" s="3928" t="s">
        <v>3655</v>
      </c>
      <c r="H1356" s="3928" t="s">
        <v>2475</v>
      </c>
      <c r="I1356" s="3928" t="s">
        <v>898</v>
      </c>
    </row>
    <row r="1357" spans="1:9" ht="11.25" customHeight="1">
      <c r="A1357" s="3928" t="s">
        <v>2258</v>
      </c>
      <c r="B1357" s="3928" t="s">
        <v>14</v>
      </c>
      <c r="C1357" s="3928" t="s">
        <v>3656</v>
      </c>
      <c r="D1357" s="3928" t="s">
        <v>3657</v>
      </c>
      <c r="E1357" s="3928" t="s">
        <v>3658</v>
      </c>
      <c r="F1357" s="3928" t="s">
        <v>2701</v>
      </c>
      <c r="G1357" s="3928" t="s">
        <v>3659</v>
      </c>
      <c r="H1357" s="3928" t="s">
        <v>24</v>
      </c>
      <c r="I1357" s="3928" t="s">
        <v>898</v>
      </c>
    </row>
    <row r="1358" spans="1:9" ht="11.25" customHeight="1">
      <c r="A1358" s="3928" t="s">
        <v>2258</v>
      </c>
      <c r="B1358" s="3928" t="s">
        <v>14</v>
      </c>
      <c r="C1358" s="3928" t="s">
        <v>3660</v>
      </c>
      <c r="D1358" s="3928" t="s">
        <v>3661</v>
      </c>
      <c r="E1358" s="3928" t="s">
        <v>3662</v>
      </c>
      <c r="F1358" s="3928" t="s">
        <v>2349</v>
      </c>
      <c r="G1358" s="3928" t="s">
        <v>24</v>
      </c>
      <c r="H1358" s="3928" t="s">
        <v>24</v>
      </c>
      <c r="I1358" s="3928" t="s">
        <v>898</v>
      </c>
    </row>
    <row r="1359" spans="1:9" ht="11.25" customHeight="1">
      <c r="A1359" s="3928" t="s">
        <v>2258</v>
      </c>
      <c r="B1359" s="3928" t="s">
        <v>14</v>
      </c>
      <c r="C1359" s="3928" t="s">
        <v>3663</v>
      </c>
      <c r="D1359" s="3928" t="s">
        <v>3664</v>
      </c>
      <c r="E1359" s="3928" t="s">
        <v>3665</v>
      </c>
      <c r="F1359" s="3928" t="s">
        <v>2438</v>
      </c>
      <c r="G1359" s="3928" t="s">
        <v>3666</v>
      </c>
      <c r="H1359" s="3928" t="s">
        <v>24</v>
      </c>
      <c r="I1359" s="3928" t="s">
        <v>898</v>
      </c>
    </row>
    <row r="1360" spans="1:9" ht="11.25" customHeight="1">
      <c r="A1360" s="3928" t="s">
        <v>2258</v>
      </c>
      <c r="B1360" s="3928" t="s">
        <v>14</v>
      </c>
      <c r="C1360" s="3928" t="s">
        <v>3667</v>
      </c>
      <c r="D1360" s="3928" t="s">
        <v>3668</v>
      </c>
      <c r="E1360" s="3928" t="s">
        <v>3669</v>
      </c>
      <c r="F1360" s="3928" t="s">
        <v>2675</v>
      </c>
      <c r="G1360" s="3928" t="s">
        <v>3670</v>
      </c>
      <c r="H1360" s="3928" t="s">
        <v>24</v>
      </c>
      <c r="I1360" s="3928" t="s">
        <v>898</v>
      </c>
    </row>
    <row r="1361" spans="1:9" ht="11.25" customHeight="1">
      <c r="A1361" s="3928" t="s">
        <v>2258</v>
      </c>
      <c r="B1361" s="3928" t="s">
        <v>14</v>
      </c>
      <c r="C1361" s="3928" t="s">
        <v>3671</v>
      </c>
      <c r="D1361" s="3928" t="s">
        <v>3672</v>
      </c>
      <c r="E1361" s="3928" t="s">
        <v>3673</v>
      </c>
      <c r="F1361" s="3928" t="s">
        <v>2451</v>
      </c>
      <c r="G1361" s="3928" t="s">
        <v>3674</v>
      </c>
      <c r="H1361" s="3928" t="s">
        <v>24</v>
      </c>
      <c r="I1361" s="3928" t="s">
        <v>898</v>
      </c>
    </row>
    <row r="1362" spans="1:9" ht="11.25" customHeight="1">
      <c r="A1362" s="3928" t="s">
        <v>2258</v>
      </c>
      <c r="B1362" s="3928" t="s">
        <v>14</v>
      </c>
      <c r="C1362" s="3928" t="s">
        <v>3675</v>
      </c>
      <c r="D1362" s="3928" t="s">
        <v>3676</v>
      </c>
      <c r="E1362" s="3928" t="s">
        <v>3677</v>
      </c>
      <c r="F1362" s="3928" t="s">
        <v>2771</v>
      </c>
      <c r="G1362" s="3928" t="s">
        <v>3678</v>
      </c>
      <c r="H1362" s="3928" t="s">
        <v>3679</v>
      </c>
      <c r="I1362" s="3928" t="s">
        <v>898</v>
      </c>
    </row>
    <row r="1363" spans="1:9" ht="11.25" customHeight="1">
      <c r="A1363" s="3928" t="s">
        <v>2258</v>
      </c>
      <c r="B1363" s="3928" t="s">
        <v>14</v>
      </c>
      <c r="C1363" s="3928" t="s">
        <v>3683</v>
      </c>
      <c r="D1363" s="3928" t="s">
        <v>3684</v>
      </c>
      <c r="E1363" s="3928" t="s">
        <v>3685</v>
      </c>
      <c r="F1363" s="3928" t="s">
        <v>49</v>
      </c>
      <c r="G1363" s="3928" t="s">
        <v>3686</v>
      </c>
      <c r="H1363" s="3928" t="s">
        <v>2475</v>
      </c>
      <c r="I1363" s="3928" t="s">
        <v>898</v>
      </c>
    </row>
    <row r="1364" spans="1:9" ht="11.25" customHeight="1">
      <c r="A1364" s="3928" t="s">
        <v>2258</v>
      </c>
      <c r="B1364" s="3928" t="s">
        <v>14</v>
      </c>
      <c r="C1364" s="3928" t="s">
        <v>3687</v>
      </c>
      <c r="D1364" s="3928" t="s">
        <v>3688</v>
      </c>
      <c r="E1364" s="3928" t="s">
        <v>3689</v>
      </c>
      <c r="F1364" s="3928" t="s">
        <v>2675</v>
      </c>
      <c r="G1364" s="3928" t="s">
        <v>3690</v>
      </c>
      <c r="H1364" s="3928" t="s">
        <v>3691</v>
      </c>
      <c r="I1364" s="3928" t="s">
        <v>898</v>
      </c>
    </row>
    <row r="1365" spans="1:9" ht="11.25" customHeight="1">
      <c r="A1365" s="3928" t="s">
        <v>2258</v>
      </c>
      <c r="B1365" s="3928" t="s">
        <v>14</v>
      </c>
      <c r="C1365" s="3928" t="s">
        <v>3695</v>
      </c>
      <c r="D1365" s="3928" t="s">
        <v>3696</v>
      </c>
      <c r="E1365" s="3928" t="s">
        <v>3697</v>
      </c>
      <c r="F1365" s="3928" t="s">
        <v>2898</v>
      </c>
      <c r="G1365" s="3928" t="s">
        <v>3698</v>
      </c>
      <c r="H1365" s="3928" t="s">
        <v>3699</v>
      </c>
      <c r="I1365" s="3928" t="s">
        <v>898</v>
      </c>
    </row>
    <row r="1366" spans="1:9" ht="11.25" customHeight="1">
      <c r="A1366" s="3928" t="s">
        <v>2258</v>
      </c>
      <c r="B1366" s="3928" t="s">
        <v>14</v>
      </c>
      <c r="C1366" s="3928" t="s">
        <v>3700</v>
      </c>
      <c r="D1366" s="3928" t="s">
        <v>3701</v>
      </c>
      <c r="E1366" s="3928" t="s">
        <v>3702</v>
      </c>
      <c r="F1366" s="3928" t="s">
        <v>3703</v>
      </c>
      <c r="G1366" s="3928" t="s">
        <v>3704</v>
      </c>
      <c r="H1366" s="3928" t="s">
        <v>24</v>
      </c>
      <c r="I1366" s="3928" t="s">
        <v>898</v>
      </c>
    </row>
    <row r="1367" spans="1:9" ht="11.25" customHeight="1">
      <c r="A1367" s="3928" t="s">
        <v>2258</v>
      </c>
      <c r="B1367" s="3928" t="s">
        <v>14</v>
      </c>
      <c r="C1367" s="3928" t="s">
        <v>3705</v>
      </c>
      <c r="D1367" s="3928" t="s">
        <v>3706</v>
      </c>
      <c r="E1367" s="3928" t="s">
        <v>3707</v>
      </c>
      <c r="F1367" s="3928" t="s">
        <v>2675</v>
      </c>
      <c r="G1367" s="3928" t="s">
        <v>3708</v>
      </c>
      <c r="H1367" s="3928" t="s">
        <v>24</v>
      </c>
      <c r="I1367" s="3928" t="s">
        <v>898</v>
      </c>
    </row>
    <row r="1368" spans="1:9" ht="11.25" customHeight="1">
      <c r="A1368" s="3928" t="s">
        <v>2258</v>
      </c>
      <c r="B1368" s="3928" t="s">
        <v>14</v>
      </c>
      <c r="C1368" s="3928" t="s">
        <v>3709</v>
      </c>
      <c r="D1368" s="3928" t="s">
        <v>3710</v>
      </c>
      <c r="E1368" s="3928" t="s">
        <v>3711</v>
      </c>
      <c r="F1368" s="3928" t="s">
        <v>2675</v>
      </c>
      <c r="G1368" s="3928" t="s">
        <v>3712</v>
      </c>
      <c r="H1368" s="3928" t="s">
        <v>3713</v>
      </c>
      <c r="I1368" s="3928" t="s">
        <v>898</v>
      </c>
    </row>
    <row r="1369" spans="1:9" ht="11.25" customHeight="1">
      <c r="A1369" s="3928" t="s">
        <v>2258</v>
      </c>
      <c r="B1369" s="3928" t="s">
        <v>14</v>
      </c>
      <c r="C1369" s="3928" t="s">
        <v>3714</v>
      </c>
      <c r="D1369" s="3928" t="s">
        <v>3715</v>
      </c>
      <c r="E1369" s="3928" t="s">
        <v>3716</v>
      </c>
      <c r="F1369" s="3928" t="s">
        <v>2688</v>
      </c>
      <c r="G1369" s="3928" t="s">
        <v>24</v>
      </c>
      <c r="H1369" s="3928" t="s">
        <v>3717</v>
      </c>
      <c r="I1369" s="3928" t="s">
        <v>898</v>
      </c>
    </row>
    <row r="1370" spans="1:9" ht="11.25" customHeight="1">
      <c r="A1370" s="3928" t="s">
        <v>2258</v>
      </c>
      <c r="B1370" s="3928" t="s">
        <v>14</v>
      </c>
      <c r="C1370" s="3928" t="s">
        <v>3721</v>
      </c>
      <c r="D1370" s="3928" t="s">
        <v>3722</v>
      </c>
      <c r="E1370" s="3928" t="s">
        <v>3723</v>
      </c>
      <c r="F1370" s="3928" t="s">
        <v>2375</v>
      </c>
      <c r="G1370" s="3928" t="s">
        <v>24</v>
      </c>
      <c r="H1370" s="3928" t="s">
        <v>2263</v>
      </c>
      <c r="I1370" s="3928" t="s">
        <v>898</v>
      </c>
    </row>
    <row r="1371" spans="1:9" ht="11.25" customHeight="1">
      <c r="A1371" s="3928" t="s">
        <v>2258</v>
      </c>
      <c r="B1371" s="3928" t="s">
        <v>14</v>
      </c>
      <c r="C1371" s="3928" t="s">
        <v>3724</v>
      </c>
      <c r="D1371" s="3928" t="s">
        <v>3725</v>
      </c>
      <c r="E1371" s="3928" t="s">
        <v>3726</v>
      </c>
      <c r="F1371" s="3928" t="s">
        <v>2701</v>
      </c>
      <c r="G1371" s="3928" t="s">
        <v>3727</v>
      </c>
      <c r="H1371" s="3928" t="s">
        <v>24</v>
      </c>
      <c r="I1371" s="3928" t="s">
        <v>898</v>
      </c>
    </row>
    <row r="1372" spans="1:9" ht="11.25" customHeight="1">
      <c r="A1372" s="3928" t="s">
        <v>2258</v>
      </c>
      <c r="B1372" s="3928" t="s">
        <v>14</v>
      </c>
      <c r="C1372" s="3928" t="s">
        <v>3732</v>
      </c>
      <c r="D1372" s="3928" t="s">
        <v>3733</v>
      </c>
      <c r="E1372" s="3928" t="s">
        <v>3734</v>
      </c>
      <c r="F1372" s="3928" t="s">
        <v>2473</v>
      </c>
      <c r="G1372" s="3928" t="s">
        <v>3735</v>
      </c>
      <c r="H1372" s="3928" t="s">
        <v>2945</v>
      </c>
      <c r="I1372" s="3928" t="s">
        <v>898</v>
      </c>
    </row>
    <row r="1373" spans="1:9" ht="11.25" customHeight="1">
      <c r="A1373" s="3928" t="s">
        <v>2258</v>
      </c>
      <c r="B1373" s="3928" t="s">
        <v>14</v>
      </c>
      <c r="C1373" s="3928" t="s">
        <v>3736</v>
      </c>
      <c r="D1373" s="3928" t="s">
        <v>3737</v>
      </c>
      <c r="E1373" s="3928" t="s">
        <v>3738</v>
      </c>
      <c r="F1373" s="3928" t="s">
        <v>2771</v>
      </c>
      <c r="G1373" s="3928" t="s">
        <v>3739</v>
      </c>
      <c r="H1373" s="3928" t="s">
        <v>24</v>
      </c>
      <c r="I1373" s="3928" t="s">
        <v>898</v>
      </c>
    </row>
    <row r="1374" spans="1:9" ht="11.25" customHeight="1">
      <c r="A1374" s="3928" t="s">
        <v>2258</v>
      </c>
      <c r="B1374" s="3928" t="s">
        <v>14</v>
      </c>
      <c r="C1374" s="3928" t="s">
        <v>3740</v>
      </c>
      <c r="D1374" s="3928" t="s">
        <v>3741</v>
      </c>
      <c r="E1374" s="3928" t="s">
        <v>3742</v>
      </c>
      <c r="F1374" s="3928" t="s">
        <v>2535</v>
      </c>
      <c r="G1374" s="3928" t="s">
        <v>3743</v>
      </c>
      <c r="H1374" s="3928" t="s">
        <v>24</v>
      </c>
      <c r="I1374" s="3928" t="s">
        <v>898</v>
      </c>
    </row>
    <row r="1375" spans="1:9" ht="11.25" customHeight="1">
      <c r="A1375" s="3928" t="s">
        <v>2258</v>
      </c>
      <c r="B1375" s="3928" t="s">
        <v>14</v>
      </c>
      <c r="C1375" s="3928" t="s">
        <v>3744</v>
      </c>
      <c r="D1375" s="3928" t="s">
        <v>3745</v>
      </c>
      <c r="E1375" s="3928" t="s">
        <v>3746</v>
      </c>
      <c r="F1375" s="3928" t="s">
        <v>3323</v>
      </c>
      <c r="G1375" s="3928" t="s">
        <v>24</v>
      </c>
      <c r="H1375" s="3928" t="s">
        <v>24</v>
      </c>
      <c r="I1375" s="3928" t="s">
        <v>898</v>
      </c>
    </row>
    <row r="1376" spans="1:9" ht="11.25" customHeight="1">
      <c r="A1376" s="3928" t="s">
        <v>2258</v>
      </c>
      <c r="B1376" s="3928" t="s">
        <v>14</v>
      </c>
      <c r="C1376" s="3928" t="s">
        <v>3750</v>
      </c>
      <c r="D1376" s="3928" t="s">
        <v>3751</v>
      </c>
      <c r="E1376" s="3928" t="s">
        <v>3752</v>
      </c>
      <c r="F1376" s="3928" t="s">
        <v>2552</v>
      </c>
      <c r="G1376" s="3928" t="s">
        <v>3753</v>
      </c>
      <c r="H1376" s="3928" t="s">
        <v>24</v>
      </c>
      <c r="I1376" s="3928" t="s">
        <v>898</v>
      </c>
    </row>
    <row r="1377" spans="1:9" ht="11.25" customHeight="1">
      <c r="A1377" s="3928" t="s">
        <v>2258</v>
      </c>
      <c r="B1377" s="3928" t="s">
        <v>14</v>
      </c>
      <c r="C1377" s="3928" t="s">
        <v>3754</v>
      </c>
      <c r="D1377" s="3928" t="s">
        <v>3755</v>
      </c>
      <c r="E1377" s="3928" t="s">
        <v>3756</v>
      </c>
      <c r="F1377" s="3928" t="s">
        <v>2898</v>
      </c>
      <c r="G1377" s="3928" t="s">
        <v>24</v>
      </c>
      <c r="H1377" s="3928" t="s">
        <v>3395</v>
      </c>
      <c r="I1377" s="3928" t="s">
        <v>898</v>
      </c>
    </row>
    <row r="1378" spans="1:9" ht="11.25" customHeight="1">
      <c r="A1378" s="3928" t="s">
        <v>2258</v>
      </c>
      <c r="B1378" s="3928" t="s">
        <v>14</v>
      </c>
      <c r="C1378" s="3928" t="s">
        <v>3757</v>
      </c>
      <c r="D1378" s="3928" t="s">
        <v>3755</v>
      </c>
      <c r="E1378" s="3928" t="s">
        <v>3758</v>
      </c>
      <c r="F1378" s="3928" t="s">
        <v>2522</v>
      </c>
      <c r="G1378" s="3928" t="s">
        <v>2925</v>
      </c>
      <c r="H1378" s="3928" t="s">
        <v>2756</v>
      </c>
      <c r="I1378" s="3928" t="s">
        <v>898</v>
      </c>
    </row>
    <row r="1379" spans="1:9" ht="11.25" customHeight="1">
      <c r="A1379" s="3928" t="s">
        <v>2258</v>
      </c>
      <c r="B1379" s="3928" t="s">
        <v>14</v>
      </c>
      <c r="C1379" s="3928" t="s">
        <v>3759</v>
      </c>
      <c r="D1379" s="3928" t="s">
        <v>3755</v>
      </c>
      <c r="E1379" s="3928" t="s">
        <v>3760</v>
      </c>
      <c r="F1379" s="3928" t="s">
        <v>2675</v>
      </c>
      <c r="G1379" s="3928" t="s">
        <v>24</v>
      </c>
      <c r="H1379" s="3928" t="s">
        <v>3761</v>
      </c>
      <c r="I1379" s="3928" t="s">
        <v>898</v>
      </c>
    </row>
    <row r="1380" spans="1:9" ht="11.25" customHeight="1">
      <c r="A1380" s="3928" t="s">
        <v>2258</v>
      </c>
      <c r="B1380" s="3928" t="s">
        <v>14</v>
      </c>
      <c r="C1380" s="3928" t="s">
        <v>3762</v>
      </c>
      <c r="D1380" s="3928" t="s">
        <v>3763</v>
      </c>
      <c r="E1380" s="3928" t="s">
        <v>3764</v>
      </c>
      <c r="F1380" s="3928" t="s">
        <v>2414</v>
      </c>
      <c r="G1380" s="3928" t="s">
        <v>24</v>
      </c>
      <c r="H1380" s="3928" t="s">
        <v>3064</v>
      </c>
      <c r="I1380" s="3928" t="s">
        <v>898</v>
      </c>
    </row>
    <row r="1381" spans="1:9" ht="11.25" customHeight="1">
      <c r="A1381" s="3928" t="s">
        <v>2258</v>
      </c>
      <c r="B1381" s="3928" t="s">
        <v>14</v>
      </c>
      <c r="C1381" s="3928" t="s">
        <v>3765</v>
      </c>
      <c r="D1381" s="3928" t="s">
        <v>3766</v>
      </c>
      <c r="E1381" s="3928" t="s">
        <v>3767</v>
      </c>
      <c r="F1381" s="3928" t="s">
        <v>2419</v>
      </c>
      <c r="G1381" s="3928" t="s">
        <v>24</v>
      </c>
      <c r="H1381" s="3928" t="s">
        <v>24</v>
      </c>
      <c r="I1381" s="3928" t="s">
        <v>898</v>
      </c>
    </row>
    <row r="1382" spans="1:9" ht="11.25" customHeight="1">
      <c r="A1382" s="3928" t="s">
        <v>2258</v>
      </c>
      <c r="B1382" s="3928" t="s">
        <v>14</v>
      </c>
      <c r="C1382" s="3928" t="s">
        <v>3771</v>
      </c>
      <c r="D1382" s="3928" t="s">
        <v>3772</v>
      </c>
      <c r="E1382" s="3928" t="s">
        <v>3773</v>
      </c>
      <c r="F1382" s="3928" t="s">
        <v>3287</v>
      </c>
      <c r="G1382" s="3928" t="s">
        <v>24</v>
      </c>
      <c r="H1382" s="3928" t="s">
        <v>24</v>
      </c>
      <c r="I1382" s="3928" t="s">
        <v>898</v>
      </c>
    </row>
    <row r="1383" spans="1:9" ht="11.25" customHeight="1">
      <c r="A1383" s="3928" t="s">
        <v>2258</v>
      </c>
      <c r="B1383" s="3928" t="s">
        <v>14</v>
      </c>
      <c r="C1383" s="3928" t="s">
        <v>3774</v>
      </c>
      <c r="D1383" s="3928" t="s">
        <v>3775</v>
      </c>
      <c r="E1383" s="3928" t="s">
        <v>3776</v>
      </c>
      <c r="F1383" s="3928" t="s">
        <v>2304</v>
      </c>
      <c r="G1383" s="3928" t="s">
        <v>24</v>
      </c>
      <c r="H1383" s="3928" t="s">
        <v>24</v>
      </c>
      <c r="I1383" s="3928" t="s">
        <v>898</v>
      </c>
    </row>
    <row r="1384" spans="1:9" ht="11.25" customHeight="1">
      <c r="A1384" s="3928" t="s">
        <v>2258</v>
      </c>
      <c r="B1384" s="3928" t="s">
        <v>14</v>
      </c>
      <c r="C1384" s="3928" t="s">
        <v>3777</v>
      </c>
      <c r="D1384" s="3928" t="s">
        <v>3778</v>
      </c>
      <c r="E1384" s="3928" t="s">
        <v>3779</v>
      </c>
      <c r="F1384" s="3928" t="s">
        <v>2642</v>
      </c>
      <c r="G1384" s="3928" t="s">
        <v>24</v>
      </c>
      <c r="H1384" s="3928" t="s">
        <v>2263</v>
      </c>
      <c r="I1384" s="3928" t="s">
        <v>898</v>
      </c>
    </row>
    <row r="1385" spans="1:9" ht="11.25" customHeight="1">
      <c r="A1385" s="3928" t="s">
        <v>2258</v>
      </c>
      <c r="B1385" s="3928" t="s">
        <v>14</v>
      </c>
      <c r="C1385" s="3928" t="s">
        <v>3780</v>
      </c>
      <c r="D1385" s="3928" t="s">
        <v>3781</v>
      </c>
      <c r="E1385" s="3928" t="s">
        <v>3782</v>
      </c>
      <c r="F1385" s="3928" t="s">
        <v>2451</v>
      </c>
      <c r="G1385" s="3928" t="s">
        <v>24</v>
      </c>
      <c r="H1385" s="3928" t="s">
        <v>3783</v>
      </c>
      <c r="I1385" s="3928" t="s">
        <v>898</v>
      </c>
    </row>
    <row r="1386" spans="1:9" ht="11.25" customHeight="1">
      <c r="A1386" s="3928" t="s">
        <v>2258</v>
      </c>
      <c r="B1386" s="3928" t="s">
        <v>14</v>
      </c>
      <c r="C1386" s="3928" t="s">
        <v>3787</v>
      </c>
      <c r="D1386" s="3928" t="s">
        <v>3788</v>
      </c>
      <c r="E1386" s="3928" t="s">
        <v>3789</v>
      </c>
      <c r="F1386" s="3928" t="s">
        <v>2349</v>
      </c>
      <c r="G1386" s="3928" t="s">
        <v>3790</v>
      </c>
      <c r="H1386" s="3928" t="s">
        <v>24</v>
      </c>
      <c r="I1386" s="3928" t="s">
        <v>898</v>
      </c>
    </row>
    <row r="1387" spans="1:9" ht="11.25" customHeight="1">
      <c r="A1387" s="3928" t="s">
        <v>2258</v>
      </c>
      <c r="B1387" s="3928" t="s">
        <v>14</v>
      </c>
      <c r="C1387" s="3928" t="s">
        <v>3794</v>
      </c>
      <c r="D1387" s="3928" t="s">
        <v>3795</v>
      </c>
      <c r="E1387" s="3928" t="s">
        <v>3796</v>
      </c>
      <c r="F1387" s="3928" t="s">
        <v>2780</v>
      </c>
      <c r="G1387" s="3928" t="s">
        <v>3797</v>
      </c>
      <c r="H1387" s="3928" t="s">
        <v>2263</v>
      </c>
      <c r="I1387" s="3928" t="s">
        <v>898</v>
      </c>
    </row>
    <row r="1388" spans="1:9" ht="11.25" customHeight="1">
      <c r="A1388" s="3928" t="s">
        <v>2258</v>
      </c>
      <c r="B1388" s="3928" t="s">
        <v>14</v>
      </c>
      <c r="C1388" s="3928" t="s">
        <v>3798</v>
      </c>
      <c r="D1388" s="3928" t="s">
        <v>3799</v>
      </c>
      <c r="E1388" s="3928" t="s">
        <v>3800</v>
      </c>
      <c r="F1388" s="3928" t="s">
        <v>2409</v>
      </c>
      <c r="G1388" s="3928" t="s">
        <v>24</v>
      </c>
      <c r="H1388" s="3928" t="s">
        <v>3801</v>
      </c>
      <c r="I1388" s="3928" t="s">
        <v>898</v>
      </c>
    </row>
    <row r="1389" spans="1:9" ht="11.25" customHeight="1">
      <c r="A1389" s="3928" t="s">
        <v>2258</v>
      </c>
      <c r="B1389" s="3928" t="s">
        <v>14</v>
      </c>
      <c r="C1389" s="3928" t="s">
        <v>3802</v>
      </c>
      <c r="D1389" s="3928" t="s">
        <v>3803</v>
      </c>
      <c r="E1389" s="3928" t="s">
        <v>3804</v>
      </c>
      <c r="F1389" s="3928" t="s">
        <v>2451</v>
      </c>
      <c r="G1389" s="3928" t="s">
        <v>24</v>
      </c>
      <c r="H1389" s="3928" t="s">
        <v>2263</v>
      </c>
      <c r="I1389" s="3928" t="s">
        <v>898</v>
      </c>
    </row>
    <row r="1390" spans="1:9" ht="11.25" customHeight="1">
      <c r="A1390" s="3928" t="s">
        <v>2258</v>
      </c>
      <c r="B1390" s="3928" t="s">
        <v>14</v>
      </c>
      <c r="C1390" s="3928" t="s">
        <v>3805</v>
      </c>
      <c r="D1390" s="3928" t="s">
        <v>3806</v>
      </c>
      <c r="E1390" s="3928" t="s">
        <v>3807</v>
      </c>
      <c r="F1390" s="3928" t="s">
        <v>2535</v>
      </c>
      <c r="G1390" s="3928" t="s">
        <v>3808</v>
      </c>
      <c r="H1390" s="3928" t="s">
        <v>2945</v>
      </c>
      <c r="I1390" s="3928" t="s">
        <v>898</v>
      </c>
    </row>
    <row r="1391" spans="1:9" ht="11.25" customHeight="1">
      <c r="A1391" s="3928" t="s">
        <v>2258</v>
      </c>
      <c r="B1391" s="3928" t="s">
        <v>14</v>
      </c>
      <c r="C1391" s="3928" t="s">
        <v>3809</v>
      </c>
      <c r="D1391" s="3928" t="s">
        <v>3810</v>
      </c>
      <c r="E1391" s="3928" t="s">
        <v>3811</v>
      </c>
      <c r="F1391" s="3928" t="s">
        <v>2675</v>
      </c>
      <c r="G1391" s="3928" t="s">
        <v>24</v>
      </c>
      <c r="H1391" s="3928" t="s">
        <v>2263</v>
      </c>
      <c r="I1391" s="3928" t="s">
        <v>898</v>
      </c>
    </row>
    <row r="1392" spans="1:9" ht="11.25" customHeight="1">
      <c r="A1392" s="3928" t="s">
        <v>2258</v>
      </c>
      <c r="B1392" s="3928" t="s">
        <v>14</v>
      </c>
      <c r="C1392" s="3928" t="s">
        <v>3812</v>
      </c>
      <c r="D1392" s="3928" t="s">
        <v>3813</v>
      </c>
      <c r="E1392" s="3928" t="s">
        <v>3814</v>
      </c>
      <c r="F1392" s="3928" t="s">
        <v>49</v>
      </c>
      <c r="G1392" s="3928" t="s">
        <v>24</v>
      </c>
      <c r="H1392" s="3928" t="s">
        <v>2263</v>
      </c>
      <c r="I1392" s="3928" t="s">
        <v>898</v>
      </c>
    </row>
    <row r="1393" spans="1:9" ht="11.25" customHeight="1">
      <c r="A1393" s="3928" t="s">
        <v>2258</v>
      </c>
      <c r="B1393" s="3928" t="s">
        <v>14</v>
      </c>
      <c r="C1393" s="3928" t="s">
        <v>3815</v>
      </c>
      <c r="D1393" s="3928" t="s">
        <v>3816</v>
      </c>
      <c r="E1393" s="3928" t="s">
        <v>3817</v>
      </c>
      <c r="F1393" s="3928" t="s">
        <v>2397</v>
      </c>
      <c r="G1393" s="3928" t="s">
        <v>24</v>
      </c>
      <c r="H1393" s="3928" t="s">
        <v>2263</v>
      </c>
      <c r="I1393" s="3928" t="s">
        <v>898</v>
      </c>
    </row>
    <row r="1394" spans="1:9" ht="11.25" customHeight="1">
      <c r="A1394" s="3928" t="s">
        <v>2258</v>
      </c>
      <c r="B1394" s="3928" t="s">
        <v>14</v>
      </c>
      <c r="C1394" s="3928" t="s">
        <v>3821</v>
      </c>
      <c r="D1394" s="3928" t="s">
        <v>3822</v>
      </c>
      <c r="E1394" s="3928" t="s">
        <v>3823</v>
      </c>
      <c r="F1394" s="3928" t="s">
        <v>2473</v>
      </c>
      <c r="G1394" s="3928" t="s">
        <v>24</v>
      </c>
      <c r="H1394" s="3928" t="s">
        <v>24</v>
      </c>
      <c r="I1394" s="3928" t="s">
        <v>898</v>
      </c>
    </row>
    <row r="1395" spans="1:9" ht="11.25" customHeight="1">
      <c r="A1395" s="3928" t="s">
        <v>2258</v>
      </c>
      <c r="B1395" s="3928" t="s">
        <v>14</v>
      </c>
      <c r="C1395" s="3928" t="s">
        <v>3824</v>
      </c>
      <c r="D1395" s="3928" t="s">
        <v>3825</v>
      </c>
      <c r="E1395" s="3928" t="s">
        <v>3826</v>
      </c>
      <c r="F1395" s="3928" t="s">
        <v>2424</v>
      </c>
      <c r="G1395" s="3928" t="s">
        <v>24</v>
      </c>
      <c r="H1395" s="3928" t="s">
        <v>24</v>
      </c>
      <c r="I1395" s="3928" t="s">
        <v>898</v>
      </c>
    </row>
    <row r="1396" spans="1:9" ht="11.25" customHeight="1">
      <c r="A1396" s="3928" t="s">
        <v>2258</v>
      </c>
      <c r="B1396" s="3928" t="s">
        <v>14</v>
      </c>
      <c r="C1396" s="3928" t="s">
        <v>3830</v>
      </c>
      <c r="D1396" s="3928" t="s">
        <v>3831</v>
      </c>
      <c r="E1396" s="3928" t="s">
        <v>3832</v>
      </c>
      <c r="F1396" s="3928" t="s">
        <v>3833</v>
      </c>
      <c r="G1396" s="3928" t="s">
        <v>3834</v>
      </c>
      <c r="H1396" s="3928" t="s">
        <v>2475</v>
      </c>
      <c r="I1396" s="3928" t="s">
        <v>898</v>
      </c>
    </row>
    <row r="1397" spans="1:9" ht="11.25" customHeight="1">
      <c r="A1397" s="3928" t="s">
        <v>2258</v>
      </c>
      <c r="B1397" s="3928" t="s">
        <v>14</v>
      </c>
      <c r="C1397" s="3928" t="s">
        <v>3838</v>
      </c>
      <c r="D1397" s="3928" t="s">
        <v>3839</v>
      </c>
      <c r="E1397" s="3928" t="s">
        <v>3840</v>
      </c>
      <c r="F1397" s="3928" t="s">
        <v>3841</v>
      </c>
      <c r="G1397" s="3928" t="s">
        <v>24</v>
      </c>
      <c r="H1397" s="3928" t="s">
        <v>24</v>
      </c>
      <c r="I1397" s="3928" t="s">
        <v>898</v>
      </c>
    </row>
    <row r="1398" spans="1:9" ht="11.25" customHeight="1">
      <c r="A1398" s="3928" t="s">
        <v>2258</v>
      </c>
      <c r="B1398" s="3928" t="s">
        <v>14</v>
      </c>
      <c r="C1398" s="3928" t="s">
        <v>3842</v>
      </c>
      <c r="D1398" s="3928" t="s">
        <v>3843</v>
      </c>
      <c r="E1398" s="3928" t="s">
        <v>3844</v>
      </c>
      <c r="F1398" s="3928" t="s">
        <v>2642</v>
      </c>
      <c r="G1398" s="3928" t="s">
        <v>3845</v>
      </c>
      <c r="H1398" s="3928" t="s">
        <v>2945</v>
      </c>
      <c r="I1398" s="3928" t="s">
        <v>898</v>
      </c>
    </row>
    <row r="1399" spans="1:9" ht="11.25" customHeight="1">
      <c r="A1399" s="3928" t="s">
        <v>2258</v>
      </c>
      <c r="B1399" s="3928" t="s">
        <v>14</v>
      </c>
      <c r="C1399" s="3928" t="s">
        <v>3846</v>
      </c>
      <c r="D1399" s="3928" t="s">
        <v>3847</v>
      </c>
      <c r="E1399" s="3928" t="s">
        <v>3848</v>
      </c>
      <c r="F1399" s="3928" t="s">
        <v>2642</v>
      </c>
      <c r="G1399" s="3928" t="s">
        <v>24</v>
      </c>
      <c r="H1399" s="3928" t="s">
        <v>3068</v>
      </c>
      <c r="I1399" s="3928" t="s">
        <v>898</v>
      </c>
    </row>
    <row r="1400" spans="1:9" ht="11.25" customHeight="1">
      <c r="A1400" s="3928" t="s">
        <v>2258</v>
      </c>
      <c r="B1400" s="3928" t="s">
        <v>14</v>
      </c>
      <c r="C1400" s="3928" t="s">
        <v>3849</v>
      </c>
      <c r="D1400" s="3928" t="s">
        <v>3850</v>
      </c>
      <c r="E1400" s="3928" t="s">
        <v>3851</v>
      </c>
      <c r="F1400" s="3928" t="s">
        <v>3852</v>
      </c>
      <c r="G1400" s="3928" t="s">
        <v>24</v>
      </c>
      <c r="H1400" s="3928" t="s">
        <v>24</v>
      </c>
      <c r="I1400" s="3928" t="s">
        <v>898</v>
      </c>
    </row>
    <row r="1401" spans="1:9" ht="11.25" customHeight="1">
      <c r="A1401" s="3928" t="s">
        <v>2258</v>
      </c>
      <c r="B1401" s="3928" t="s">
        <v>14</v>
      </c>
      <c r="C1401" s="3928" t="s">
        <v>3853</v>
      </c>
      <c r="D1401" s="3928" t="s">
        <v>3854</v>
      </c>
      <c r="E1401" s="3928" t="s">
        <v>3855</v>
      </c>
      <c r="F1401" s="3928" t="s">
        <v>2397</v>
      </c>
      <c r="G1401" s="3928" t="s">
        <v>24</v>
      </c>
      <c r="H1401" s="3928" t="s">
        <v>24</v>
      </c>
      <c r="I1401" s="3928" t="s">
        <v>898</v>
      </c>
    </row>
    <row r="1402" spans="1:9" ht="11.25" customHeight="1">
      <c r="A1402" s="3928" t="s">
        <v>2258</v>
      </c>
      <c r="B1402" s="3928" t="s">
        <v>14</v>
      </c>
      <c r="C1402" s="3928" t="s">
        <v>3856</v>
      </c>
      <c r="D1402" s="3928" t="s">
        <v>3857</v>
      </c>
      <c r="E1402" s="3928" t="s">
        <v>3858</v>
      </c>
      <c r="F1402" s="3928" t="s">
        <v>2397</v>
      </c>
      <c r="G1402" s="3928" t="s">
        <v>3859</v>
      </c>
      <c r="H1402" s="3928" t="s">
        <v>24</v>
      </c>
      <c r="I1402" s="3928" t="s">
        <v>898</v>
      </c>
    </row>
    <row r="1403" spans="1:9" ht="11.25" customHeight="1">
      <c r="A1403" s="3928" t="s">
        <v>2258</v>
      </c>
      <c r="B1403" s="3928" t="s">
        <v>14</v>
      </c>
      <c r="C1403" s="3928" t="s">
        <v>3865</v>
      </c>
      <c r="D1403" s="3928" t="s">
        <v>3866</v>
      </c>
      <c r="E1403" s="3928" t="s">
        <v>3867</v>
      </c>
      <c r="F1403" s="3928" t="s">
        <v>3868</v>
      </c>
      <c r="G1403" s="3928" t="s">
        <v>24</v>
      </c>
      <c r="H1403" s="3928" t="s">
        <v>24</v>
      </c>
      <c r="I1403" s="3928" t="s">
        <v>898</v>
      </c>
    </row>
    <row r="1404" spans="1:9" ht="11.25" customHeight="1">
      <c r="A1404" s="3928" t="s">
        <v>2258</v>
      </c>
      <c r="B1404" s="3928" t="s">
        <v>14</v>
      </c>
      <c r="C1404" s="3928" t="s">
        <v>3872</v>
      </c>
      <c r="D1404" s="3928" t="s">
        <v>3873</v>
      </c>
      <c r="E1404" s="3928" t="s">
        <v>3114</v>
      </c>
      <c r="F1404" s="3928" t="s">
        <v>3874</v>
      </c>
      <c r="G1404" s="3928" t="s">
        <v>24</v>
      </c>
      <c r="H1404" s="3928" t="s">
        <v>24</v>
      </c>
      <c r="I1404" s="3928" t="s">
        <v>898</v>
      </c>
    </row>
    <row r="1405" spans="1:9" ht="11.25" customHeight="1">
      <c r="A1405" s="3928" t="s">
        <v>2258</v>
      </c>
      <c r="B1405" s="3928" t="s">
        <v>14</v>
      </c>
      <c r="C1405" s="3928" t="s">
        <v>3875</v>
      </c>
      <c r="D1405" s="3928" t="s">
        <v>3876</v>
      </c>
      <c r="E1405" s="3928" t="s">
        <v>3114</v>
      </c>
      <c r="F1405" s="3928" t="s">
        <v>3877</v>
      </c>
      <c r="G1405" s="3928" t="s">
        <v>3545</v>
      </c>
      <c r="H1405" s="3928" t="s">
        <v>24</v>
      </c>
      <c r="I1405" s="3928" t="s">
        <v>898</v>
      </c>
    </row>
    <row r="1406" spans="1:9" ht="11.25" customHeight="1">
      <c r="A1406" s="3928" t="s">
        <v>2258</v>
      </c>
      <c r="B1406" s="3928" t="s">
        <v>14</v>
      </c>
      <c r="C1406" s="3928" t="s">
        <v>3881</v>
      </c>
      <c r="D1406" s="3928" t="s">
        <v>3882</v>
      </c>
      <c r="E1406" s="3928" t="s">
        <v>3883</v>
      </c>
      <c r="F1406" s="3928" t="s">
        <v>3884</v>
      </c>
      <c r="G1406" s="3928" t="s">
        <v>3885</v>
      </c>
      <c r="H1406" s="3928" t="s">
        <v>3886</v>
      </c>
      <c r="I1406" s="3928" t="s">
        <v>898</v>
      </c>
    </row>
    <row r="1407" spans="1:9" ht="11.25" customHeight="1">
      <c r="A1407" s="3928" t="s">
        <v>2258</v>
      </c>
      <c r="B1407" s="3928" t="s">
        <v>14</v>
      </c>
      <c r="C1407" s="3928" t="s">
        <v>6386</v>
      </c>
      <c r="D1407" s="3928" t="s">
        <v>6387</v>
      </c>
      <c r="E1407" s="3928" t="s">
        <v>6388</v>
      </c>
      <c r="F1407" s="3928" t="s">
        <v>2409</v>
      </c>
      <c r="G1407" s="3928" t="s">
        <v>24</v>
      </c>
      <c r="H1407" s="3928" t="s">
        <v>6389</v>
      </c>
      <c r="I1407" s="3928" t="s">
        <v>898</v>
      </c>
    </row>
    <row r="1408" spans="1:9" ht="11.25" customHeight="1">
      <c r="A1408" s="3928" t="s">
        <v>2258</v>
      </c>
      <c r="B1408" s="3928" t="s">
        <v>14</v>
      </c>
      <c r="C1408" s="3928" t="s">
        <v>3898</v>
      </c>
      <c r="D1408" s="3928" t="s">
        <v>3899</v>
      </c>
      <c r="E1408" s="3928" t="s">
        <v>3900</v>
      </c>
      <c r="F1408" s="3928" t="s">
        <v>2262</v>
      </c>
      <c r="G1408" s="3928" t="s">
        <v>2738</v>
      </c>
      <c r="H1408" s="3928" t="s">
        <v>24</v>
      </c>
      <c r="I1408" s="3928" t="s">
        <v>898</v>
      </c>
    </row>
    <row r="1409" spans="1:9" ht="11.25" customHeight="1">
      <c r="A1409" s="3928" t="s">
        <v>2258</v>
      </c>
      <c r="B1409" s="3928" t="s">
        <v>14</v>
      </c>
      <c r="C1409" s="3928" t="s">
        <v>3907</v>
      </c>
      <c r="D1409" s="3928" t="s">
        <v>3908</v>
      </c>
      <c r="E1409" s="3928" t="s">
        <v>3909</v>
      </c>
      <c r="F1409" s="3928" t="s">
        <v>2780</v>
      </c>
      <c r="G1409" s="3928" t="s">
        <v>24</v>
      </c>
      <c r="H1409" s="3928" t="s">
        <v>2263</v>
      </c>
      <c r="I1409" s="3928" t="s">
        <v>898</v>
      </c>
    </row>
    <row r="1410" spans="1:9" ht="11.25" customHeight="1">
      <c r="A1410" s="3928" t="s">
        <v>2258</v>
      </c>
      <c r="B1410" s="3928" t="s">
        <v>14</v>
      </c>
      <c r="C1410" s="3928" t="s">
        <v>6390</v>
      </c>
      <c r="D1410" s="3928" t="s">
        <v>6391</v>
      </c>
      <c r="E1410" s="3928" t="s">
        <v>6392</v>
      </c>
      <c r="F1410" s="3928" t="s">
        <v>2289</v>
      </c>
      <c r="G1410" s="3928" t="s">
        <v>24</v>
      </c>
      <c r="H1410" s="3928" t="s">
        <v>2263</v>
      </c>
      <c r="I1410" s="3928" t="s">
        <v>898</v>
      </c>
    </row>
    <row r="1411" spans="1:9" ht="11.25" customHeight="1">
      <c r="A1411" s="3928" t="s">
        <v>2258</v>
      </c>
      <c r="B1411" s="3928" t="s">
        <v>14</v>
      </c>
      <c r="C1411" s="3928" t="s">
        <v>3925</v>
      </c>
      <c r="D1411" s="3928" t="s">
        <v>3926</v>
      </c>
      <c r="E1411" s="3928" t="s">
        <v>3927</v>
      </c>
      <c r="F1411" s="3928" t="s">
        <v>2419</v>
      </c>
      <c r="G1411" s="3928" t="s">
        <v>24</v>
      </c>
      <c r="H1411" s="3928" t="s">
        <v>3928</v>
      </c>
      <c r="I1411" s="3928" t="s">
        <v>898</v>
      </c>
    </row>
    <row r="1412" spans="1:9" ht="11.25" customHeight="1">
      <c r="A1412" s="3928" t="s">
        <v>2258</v>
      </c>
      <c r="B1412" s="3928" t="s">
        <v>14</v>
      </c>
      <c r="C1412" s="3928" t="s">
        <v>3939</v>
      </c>
      <c r="D1412" s="3928" t="s">
        <v>3940</v>
      </c>
      <c r="E1412" s="3928" t="s">
        <v>3941</v>
      </c>
      <c r="F1412" s="3928" t="s">
        <v>2567</v>
      </c>
      <c r="G1412" s="3928" t="s">
        <v>24</v>
      </c>
      <c r="H1412" s="3928" t="s">
        <v>24</v>
      </c>
      <c r="I1412" s="3928" t="s">
        <v>898</v>
      </c>
    </row>
    <row r="1413" spans="1:9" ht="11.25" customHeight="1">
      <c r="A1413" s="3928" t="s">
        <v>2258</v>
      </c>
      <c r="B1413" s="3928" t="s">
        <v>14</v>
      </c>
      <c r="C1413" s="3928" t="s">
        <v>3942</v>
      </c>
      <c r="D1413" s="3928" t="s">
        <v>3943</v>
      </c>
      <c r="E1413" s="3928" t="s">
        <v>3944</v>
      </c>
      <c r="F1413" s="3928" t="s">
        <v>2473</v>
      </c>
      <c r="G1413" s="3928" t="s">
        <v>24</v>
      </c>
      <c r="H1413" s="3928" t="s">
        <v>2263</v>
      </c>
      <c r="I1413" s="3928" t="s">
        <v>898</v>
      </c>
    </row>
    <row r="1414" spans="1:9" ht="11.25" customHeight="1">
      <c r="A1414" s="3928" t="s">
        <v>2258</v>
      </c>
      <c r="B1414" s="3928" t="s">
        <v>14</v>
      </c>
      <c r="C1414" s="3928" t="s">
        <v>6393</v>
      </c>
      <c r="D1414" s="3928" t="s">
        <v>6394</v>
      </c>
      <c r="E1414" s="3928" t="s">
        <v>6395</v>
      </c>
      <c r="F1414" s="3928" t="s">
        <v>2325</v>
      </c>
      <c r="G1414" s="3928" t="s">
        <v>24</v>
      </c>
      <c r="H1414" s="3928" t="s">
        <v>3068</v>
      </c>
      <c r="I1414" s="3928" t="s">
        <v>898</v>
      </c>
    </row>
    <row r="1415" spans="1:9" ht="11.25" customHeight="1">
      <c r="A1415" s="3928" t="s">
        <v>2258</v>
      </c>
      <c r="B1415" s="3928" t="s">
        <v>14</v>
      </c>
      <c r="C1415" s="3928" t="s">
        <v>3948</v>
      </c>
      <c r="D1415" s="3928" t="s">
        <v>3949</v>
      </c>
      <c r="E1415" s="3928" t="s">
        <v>3950</v>
      </c>
      <c r="F1415" s="3928" t="s">
        <v>2289</v>
      </c>
      <c r="G1415" s="3928" t="s">
        <v>3951</v>
      </c>
      <c r="H1415" s="3928" t="s">
        <v>24</v>
      </c>
      <c r="I1415" s="3928" t="s">
        <v>898</v>
      </c>
    </row>
    <row r="1416" spans="1:9" ht="11.25" customHeight="1">
      <c r="A1416" s="3928" t="s">
        <v>2258</v>
      </c>
      <c r="B1416" s="3928" t="s">
        <v>14</v>
      </c>
      <c r="C1416" s="3928" t="s">
        <v>3955</v>
      </c>
      <c r="D1416" s="3928" t="s">
        <v>3956</v>
      </c>
      <c r="E1416" s="3928" t="s">
        <v>3957</v>
      </c>
      <c r="F1416" s="3928" t="s">
        <v>2638</v>
      </c>
      <c r="G1416" s="3928" t="s">
        <v>24</v>
      </c>
      <c r="H1416" s="3928" t="s">
        <v>3068</v>
      </c>
      <c r="I1416" s="3928" t="s">
        <v>898</v>
      </c>
    </row>
    <row r="1417" spans="1:9" ht="11.25" customHeight="1">
      <c r="A1417" s="3928" t="s">
        <v>2258</v>
      </c>
      <c r="B1417" s="3928" t="s">
        <v>14</v>
      </c>
      <c r="C1417" s="3928" t="s">
        <v>3967</v>
      </c>
      <c r="D1417" s="3928" t="s">
        <v>3968</v>
      </c>
      <c r="E1417" s="3928" t="s">
        <v>3969</v>
      </c>
      <c r="F1417" s="3928" t="s">
        <v>3970</v>
      </c>
      <c r="G1417" s="3928" t="s">
        <v>24</v>
      </c>
      <c r="H1417" s="3928" t="s">
        <v>24</v>
      </c>
      <c r="I1417" s="3928" t="s">
        <v>898</v>
      </c>
    </row>
    <row r="1418" spans="1:9" ht="11.25" customHeight="1">
      <c r="A1418" s="3928" t="s">
        <v>2258</v>
      </c>
      <c r="B1418" s="3928" t="s">
        <v>14</v>
      </c>
      <c r="C1418" s="3928" t="s">
        <v>3971</v>
      </c>
      <c r="D1418" s="3928" t="s">
        <v>3972</v>
      </c>
      <c r="E1418" s="3928" t="s">
        <v>3973</v>
      </c>
      <c r="F1418" s="3928" t="s">
        <v>2796</v>
      </c>
      <c r="G1418" s="3928" t="s">
        <v>24</v>
      </c>
      <c r="H1418" s="3928" t="s">
        <v>3068</v>
      </c>
      <c r="I1418" s="3928" t="s">
        <v>898</v>
      </c>
    </row>
    <row r="1419" spans="1:9" ht="11.25" customHeight="1">
      <c r="A1419" s="3928" t="s">
        <v>2258</v>
      </c>
      <c r="B1419" s="3928" t="s">
        <v>14</v>
      </c>
      <c r="C1419" s="3928" t="s">
        <v>3974</v>
      </c>
      <c r="D1419" s="3928" t="s">
        <v>3975</v>
      </c>
      <c r="E1419" s="3928" t="s">
        <v>3976</v>
      </c>
      <c r="F1419" s="3928" t="s">
        <v>2780</v>
      </c>
      <c r="G1419" s="3928" t="s">
        <v>24</v>
      </c>
      <c r="H1419" s="3928" t="s">
        <v>24</v>
      </c>
      <c r="I1419" s="3928" t="s">
        <v>898</v>
      </c>
    </row>
    <row r="1420" spans="1:9" ht="11.25" customHeight="1">
      <c r="A1420" s="3928" t="s">
        <v>2258</v>
      </c>
      <c r="B1420" s="3928" t="s">
        <v>14</v>
      </c>
      <c r="C1420" s="3928" t="s">
        <v>3980</v>
      </c>
      <c r="D1420" s="3928" t="s">
        <v>3981</v>
      </c>
      <c r="E1420" s="3928" t="s">
        <v>3982</v>
      </c>
      <c r="F1420" s="3928" t="s">
        <v>2289</v>
      </c>
      <c r="G1420" s="3928" t="s">
        <v>24</v>
      </c>
      <c r="H1420" s="3928" t="s">
        <v>2263</v>
      </c>
      <c r="I1420" s="3928" t="s">
        <v>898</v>
      </c>
    </row>
    <row r="1421" spans="1:9" ht="11.25" customHeight="1">
      <c r="A1421" s="3928" t="s">
        <v>2258</v>
      </c>
      <c r="B1421" s="3928" t="s">
        <v>14</v>
      </c>
      <c r="C1421" s="3928" t="s">
        <v>6396</v>
      </c>
      <c r="D1421" s="3928" t="s">
        <v>6397</v>
      </c>
      <c r="E1421" s="3928" t="s">
        <v>6398</v>
      </c>
      <c r="F1421" s="3928" t="s">
        <v>49</v>
      </c>
      <c r="G1421" s="3928" t="s">
        <v>24</v>
      </c>
      <c r="H1421" s="3928" t="s">
        <v>6399</v>
      </c>
      <c r="I1421" s="3928" t="s">
        <v>898</v>
      </c>
    </row>
    <row r="1422" spans="1:9" ht="11.25" customHeight="1">
      <c r="A1422" s="3928" t="s">
        <v>2258</v>
      </c>
      <c r="B1422" s="3928" t="s">
        <v>14</v>
      </c>
      <c r="C1422" s="3928" t="s">
        <v>3983</v>
      </c>
      <c r="D1422" s="3928" t="s">
        <v>3984</v>
      </c>
      <c r="E1422" s="3928" t="s">
        <v>3985</v>
      </c>
      <c r="F1422" s="3928" t="s">
        <v>2701</v>
      </c>
      <c r="G1422" s="3928" t="s">
        <v>24</v>
      </c>
      <c r="H1422" s="3928" t="s">
        <v>2475</v>
      </c>
      <c r="I1422" s="3928" t="s">
        <v>898</v>
      </c>
    </row>
    <row r="1423" spans="1:9" ht="11.25" customHeight="1">
      <c r="A1423" s="3928" t="s">
        <v>2258</v>
      </c>
      <c r="B1423" s="3928" t="s">
        <v>14</v>
      </c>
      <c r="C1423" s="3928" t="s">
        <v>3989</v>
      </c>
      <c r="D1423" s="3928" t="s">
        <v>3990</v>
      </c>
      <c r="E1423" s="3928" t="s">
        <v>3991</v>
      </c>
      <c r="F1423" s="3928" t="s">
        <v>2294</v>
      </c>
      <c r="G1423" s="3928" t="s">
        <v>24</v>
      </c>
      <c r="H1423" s="3928" t="s">
        <v>3992</v>
      </c>
      <c r="I1423" s="3928" t="s">
        <v>898</v>
      </c>
    </row>
    <row r="1424" spans="1:9" ht="11.25" customHeight="1">
      <c r="A1424" s="3928" t="s">
        <v>2258</v>
      </c>
      <c r="B1424" s="3928" t="s">
        <v>14</v>
      </c>
      <c r="C1424" s="3928" t="s">
        <v>3996</v>
      </c>
      <c r="D1424" s="3928" t="s">
        <v>3997</v>
      </c>
      <c r="E1424" s="3928" t="s">
        <v>3998</v>
      </c>
      <c r="F1424" s="3928" t="s">
        <v>2304</v>
      </c>
      <c r="G1424" s="3928" t="s">
        <v>24</v>
      </c>
      <c r="H1424" s="3928" t="s">
        <v>24</v>
      </c>
      <c r="I1424" s="3928" t="s">
        <v>898</v>
      </c>
    </row>
    <row r="1425" spans="1:9" ht="11.25" customHeight="1">
      <c r="A1425" s="3928" t="s">
        <v>2258</v>
      </c>
      <c r="B1425" s="3928" t="s">
        <v>14</v>
      </c>
      <c r="C1425" s="3928" t="s">
        <v>4002</v>
      </c>
      <c r="D1425" s="3928" t="s">
        <v>4003</v>
      </c>
      <c r="E1425" s="3928" t="s">
        <v>4004</v>
      </c>
      <c r="F1425" s="3928" t="s">
        <v>3051</v>
      </c>
      <c r="G1425" s="3928" t="s">
        <v>4005</v>
      </c>
      <c r="H1425" s="3928" t="s">
        <v>24</v>
      </c>
      <c r="I1425" s="3928" t="s">
        <v>898</v>
      </c>
    </row>
    <row r="1426" spans="1:9" ht="11.25" customHeight="1">
      <c r="A1426" s="3928" t="s">
        <v>2258</v>
      </c>
      <c r="B1426" s="3928" t="s">
        <v>14</v>
      </c>
      <c r="C1426" s="3928" t="s">
        <v>4037</v>
      </c>
      <c r="D1426" s="3928" t="s">
        <v>4038</v>
      </c>
      <c r="E1426" s="3928" t="s">
        <v>4039</v>
      </c>
      <c r="F1426" s="3928" t="s">
        <v>2397</v>
      </c>
      <c r="G1426" s="3928" t="s">
        <v>24</v>
      </c>
      <c r="H1426" s="3928" t="s">
        <v>2475</v>
      </c>
      <c r="I1426" s="3928" t="s">
        <v>898</v>
      </c>
    </row>
    <row r="1427" spans="1:9" ht="11.25" customHeight="1">
      <c r="A1427" s="3928" t="s">
        <v>2258</v>
      </c>
      <c r="B1427" s="3928" t="s">
        <v>14</v>
      </c>
      <c r="C1427" s="3928" t="s">
        <v>4044</v>
      </c>
      <c r="D1427" s="3928" t="s">
        <v>4045</v>
      </c>
      <c r="E1427" s="3928" t="s">
        <v>2437</v>
      </c>
      <c r="F1427" s="3928" t="s">
        <v>2513</v>
      </c>
      <c r="G1427" s="3928" t="s">
        <v>24</v>
      </c>
      <c r="H1427" s="3928" t="s">
        <v>2263</v>
      </c>
      <c r="I1427" s="3928" t="s">
        <v>898</v>
      </c>
    </row>
    <row r="1428" spans="1:9" ht="11.25" customHeight="1">
      <c r="A1428" s="3928" t="s">
        <v>2258</v>
      </c>
      <c r="B1428" s="3928" t="s">
        <v>14</v>
      </c>
      <c r="C1428" s="3928" t="s">
        <v>4052</v>
      </c>
      <c r="D1428" s="3928" t="s">
        <v>4053</v>
      </c>
      <c r="E1428" s="3928" t="s">
        <v>4054</v>
      </c>
      <c r="F1428" s="3928" t="s">
        <v>2796</v>
      </c>
      <c r="G1428" s="3928" t="s">
        <v>24</v>
      </c>
      <c r="H1428" s="3928" t="s">
        <v>3297</v>
      </c>
      <c r="I1428" s="3928" t="s">
        <v>898</v>
      </c>
    </row>
    <row r="1429" spans="1:9" ht="11.25" customHeight="1">
      <c r="A1429" s="3928" t="s">
        <v>2258</v>
      </c>
      <c r="B1429" s="3928" t="s">
        <v>14</v>
      </c>
      <c r="C1429" s="3928" t="s">
        <v>4066</v>
      </c>
      <c r="D1429" s="3928" t="s">
        <v>4067</v>
      </c>
      <c r="E1429" s="3928" t="s">
        <v>4068</v>
      </c>
      <c r="F1429" s="3928" t="s">
        <v>2675</v>
      </c>
      <c r="G1429" s="3928" t="s">
        <v>4069</v>
      </c>
      <c r="H1429" s="3928" t="s">
        <v>24</v>
      </c>
      <c r="I1429" s="3928" t="s">
        <v>898</v>
      </c>
    </row>
    <row r="1430" spans="1:9" ht="11.25" customHeight="1">
      <c r="A1430" s="3928" t="s">
        <v>2258</v>
      </c>
      <c r="B1430" s="3928" t="s">
        <v>14</v>
      </c>
      <c r="C1430" s="3928" t="s">
        <v>4073</v>
      </c>
      <c r="D1430" s="3928" t="s">
        <v>4074</v>
      </c>
      <c r="E1430" s="3928" t="s">
        <v>4075</v>
      </c>
      <c r="F1430" s="3928" t="s">
        <v>2304</v>
      </c>
      <c r="G1430" s="3928" t="s">
        <v>24</v>
      </c>
      <c r="H1430" s="3928" t="s">
        <v>24</v>
      </c>
      <c r="I1430" s="3928" t="s">
        <v>898</v>
      </c>
    </row>
    <row r="1431" spans="1:9" ht="11.25" customHeight="1">
      <c r="A1431" s="3928" t="s">
        <v>2258</v>
      </c>
      <c r="B1431" s="3928" t="s">
        <v>14</v>
      </c>
      <c r="C1431" s="3928" t="s">
        <v>4076</v>
      </c>
      <c r="D1431" s="3928" t="s">
        <v>4077</v>
      </c>
      <c r="E1431" s="3928" t="s">
        <v>4078</v>
      </c>
      <c r="F1431" s="3928" t="s">
        <v>2304</v>
      </c>
      <c r="G1431" s="3928" t="s">
        <v>24</v>
      </c>
      <c r="H1431" s="3928" t="s">
        <v>24</v>
      </c>
      <c r="I1431" s="3928" t="s">
        <v>898</v>
      </c>
    </row>
    <row r="1432" spans="1:9" ht="11.25" customHeight="1">
      <c r="A1432" s="3928" t="s">
        <v>2258</v>
      </c>
      <c r="B1432" s="3928" t="s">
        <v>14</v>
      </c>
      <c r="C1432" s="3928" t="s">
        <v>4082</v>
      </c>
      <c r="D1432" s="3928" t="s">
        <v>4083</v>
      </c>
      <c r="E1432" s="3928" t="s">
        <v>4084</v>
      </c>
      <c r="F1432" s="3928" t="s">
        <v>2780</v>
      </c>
      <c r="G1432" s="3928" t="s">
        <v>24</v>
      </c>
      <c r="H1432" s="3928" t="s">
        <v>4085</v>
      </c>
      <c r="I1432" s="3928" t="s">
        <v>898</v>
      </c>
    </row>
    <row r="1433" spans="1:9" ht="11.25" customHeight="1">
      <c r="A1433" s="3928" t="s">
        <v>2258</v>
      </c>
      <c r="B1433" s="3928" t="s">
        <v>14</v>
      </c>
      <c r="C1433" s="3928" t="s">
        <v>4086</v>
      </c>
      <c r="D1433" s="3928" t="s">
        <v>4087</v>
      </c>
      <c r="E1433" s="3928" t="s">
        <v>4088</v>
      </c>
      <c r="F1433" s="3928" t="s">
        <v>2409</v>
      </c>
      <c r="G1433" s="3928" t="s">
        <v>24</v>
      </c>
      <c r="H1433" s="3928" t="s">
        <v>2772</v>
      </c>
      <c r="I1433" s="3928" t="s">
        <v>898</v>
      </c>
    </row>
    <row r="1434" spans="1:9" ht="11.25" customHeight="1">
      <c r="A1434" s="3928" t="s">
        <v>2258</v>
      </c>
      <c r="B1434" s="3928" t="s">
        <v>14</v>
      </c>
      <c r="C1434" s="3928" t="s">
        <v>4095</v>
      </c>
      <c r="D1434" s="3928" t="s">
        <v>4096</v>
      </c>
      <c r="E1434" s="3928" t="s">
        <v>4097</v>
      </c>
      <c r="F1434" s="3928" t="s">
        <v>2409</v>
      </c>
      <c r="G1434" s="3928" t="s">
        <v>4098</v>
      </c>
      <c r="H1434" s="3928" t="s">
        <v>24</v>
      </c>
      <c r="I1434" s="3928" t="s">
        <v>898</v>
      </c>
    </row>
    <row r="1435" spans="1:9" ht="11.25" customHeight="1">
      <c r="A1435" s="3928" t="s">
        <v>2258</v>
      </c>
      <c r="B1435" s="3928" t="s">
        <v>14</v>
      </c>
      <c r="C1435" s="3928" t="s">
        <v>4102</v>
      </c>
      <c r="D1435" s="3928" t="s">
        <v>4103</v>
      </c>
      <c r="E1435" s="3928" t="s">
        <v>4104</v>
      </c>
      <c r="F1435" s="3928" t="s">
        <v>2397</v>
      </c>
      <c r="G1435" s="3928" t="s">
        <v>4105</v>
      </c>
      <c r="H1435" s="3928" t="s">
        <v>2475</v>
      </c>
      <c r="I1435" s="3928" t="s">
        <v>898</v>
      </c>
    </row>
    <row r="1436" spans="1:9" ht="11.25" customHeight="1">
      <c r="A1436" s="3928" t="s">
        <v>2258</v>
      </c>
      <c r="B1436" s="3928" t="s">
        <v>14</v>
      </c>
      <c r="C1436" s="3928" t="s">
        <v>4110</v>
      </c>
      <c r="D1436" s="3928" t="s">
        <v>4111</v>
      </c>
      <c r="E1436" s="3928" t="s">
        <v>4112</v>
      </c>
      <c r="F1436" s="3928" t="s">
        <v>2375</v>
      </c>
      <c r="G1436" s="3928" t="s">
        <v>24</v>
      </c>
      <c r="H1436" s="3928" t="s">
        <v>2314</v>
      </c>
      <c r="I1436" s="3928" t="s">
        <v>898</v>
      </c>
    </row>
    <row r="1437" spans="1:9" ht="11.25" customHeight="1">
      <c r="A1437" s="3928" t="s">
        <v>2258</v>
      </c>
      <c r="B1437" s="3928" t="s">
        <v>14</v>
      </c>
      <c r="C1437" s="3928" t="s">
        <v>4113</v>
      </c>
      <c r="D1437" s="3928" t="s">
        <v>4114</v>
      </c>
      <c r="E1437" s="3928" t="s">
        <v>4115</v>
      </c>
      <c r="F1437" s="3928" t="s">
        <v>2469</v>
      </c>
      <c r="G1437" s="3928" t="s">
        <v>24</v>
      </c>
      <c r="H1437" s="3928" t="s">
        <v>24</v>
      </c>
      <c r="I1437" s="3928" t="s">
        <v>898</v>
      </c>
    </row>
    <row r="1438" spans="1:9" ht="11.25" customHeight="1">
      <c r="A1438" s="3928" t="s">
        <v>2258</v>
      </c>
      <c r="B1438" s="3928" t="s">
        <v>14</v>
      </c>
      <c r="C1438" s="3928" t="s">
        <v>4122</v>
      </c>
      <c r="D1438" s="3928" t="s">
        <v>4123</v>
      </c>
      <c r="E1438" s="3928" t="s">
        <v>4124</v>
      </c>
      <c r="F1438" s="3928" t="s">
        <v>2929</v>
      </c>
      <c r="G1438" s="3928" t="s">
        <v>24</v>
      </c>
      <c r="H1438" s="3928" t="s">
        <v>2263</v>
      </c>
      <c r="I1438" s="3928" t="s">
        <v>898</v>
      </c>
    </row>
    <row r="1439" spans="1:9" ht="11.25" customHeight="1">
      <c r="A1439" s="3928" t="s">
        <v>2258</v>
      </c>
      <c r="B1439" s="3928" t="s">
        <v>14</v>
      </c>
      <c r="C1439" s="3928" t="s">
        <v>4128</v>
      </c>
      <c r="D1439" s="3928" t="s">
        <v>4129</v>
      </c>
      <c r="E1439" s="3928" t="s">
        <v>4130</v>
      </c>
      <c r="F1439" s="3928" t="s">
        <v>2289</v>
      </c>
      <c r="G1439" s="3928" t="s">
        <v>24</v>
      </c>
      <c r="H1439" s="3928" t="s">
        <v>24</v>
      </c>
      <c r="I1439" s="3928" t="s">
        <v>898</v>
      </c>
    </row>
    <row r="1440" spans="1:9" ht="11.25" customHeight="1">
      <c r="A1440" s="3928" t="s">
        <v>2258</v>
      </c>
      <c r="B1440" s="3928" t="s">
        <v>14</v>
      </c>
      <c r="C1440" s="3928" t="s">
        <v>4139</v>
      </c>
      <c r="D1440" s="3928" t="s">
        <v>4140</v>
      </c>
      <c r="E1440" s="3928" t="s">
        <v>4141</v>
      </c>
      <c r="F1440" s="3928" t="s">
        <v>2438</v>
      </c>
      <c r="G1440" s="3928" t="s">
        <v>24</v>
      </c>
      <c r="H1440" s="3928" t="s">
        <v>24</v>
      </c>
      <c r="I1440" s="3928" t="s">
        <v>898</v>
      </c>
    </row>
    <row r="1441" spans="1:9" ht="11.25" customHeight="1">
      <c r="A1441" s="3928" t="s">
        <v>2258</v>
      </c>
      <c r="B1441" s="3928" t="s">
        <v>14</v>
      </c>
      <c r="C1441" s="3928" t="s">
        <v>4148</v>
      </c>
      <c r="D1441" s="3928" t="s">
        <v>4149</v>
      </c>
      <c r="E1441" s="3928" t="s">
        <v>4150</v>
      </c>
      <c r="F1441" s="3928" t="s">
        <v>2438</v>
      </c>
      <c r="G1441" s="3928" t="s">
        <v>24</v>
      </c>
      <c r="H1441" s="3928" t="s">
        <v>2263</v>
      </c>
      <c r="I1441" s="3928" t="s">
        <v>898</v>
      </c>
    </row>
    <row r="1442" spans="1:9" ht="11.25" customHeight="1">
      <c r="A1442" s="3928" t="s">
        <v>2258</v>
      </c>
      <c r="B1442" s="3928" t="s">
        <v>14</v>
      </c>
      <c r="C1442" s="3928" t="s">
        <v>4151</v>
      </c>
      <c r="D1442" s="3928" t="s">
        <v>4152</v>
      </c>
      <c r="E1442" s="3928" t="s">
        <v>4153</v>
      </c>
      <c r="F1442" s="3928" t="s">
        <v>2438</v>
      </c>
      <c r="G1442" s="3928" t="s">
        <v>24</v>
      </c>
      <c r="H1442" s="3928" t="s">
        <v>2772</v>
      </c>
      <c r="I1442" s="3928" t="s">
        <v>898</v>
      </c>
    </row>
    <row r="1443" spans="1:9" ht="11.25" customHeight="1">
      <c r="A1443" s="3928" t="s">
        <v>2258</v>
      </c>
      <c r="B1443" s="3928" t="s">
        <v>14</v>
      </c>
      <c r="C1443" s="3928" t="s">
        <v>4154</v>
      </c>
      <c r="D1443" s="3928" t="s">
        <v>4155</v>
      </c>
      <c r="E1443" s="3928" t="s">
        <v>4156</v>
      </c>
      <c r="F1443" s="3928" t="s">
        <v>2414</v>
      </c>
      <c r="G1443" s="3928" t="s">
        <v>24</v>
      </c>
      <c r="H1443" s="3928" t="s">
        <v>2263</v>
      </c>
      <c r="I1443" s="3928" t="s">
        <v>898</v>
      </c>
    </row>
    <row r="1444" spans="1:9" ht="11.25" customHeight="1">
      <c r="A1444" s="3928" t="s">
        <v>2258</v>
      </c>
      <c r="B1444" s="3928" t="s">
        <v>14</v>
      </c>
      <c r="C1444" s="3928" t="s">
        <v>4157</v>
      </c>
      <c r="D1444" s="3928" t="s">
        <v>4158</v>
      </c>
      <c r="E1444" s="3928" t="s">
        <v>4159</v>
      </c>
      <c r="F1444" s="3928" t="s">
        <v>2289</v>
      </c>
      <c r="G1444" s="3928" t="s">
        <v>24</v>
      </c>
      <c r="H1444" s="3928" t="s">
        <v>2263</v>
      </c>
      <c r="I1444" s="3928" t="s">
        <v>898</v>
      </c>
    </row>
    <row r="1445" spans="1:9" ht="11.25" customHeight="1">
      <c r="A1445" s="3928" t="s">
        <v>2258</v>
      </c>
      <c r="B1445" s="3928" t="s">
        <v>14</v>
      </c>
      <c r="C1445" s="3928" t="s">
        <v>4167</v>
      </c>
      <c r="D1445" s="3928" t="s">
        <v>4168</v>
      </c>
      <c r="E1445" s="3928" t="s">
        <v>4169</v>
      </c>
      <c r="F1445" s="3928" t="s">
        <v>2414</v>
      </c>
      <c r="G1445" s="3928" t="s">
        <v>4170</v>
      </c>
      <c r="H1445" s="3928" t="s">
        <v>24</v>
      </c>
      <c r="I1445" s="3928" t="s">
        <v>898</v>
      </c>
    </row>
    <row r="1446" spans="1:9" ht="11.25" customHeight="1">
      <c r="A1446" s="3928" t="s">
        <v>2258</v>
      </c>
      <c r="B1446" s="3928" t="s">
        <v>14</v>
      </c>
      <c r="C1446" s="3928" t="s">
        <v>4174</v>
      </c>
      <c r="D1446" s="3928" t="s">
        <v>4175</v>
      </c>
      <c r="E1446" s="3928" t="s">
        <v>4176</v>
      </c>
      <c r="F1446" s="3928" t="s">
        <v>2414</v>
      </c>
      <c r="G1446" s="3928" t="s">
        <v>24</v>
      </c>
      <c r="H1446" s="3928" t="s">
        <v>24</v>
      </c>
      <c r="I1446" s="3928" t="s">
        <v>898</v>
      </c>
    </row>
    <row r="1447" spans="1:9" ht="11.25" customHeight="1">
      <c r="A1447" s="3928" t="s">
        <v>2258</v>
      </c>
      <c r="B1447" s="3928" t="s">
        <v>14</v>
      </c>
      <c r="C1447" s="3928" t="s">
        <v>4189</v>
      </c>
      <c r="D1447" s="3928" t="s">
        <v>4190</v>
      </c>
      <c r="E1447" s="3928" t="s">
        <v>4191</v>
      </c>
      <c r="F1447" s="3928" t="s">
        <v>2289</v>
      </c>
      <c r="G1447" s="3928" t="s">
        <v>24</v>
      </c>
      <c r="H1447" s="3928" t="s">
        <v>2263</v>
      </c>
      <c r="I1447" s="3928" t="s">
        <v>898</v>
      </c>
    </row>
    <row r="1448" spans="1:9" ht="11.25" customHeight="1">
      <c r="A1448" s="3928" t="s">
        <v>2258</v>
      </c>
      <c r="B1448" s="3928" t="s">
        <v>14</v>
      </c>
      <c r="C1448" s="3928" t="s">
        <v>6400</v>
      </c>
      <c r="D1448" s="3928" t="s">
        <v>6401</v>
      </c>
      <c r="E1448" s="3928" t="s">
        <v>6402</v>
      </c>
      <c r="F1448" s="3928" t="s">
        <v>2289</v>
      </c>
      <c r="G1448" s="3928" t="s">
        <v>24</v>
      </c>
      <c r="H1448" s="3928" t="s">
        <v>2263</v>
      </c>
      <c r="I1448" s="3928" t="s">
        <v>898</v>
      </c>
    </row>
    <row r="1449" spans="1:9" ht="11.25" customHeight="1">
      <c r="A1449" s="3928" t="s">
        <v>2258</v>
      </c>
      <c r="B1449" s="3928" t="s">
        <v>14</v>
      </c>
      <c r="C1449" s="3928" t="s">
        <v>4192</v>
      </c>
      <c r="D1449" s="3928" t="s">
        <v>4193</v>
      </c>
      <c r="E1449" s="3928" t="s">
        <v>4194</v>
      </c>
      <c r="F1449" s="3928" t="s">
        <v>2289</v>
      </c>
      <c r="G1449" s="3928" t="s">
        <v>24</v>
      </c>
      <c r="H1449" s="3928" t="s">
        <v>2263</v>
      </c>
      <c r="I1449" s="3928" t="s">
        <v>898</v>
      </c>
    </row>
    <row r="1450" spans="1:9" ht="11.25" customHeight="1">
      <c r="A1450" s="3928" t="s">
        <v>2258</v>
      </c>
      <c r="B1450" s="3928" t="s">
        <v>14</v>
      </c>
      <c r="C1450" s="3928" t="s">
        <v>4198</v>
      </c>
      <c r="D1450" s="3928" t="s">
        <v>4199</v>
      </c>
      <c r="E1450" s="3928" t="s">
        <v>4200</v>
      </c>
      <c r="F1450" s="3928" t="s">
        <v>2780</v>
      </c>
      <c r="G1450" s="3928" t="s">
        <v>24</v>
      </c>
      <c r="H1450" s="3928" t="s">
        <v>2263</v>
      </c>
      <c r="I1450" s="3928" t="s">
        <v>898</v>
      </c>
    </row>
    <row r="1451" spans="1:9" ht="11.25" customHeight="1">
      <c r="A1451" s="3928" t="s">
        <v>2258</v>
      </c>
      <c r="B1451" s="3928" t="s">
        <v>14</v>
      </c>
      <c r="C1451" s="3928" t="s">
        <v>4204</v>
      </c>
      <c r="D1451" s="3928" t="s">
        <v>4202</v>
      </c>
      <c r="E1451" s="3928" t="s">
        <v>4203</v>
      </c>
      <c r="F1451" s="3928" t="s">
        <v>2974</v>
      </c>
      <c r="G1451" s="3928" t="s">
        <v>4205</v>
      </c>
      <c r="H1451" s="3928" t="s">
        <v>4206</v>
      </c>
      <c r="I1451" s="3928" t="s">
        <v>898</v>
      </c>
    </row>
    <row r="1452" spans="1:9" ht="11.25" customHeight="1">
      <c r="A1452" s="3928" t="s">
        <v>2258</v>
      </c>
      <c r="B1452" s="3928" t="s">
        <v>14</v>
      </c>
      <c r="C1452" s="3928" t="s">
        <v>4207</v>
      </c>
      <c r="D1452" s="3928" t="s">
        <v>4208</v>
      </c>
      <c r="E1452" s="3928" t="s">
        <v>4209</v>
      </c>
      <c r="F1452" s="3928" t="s">
        <v>3082</v>
      </c>
      <c r="G1452" s="3928" t="s">
        <v>4210</v>
      </c>
      <c r="H1452" s="3928" t="s">
        <v>2945</v>
      </c>
      <c r="I1452" s="3928" t="s">
        <v>898</v>
      </c>
    </row>
    <row r="1453" spans="1:9" ht="11.25" customHeight="1">
      <c r="A1453" s="3928" t="s">
        <v>2258</v>
      </c>
      <c r="B1453" s="3928" t="s">
        <v>14</v>
      </c>
      <c r="C1453" s="3928" t="s">
        <v>4220</v>
      </c>
      <c r="D1453" s="3928" t="s">
        <v>4221</v>
      </c>
      <c r="E1453" s="3928" t="s">
        <v>4222</v>
      </c>
      <c r="F1453" s="3928" t="s">
        <v>2414</v>
      </c>
      <c r="G1453" s="3928" t="s">
        <v>24</v>
      </c>
      <c r="H1453" s="3928" t="s">
        <v>2263</v>
      </c>
      <c r="I1453" s="3928" t="s">
        <v>898</v>
      </c>
    </row>
    <row r="1454" spans="1:9" ht="11.25" customHeight="1">
      <c r="A1454" s="3928" t="s">
        <v>2258</v>
      </c>
      <c r="B1454" s="3928" t="s">
        <v>14</v>
      </c>
      <c r="C1454" s="3928" t="s">
        <v>4230</v>
      </c>
      <c r="D1454" s="3928" t="s">
        <v>4231</v>
      </c>
      <c r="E1454" s="3928" t="s">
        <v>4232</v>
      </c>
      <c r="F1454" s="3928" t="s">
        <v>2375</v>
      </c>
      <c r="G1454" s="3928" t="s">
        <v>4233</v>
      </c>
      <c r="H1454" s="3928" t="s">
        <v>24</v>
      </c>
      <c r="I1454" s="3928" t="s">
        <v>898</v>
      </c>
    </row>
    <row r="1455" spans="1:9" ht="11.25" customHeight="1">
      <c r="A1455" s="3928" t="s">
        <v>2258</v>
      </c>
      <c r="B1455" s="3928" t="s">
        <v>14</v>
      </c>
      <c r="C1455" s="3928" t="s">
        <v>4234</v>
      </c>
      <c r="D1455" s="3928" t="s">
        <v>4235</v>
      </c>
      <c r="E1455" s="3928" t="s">
        <v>4236</v>
      </c>
      <c r="F1455" s="3928" t="s">
        <v>2771</v>
      </c>
      <c r="G1455" s="3928" t="s">
        <v>24</v>
      </c>
      <c r="H1455" s="3928" t="s">
        <v>3068</v>
      </c>
      <c r="I1455" s="3928" t="s">
        <v>898</v>
      </c>
    </row>
    <row r="1456" spans="1:9" ht="11.25" customHeight="1">
      <c r="A1456" s="3928" t="s">
        <v>2258</v>
      </c>
      <c r="B1456" s="3928" t="s">
        <v>14</v>
      </c>
      <c r="C1456" s="3928" t="s">
        <v>4246</v>
      </c>
      <c r="D1456" s="3928" t="s">
        <v>4247</v>
      </c>
      <c r="E1456" s="3928" t="s">
        <v>4248</v>
      </c>
      <c r="F1456" s="3928" t="s">
        <v>2397</v>
      </c>
      <c r="G1456" s="3928" t="s">
        <v>24</v>
      </c>
      <c r="H1456" s="3928" t="s">
        <v>24</v>
      </c>
      <c r="I1456" s="3928" t="s">
        <v>898</v>
      </c>
    </row>
    <row r="1457" spans="1:9" ht="11.25" customHeight="1">
      <c r="A1457" s="3928" t="s">
        <v>2258</v>
      </c>
      <c r="B1457" s="3928" t="s">
        <v>14</v>
      </c>
      <c r="C1457" s="3928" t="s">
        <v>4291</v>
      </c>
      <c r="D1457" s="3928" t="s">
        <v>4292</v>
      </c>
      <c r="E1457" s="3928" t="s">
        <v>4293</v>
      </c>
      <c r="F1457" s="3928" t="s">
        <v>2414</v>
      </c>
      <c r="G1457" s="3928" t="s">
        <v>4294</v>
      </c>
      <c r="H1457" s="3928" t="s">
        <v>24</v>
      </c>
      <c r="I1457" s="3928" t="s">
        <v>898</v>
      </c>
    </row>
    <row r="1458" spans="1:9" ht="11.25" customHeight="1">
      <c r="A1458" s="3928" t="s">
        <v>2258</v>
      </c>
      <c r="B1458" s="3928" t="s">
        <v>14</v>
      </c>
      <c r="C1458" s="3928" t="s">
        <v>4295</v>
      </c>
      <c r="D1458" s="3928" t="s">
        <v>4296</v>
      </c>
      <c r="E1458" s="3928" t="s">
        <v>4297</v>
      </c>
      <c r="F1458" s="3928" t="s">
        <v>2397</v>
      </c>
      <c r="G1458" s="3928" t="s">
        <v>24</v>
      </c>
      <c r="H1458" s="3928" t="s">
        <v>24</v>
      </c>
      <c r="I1458" s="3928" t="s">
        <v>898</v>
      </c>
    </row>
    <row r="1459" spans="1:9" ht="11.25" customHeight="1">
      <c r="A1459" s="3928" t="s">
        <v>2258</v>
      </c>
      <c r="B1459" s="3928" t="s">
        <v>14</v>
      </c>
      <c r="C1459" s="3928" t="s">
        <v>4304</v>
      </c>
      <c r="D1459" s="3928" t="s">
        <v>4305</v>
      </c>
      <c r="E1459" s="3928" t="s">
        <v>4306</v>
      </c>
      <c r="F1459" s="3928" t="s">
        <v>2289</v>
      </c>
      <c r="G1459" s="3928" t="s">
        <v>24</v>
      </c>
      <c r="H1459" s="3928" t="s">
        <v>2263</v>
      </c>
      <c r="I1459" s="3928" t="s">
        <v>898</v>
      </c>
    </row>
    <row r="1460" spans="1:9" ht="11.25" customHeight="1">
      <c r="A1460" s="3928" t="s">
        <v>2258</v>
      </c>
      <c r="B1460" s="3928" t="s">
        <v>14</v>
      </c>
      <c r="C1460" s="3928" t="s">
        <v>4315</v>
      </c>
      <c r="D1460" s="3928" t="s">
        <v>4316</v>
      </c>
      <c r="E1460" s="3928" t="s">
        <v>4317</v>
      </c>
      <c r="F1460" s="3928" t="s">
        <v>2289</v>
      </c>
      <c r="G1460" s="3928" t="s">
        <v>24</v>
      </c>
      <c r="H1460" s="3928" t="s">
        <v>2263</v>
      </c>
      <c r="I1460" s="3928" t="s">
        <v>898</v>
      </c>
    </row>
    <row r="1461" spans="1:9" ht="11.25" customHeight="1">
      <c r="A1461" s="3928" t="s">
        <v>2258</v>
      </c>
      <c r="B1461" s="3928" t="s">
        <v>14</v>
      </c>
      <c r="C1461" s="3928" t="s">
        <v>4318</v>
      </c>
      <c r="D1461" s="3928" t="s">
        <v>4319</v>
      </c>
      <c r="E1461" s="3928" t="s">
        <v>4320</v>
      </c>
      <c r="F1461" s="3928" t="s">
        <v>2289</v>
      </c>
      <c r="G1461" s="3928" t="s">
        <v>24</v>
      </c>
      <c r="H1461" s="3928" t="s">
        <v>2263</v>
      </c>
      <c r="I1461" s="3928" t="s">
        <v>898</v>
      </c>
    </row>
    <row r="1462" spans="1:9" ht="11.25" customHeight="1">
      <c r="A1462" s="3928" t="s">
        <v>2258</v>
      </c>
      <c r="B1462" s="3928" t="s">
        <v>14</v>
      </c>
      <c r="C1462" s="3928" t="s">
        <v>4327</v>
      </c>
      <c r="D1462" s="3928" t="s">
        <v>4328</v>
      </c>
      <c r="E1462" s="3928" t="s">
        <v>4329</v>
      </c>
      <c r="F1462" s="3928" t="s">
        <v>2473</v>
      </c>
      <c r="G1462" s="3928" t="s">
        <v>24</v>
      </c>
      <c r="H1462" s="3928" t="s">
        <v>2263</v>
      </c>
      <c r="I1462" s="3928" t="s">
        <v>898</v>
      </c>
    </row>
    <row r="1463" spans="1:9" ht="11.25" customHeight="1">
      <c r="A1463" s="3928" t="s">
        <v>2258</v>
      </c>
      <c r="B1463" s="3928" t="s">
        <v>14</v>
      </c>
      <c r="C1463" s="3928" t="s">
        <v>4333</v>
      </c>
      <c r="D1463" s="3928" t="s">
        <v>4334</v>
      </c>
      <c r="E1463" s="3928" t="s">
        <v>4335</v>
      </c>
      <c r="F1463" s="3928" t="s">
        <v>2289</v>
      </c>
      <c r="G1463" s="3928" t="s">
        <v>24</v>
      </c>
      <c r="H1463" s="3928" t="s">
        <v>24</v>
      </c>
      <c r="I1463" s="3928" t="s">
        <v>898</v>
      </c>
    </row>
    <row r="1464" spans="1:9" ht="11.25" customHeight="1">
      <c r="A1464" s="3928" t="s">
        <v>2258</v>
      </c>
      <c r="B1464" s="3928" t="s">
        <v>14</v>
      </c>
      <c r="C1464" s="3928" t="s">
        <v>6403</v>
      </c>
      <c r="D1464" s="3928" t="s">
        <v>6404</v>
      </c>
      <c r="E1464" s="3928" t="s">
        <v>6405</v>
      </c>
      <c r="F1464" s="3928" t="s">
        <v>2304</v>
      </c>
      <c r="G1464" s="3928" t="s">
        <v>24</v>
      </c>
      <c r="H1464" s="3928" t="s">
        <v>2263</v>
      </c>
      <c r="I1464" s="3928" t="s">
        <v>898</v>
      </c>
    </row>
    <row r="1465" spans="1:9" ht="11.25" customHeight="1">
      <c r="A1465" s="3928" t="s">
        <v>2258</v>
      </c>
      <c r="B1465" s="3928" t="s">
        <v>14</v>
      </c>
      <c r="C1465" s="3928" t="s">
        <v>4336</v>
      </c>
      <c r="D1465" s="3928" t="s">
        <v>4337</v>
      </c>
      <c r="E1465" s="3928" t="s">
        <v>4338</v>
      </c>
      <c r="F1465" s="3928" t="s">
        <v>2289</v>
      </c>
      <c r="G1465" s="3928" t="s">
        <v>4339</v>
      </c>
      <c r="H1465" s="3928" t="s">
        <v>24</v>
      </c>
      <c r="I1465" s="3928" t="s">
        <v>898</v>
      </c>
    </row>
    <row r="1466" spans="1:9" ht="11.25" customHeight="1">
      <c r="A1466" s="3928" t="s">
        <v>2258</v>
      </c>
      <c r="B1466" s="3928" t="s">
        <v>14</v>
      </c>
      <c r="C1466" s="3928" t="s">
        <v>4340</v>
      </c>
      <c r="D1466" s="3928" t="s">
        <v>4341</v>
      </c>
      <c r="E1466" s="3928" t="s">
        <v>4342</v>
      </c>
      <c r="F1466" s="3928" t="s">
        <v>2309</v>
      </c>
      <c r="G1466" s="3928" t="s">
        <v>24</v>
      </c>
      <c r="H1466" s="3928" t="s">
        <v>24</v>
      </c>
      <c r="I1466" s="3928" t="s">
        <v>898</v>
      </c>
    </row>
    <row r="1467" spans="1:9" ht="11.25" customHeight="1">
      <c r="A1467" s="3928" t="s">
        <v>2258</v>
      </c>
      <c r="B1467" s="3928" t="s">
        <v>14</v>
      </c>
      <c r="C1467" s="3928" t="s">
        <v>4343</v>
      </c>
      <c r="D1467" s="3928" t="s">
        <v>4344</v>
      </c>
      <c r="E1467" s="3928" t="s">
        <v>4345</v>
      </c>
      <c r="F1467" s="3928" t="s">
        <v>2567</v>
      </c>
      <c r="G1467" s="3928" t="s">
        <v>2630</v>
      </c>
      <c r="H1467" s="3928" t="s">
        <v>24</v>
      </c>
      <c r="I1467" s="3928" t="s">
        <v>898</v>
      </c>
    </row>
    <row r="1468" spans="1:9" ht="11.25" customHeight="1">
      <c r="A1468" s="3928" t="s">
        <v>2258</v>
      </c>
      <c r="B1468" s="3928" t="s">
        <v>14</v>
      </c>
      <c r="C1468" s="3928" t="s">
        <v>4346</v>
      </c>
      <c r="D1468" s="3928" t="s">
        <v>4347</v>
      </c>
      <c r="E1468" s="3928" t="s">
        <v>4348</v>
      </c>
      <c r="F1468" s="3928" t="s">
        <v>2826</v>
      </c>
      <c r="G1468" s="3928" t="s">
        <v>4349</v>
      </c>
      <c r="H1468" s="3928" t="s">
        <v>24</v>
      </c>
      <c r="I1468" s="3928" t="s">
        <v>898</v>
      </c>
    </row>
    <row r="1469" spans="1:9" ht="11.25" customHeight="1">
      <c r="A1469" s="3928" t="s">
        <v>2258</v>
      </c>
      <c r="B1469" s="3928" t="s">
        <v>14</v>
      </c>
      <c r="C1469" s="3928" t="s">
        <v>4354</v>
      </c>
      <c r="D1469" s="3928" t="s">
        <v>4355</v>
      </c>
      <c r="E1469" s="3928" t="s">
        <v>4356</v>
      </c>
      <c r="F1469" s="3928" t="s">
        <v>49</v>
      </c>
      <c r="G1469" s="3928" t="s">
        <v>4357</v>
      </c>
      <c r="H1469" s="3928" t="s">
        <v>4358</v>
      </c>
      <c r="I1469" s="3928" t="s">
        <v>898</v>
      </c>
    </row>
    <row r="1470" spans="1:9" ht="11.25" customHeight="1">
      <c r="A1470" s="3928" t="s">
        <v>2258</v>
      </c>
      <c r="B1470" s="3928" t="s">
        <v>14</v>
      </c>
      <c r="C1470" s="3928" t="s">
        <v>4359</v>
      </c>
      <c r="D1470" s="3928" t="s">
        <v>4355</v>
      </c>
      <c r="E1470" s="3928" t="s">
        <v>4360</v>
      </c>
      <c r="F1470" s="3928" t="s">
        <v>49</v>
      </c>
      <c r="G1470" s="3928" t="s">
        <v>4361</v>
      </c>
      <c r="H1470" s="3928" t="s">
        <v>24</v>
      </c>
      <c r="I1470" s="3928" t="s">
        <v>898</v>
      </c>
    </row>
    <row r="1471" spans="1:9" ht="11.25" customHeight="1">
      <c r="A1471" s="3928" t="s">
        <v>2258</v>
      </c>
      <c r="B1471" s="3928" t="s">
        <v>14</v>
      </c>
      <c r="C1471" s="3928" t="s">
        <v>6406</v>
      </c>
      <c r="D1471" s="3928" t="s">
        <v>6407</v>
      </c>
      <c r="E1471" s="3928" t="s">
        <v>6408</v>
      </c>
      <c r="F1471" s="3928" t="s">
        <v>4721</v>
      </c>
      <c r="G1471" s="3928" t="s">
        <v>6409</v>
      </c>
      <c r="H1471" s="3928" t="s">
        <v>24</v>
      </c>
      <c r="I1471" s="3928" t="s">
        <v>898</v>
      </c>
    </row>
    <row r="1472" spans="1:9" ht="11.25" customHeight="1">
      <c r="A1472" s="3928" t="s">
        <v>2258</v>
      </c>
      <c r="B1472" s="3928" t="s">
        <v>14</v>
      </c>
      <c r="C1472" s="3928" t="s">
        <v>4366</v>
      </c>
      <c r="D1472" s="3928" t="s">
        <v>4367</v>
      </c>
      <c r="E1472" s="3928" t="s">
        <v>4368</v>
      </c>
      <c r="F1472" s="3928" t="s">
        <v>2429</v>
      </c>
      <c r="G1472" s="3928" t="s">
        <v>24</v>
      </c>
      <c r="H1472" s="3928" t="s">
        <v>24</v>
      </c>
      <c r="I1472" s="3928" t="s">
        <v>898</v>
      </c>
    </row>
    <row r="1473" spans="1:9" ht="11.25" customHeight="1">
      <c r="A1473" s="3928" t="s">
        <v>2258</v>
      </c>
      <c r="B1473" s="3928" t="s">
        <v>14</v>
      </c>
      <c r="C1473" s="3928" t="s">
        <v>4374</v>
      </c>
      <c r="D1473" s="3928" t="s">
        <v>4375</v>
      </c>
      <c r="E1473" s="3928" t="s">
        <v>4376</v>
      </c>
      <c r="F1473" s="3928" t="s">
        <v>2567</v>
      </c>
      <c r="G1473" s="3928" t="s">
        <v>4377</v>
      </c>
      <c r="H1473" s="3928" t="s">
        <v>24</v>
      </c>
      <c r="I1473" s="3928" t="s">
        <v>898</v>
      </c>
    </row>
    <row r="1474" spans="1:9" ht="11.25" customHeight="1">
      <c r="A1474" s="3928" t="s">
        <v>2258</v>
      </c>
      <c r="B1474" s="3928" t="s">
        <v>14</v>
      </c>
      <c r="C1474" s="3928" t="s">
        <v>4381</v>
      </c>
      <c r="D1474" s="3928" t="s">
        <v>4382</v>
      </c>
      <c r="E1474" s="3928" t="s">
        <v>4383</v>
      </c>
      <c r="F1474" s="3928" t="s">
        <v>2294</v>
      </c>
      <c r="G1474" s="3928" t="s">
        <v>4384</v>
      </c>
      <c r="H1474" s="3928" t="s">
        <v>24</v>
      </c>
      <c r="I1474" s="3928" t="s">
        <v>898</v>
      </c>
    </row>
    <row r="1475" spans="1:9" ht="11.25" customHeight="1">
      <c r="A1475" s="3928" t="s">
        <v>2258</v>
      </c>
      <c r="B1475" s="3928" t="s">
        <v>14</v>
      </c>
      <c r="C1475" s="3928" t="s">
        <v>4392</v>
      </c>
      <c r="D1475" s="3928" t="s">
        <v>4393</v>
      </c>
      <c r="E1475" s="3928" t="s">
        <v>4394</v>
      </c>
      <c r="F1475" s="3928" t="s">
        <v>2929</v>
      </c>
      <c r="G1475" s="3928" t="s">
        <v>4395</v>
      </c>
      <c r="H1475" s="3928" t="s">
        <v>24</v>
      </c>
      <c r="I1475" s="3928" t="s">
        <v>898</v>
      </c>
    </row>
    <row r="1476" spans="1:9" ht="11.25" customHeight="1">
      <c r="A1476" s="3928" t="s">
        <v>2258</v>
      </c>
      <c r="B1476" s="3928" t="s">
        <v>14</v>
      </c>
      <c r="C1476" s="3928" t="s">
        <v>4396</v>
      </c>
      <c r="D1476" s="3928" t="s">
        <v>4397</v>
      </c>
      <c r="E1476" s="3928" t="s">
        <v>4398</v>
      </c>
      <c r="F1476" s="3928" t="s">
        <v>49</v>
      </c>
      <c r="G1476" s="3928" t="s">
        <v>24</v>
      </c>
      <c r="H1476" s="3928" t="s">
        <v>24</v>
      </c>
      <c r="I1476" s="3928" t="s">
        <v>898</v>
      </c>
    </row>
    <row r="1477" spans="1:9" ht="11.25" customHeight="1">
      <c r="A1477" s="3928" t="s">
        <v>2258</v>
      </c>
      <c r="B1477" s="3928" t="s">
        <v>14</v>
      </c>
      <c r="C1477" s="3928" t="s">
        <v>4402</v>
      </c>
      <c r="D1477" s="3928" t="s">
        <v>4403</v>
      </c>
      <c r="E1477" s="3928" t="s">
        <v>4404</v>
      </c>
      <c r="F1477" s="3928" t="s">
        <v>2309</v>
      </c>
      <c r="G1477" s="3928" t="s">
        <v>2443</v>
      </c>
      <c r="H1477" s="3928" t="s">
        <v>24</v>
      </c>
      <c r="I1477" s="3928" t="s">
        <v>898</v>
      </c>
    </row>
    <row r="1478" spans="1:9" ht="11.25" customHeight="1">
      <c r="A1478" s="3928" t="s">
        <v>2258</v>
      </c>
      <c r="B1478" s="3928" t="s">
        <v>14</v>
      </c>
      <c r="C1478" s="3928" t="s">
        <v>4405</v>
      </c>
      <c r="D1478" s="3928" t="s">
        <v>4403</v>
      </c>
      <c r="E1478" s="3928" t="s">
        <v>4406</v>
      </c>
      <c r="F1478" s="3928" t="s">
        <v>2304</v>
      </c>
      <c r="G1478" s="3928" t="s">
        <v>24</v>
      </c>
      <c r="H1478" s="3928" t="s">
        <v>24</v>
      </c>
      <c r="I1478" s="3928" t="s">
        <v>898</v>
      </c>
    </row>
    <row r="1479" spans="1:9" ht="11.25" customHeight="1">
      <c r="A1479" s="3928" t="s">
        <v>2258</v>
      </c>
      <c r="B1479" s="3928" t="s">
        <v>14</v>
      </c>
      <c r="C1479" s="3928" t="s">
        <v>4407</v>
      </c>
      <c r="D1479" s="3928" t="s">
        <v>4403</v>
      </c>
      <c r="E1479" s="3928" t="s">
        <v>4406</v>
      </c>
      <c r="F1479" s="3928" t="s">
        <v>4408</v>
      </c>
      <c r="G1479" s="3928" t="s">
        <v>4409</v>
      </c>
      <c r="H1479" s="3928" t="s">
        <v>24</v>
      </c>
      <c r="I1479" s="3928" t="s">
        <v>898</v>
      </c>
    </row>
    <row r="1480" spans="1:9" ht="11.25" customHeight="1">
      <c r="A1480" s="3928" t="s">
        <v>2258</v>
      </c>
      <c r="B1480" s="3928" t="s">
        <v>14</v>
      </c>
      <c r="C1480" s="3928" t="s">
        <v>4410</v>
      </c>
      <c r="D1480" s="3928" t="s">
        <v>4411</v>
      </c>
      <c r="E1480" s="3928" t="s">
        <v>4412</v>
      </c>
      <c r="F1480" s="3928" t="s">
        <v>2304</v>
      </c>
      <c r="G1480" s="3928" t="s">
        <v>4413</v>
      </c>
      <c r="H1480" s="3928" t="s">
        <v>24</v>
      </c>
      <c r="I1480" s="3928" t="s">
        <v>898</v>
      </c>
    </row>
    <row r="1481" spans="1:9" ht="11.25" customHeight="1">
      <c r="A1481" s="3928" t="s">
        <v>2258</v>
      </c>
      <c r="B1481" s="3928" t="s">
        <v>14</v>
      </c>
      <c r="C1481" s="3928" t="s">
        <v>4414</v>
      </c>
      <c r="D1481" s="3928" t="s">
        <v>4415</v>
      </c>
      <c r="E1481" s="3928" t="s">
        <v>4416</v>
      </c>
      <c r="F1481" s="3928" t="s">
        <v>2309</v>
      </c>
      <c r="G1481" s="3928" t="s">
        <v>4417</v>
      </c>
      <c r="H1481" s="3928" t="s">
        <v>24</v>
      </c>
      <c r="I1481" s="3928" t="s">
        <v>898</v>
      </c>
    </row>
    <row r="1482" spans="1:9" ht="11.25" customHeight="1">
      <c r="A1482" s="3928" t="s">
        <v>2258</v>
      </c>
      <c r="B1482" s="3928" t="s">
        <v>14</v>
      </c>
      <c r="C1482" s="3928" t="s">
        <v>4418</v>
      </c>
      <c r="D1482" s="3928" t="s">
        <v>4419</v>
      </c>
      <c r="E1482" s="3928" t="s">
        <v>4420</v>
      </c>
      <c r="F1482" s="3928" t="s">
        <v>2325</v>
      </c>
      <c r="G1482" s="3928" t="s">
        <v>4421</v>
      </c>
      <c r="H1482" s="3928" t="s">
        <v>24</v>
      </c>
      <c r="I1482" s="3928" t="s">
        <v>898</v>
      </c>
    </row>
    <row r="1483" spans="1:9" ht="11.25" customHeight="1">
      <c r="A1483" s="3928" t="s">
        <v>2258</v>
      </c>
      <c r="B1483" s="3928" t="s">
        <v>14</v>
      </c>
      <c r="C1483" s="3928" t="s">
        <v>4422</v>
      </c>
      <c r="D1483" s="3928" t="s">
        <v>4423</v>
      </c>
      <c r="E1483" s="3928" t="s">
        <v>4424</v>
      </c>
      <c r="F1483" s="3928" t="s">
        <v>2289</v>
      </c>
      <c r="G1483" s="3928" t="s">
        <v>24</v>
      </c>
      <c r="H1483" s="3928" t="s">
        <v>24</v>
      </c>
      <c r="I1483" s="3928" t="s">
        <v>898</v>
      </c>
    </row>
    <row r="1484" spans="1:9" ht="11.25" customHeight="1">
      <c r="A1484" s="3928" t="s">
        <v>2258</v>
      </c>
      <c r="B1484" s="3928" t="s">
        <v>14</v>
      </c>
      <c r="C1484" s="3928" t="s">
        <v>4429</v>
      </c>
      <c r="D1484" s="3928" t="s">
        <v>4430</v>
      </c>
      <c r="E1484" s="3928" t="s">
        <v>4431</v>
      </c>
      <c r="F1484" s="3928" t="s">
        <v>2309</v>
      </c>
      <c r="G1484" s="3928" t="s">
        <v>24</v>
      </c>
      <c r="H1484" s="3928" t="s">
        <v>24</v>
      </c>
      <c r="I1484" s="3928" t="s">
        <v>898</v>
      </c>
    </row>
    <row r="1485" spans="1:9" ht="11.25" customHeight="1">
      <c r="A1485" s="3928" t="s">
        <v>2258</v>
      </c>
      <c r="B1485" s="3928" t="s">
        <v>14</v>
      </c>
      <c r="C1485" s="3928" t="s">
        <v>4432</v>
      </c>
      <c r="D1485" s="3928" t="s">
        <v>4433</v>
      </c>
      <c r="E1485" s="3928" t="s">
        <v>4434</v>
      </c>
      <c r="F1485" s="3928" t="s">
        <v>4435</v>
      </c>
      <c r="G1485" s="3928" t="s">
        <v>4436</v>
      </c>
      <c r="H1485" s="3928" t="s">
        <v>24</v>
      </c>
      <c r="I1485" s="3928" t="s">
        <v>898</v>
      </c>
    </row>
    <row r="1486" spans="1:9" ht="11.25" customHeight="1">
      <c r="A1486" s="3928" t="s">
        <v>2258</v>
      </c>
      <c r="B1486" s="3928" t="s">
        <v>14</v>
      </c>
      <c r="C1486" s="3928" t="s">
        <v>4440</v>
      </c>
      <c r="D1486" s="3928" t="s">
        <v>4441</v>
      </c>
      <c r="E1486" s="3928" t="s">
        <v>4442</v>
      </c>
      <c r="F1486" s="3928" t="s">
        <v>2486</v>
      </c>
      <c r="G1486" s="3928" t="s">
        <v>24</v>
      </c>
      <c r="H1486" s="3928" t="s">
        <v>2263</v>
      </c>
      <c r="I1486" s="3928" t="s">
        <v>898</v>
      </c>
    </row>
    <row r="1487" spans="1:9" ht="11.25" customHeight="1">
      <c r="A1487" s="3928" t="s">
        <v>2258</v>
      </c>
      <c r="B1487" s="3928" t="s">
        <v>14</v>
      </c>
      <c r="C1487" s="3928" t="s">
        <v>4443</v>
      </c>
      <c r="D1487" s="3928" t="s">
        <v>4444</v>
      </c>
      <c r="E1487" s="3928" t="s">
        <v>4445</v>
      </c>
      <c r="F1487" s="3928" t="s">
        <v>2419</v>
      </c>
      <c r="G1487" s="3928" t="s">
        <v>24</v>
      </c>
      <c r="H1487" s="3928" t="s">
        <v>24</v>
      </c>
      <c r="I1487" s="3928" t="s">
        <v>898</v>
      </c>
    </row>
    <row r="1488" spans="1:9" ht="11.25" customHeight="1">
      <c r="A1488" s="3928" t="s">
        <v>2258</v>
      </c>
      <c r="B1488" s="3928" t="s">
        <v>14</v>
      </c>
      <c r="C1488" s="3928" t="s">
        <v>4446</v>
      </c>
      <c r="D1488" s="3928" t="s">
        <v>4447</v>
      </c>
      <c r="E1488" s="3928" t="s">
        <v>4448</v>
      </c>
      <c r="F1488" s="3928" t="s">
        <v>2771</v>
      </c>
      <c r="G1488" s="3928" t="s">
        <v>4449</v>
      </c>
      <c r="H1488" s="3928" t="s">
        <v>2263</v>
      </c>
      <c r="I1488" s="3928" t="s">
        <v>898</v>
      </c>
    </row>
    <row r="1489" spans="1:9" ht="11.25" customHeight="1">
      <c r="A1489" s="3928" t="s">
        <v>2258</v>
      </c>
      <c r="B1489" s="3928" t="s">
        <v>14</v>
      </c>
      <c r="C1489" s="3928" t="s">
        <v>4450</v>
      </c>
      <c r="D1489" s="3928" t="s">
        <v>4451</v>
      </c>
      <c r="E1489" s="3928" t="s">
        <v>4452</v>
      </c>
      <c r="F1489" s="3928" t="s">
        <v>2675</v>
      </c>
      <c r="G1489" s="3928" t="s">
        <v>24</v>
      </c>
      <c r="H1489" s="3928" t="s">
        <v>2263</v>
      </c>
      <c r="I1489" s="3928" t="s">
        <v>898</v>
      </c>
    </row>
    <row r="1490" spans="1:9" ht="11.25" customHeight="1">
      <c r="A1490" s="3928" t="s">
        <v>2258</v>
      </c>
      <c r="B1490" s="3928" t="s">
        <v>14</v>
      </c>
      <c r="C1490" s="3928" t="s">
        <v>4457</v>
      </c>
      <c r="D1490" s="3928" t="s">
        <v>4458</v>
      </c>
      <c r="E1490" s="3928" t="s">
        <v>4459</v>
      </c>
      <c r="F1490" s="3928" t="s">
        <v>2375</v>
      </c>
      <c r="G1490" s="3928" t="s">
        <v>24</v>
      </c>
      <c r="H1490" s="3928" t="s">
        <v>24</v>
      </c>
      <c r="I1490" s="3928" t="s">
        <v>898</v>
      </c>
    </row>
    <row r="1491" spans="1:9" ht="11.25" customHeight="1">
      <c r="A1491" s="3928" t="s">
        <v>2258</v>
      </c>
      <c r="B1491" s="3928" t="s">
        <v>14</v>
      </c>
      <c r="C1491" s="3928" t="s">
        <v>4460</v>
      </c>
      <c r="D1491" s="3928" t="s">
        <v>4461</v>
      </c>
      <c r="E1491" s="3928" t="s">
        <v>4462</v>
      </c>
      <c r="F1491" s="3928" t="s">
        <v>2325</v>
      </c>
      <c r="G1491" s="3928" t="s">
        <v>24</v>
      </c>
      <c r="H1491" s="3928" t="s">
        <v>24</v>
      </c>
      <c r="I1491" s="3928" t="s">
        <v>898</v>
      </c>
    </row>
    <row r="1492" spans="1:9" ht="11.25" customHeight="1">
      <c r="A1492" s="3928" t="s">
        <v>2258</v>
      </c>
      <c r="B1492" s="3928" t="s">
        <v>14</v>
      </c>
      <c r="C1492" s="3928" t="s">
        <v>4476</v>
      </c>
      <c r="D1492" s="3928" t="s">
        <v>4477</v>
      </c>
      <c r="E1492" s="3928" t="s">
        <v>4478</v>
      </c>
      <c r="F1492" s="3928" t="s">
        <v>2359</v>
      </c>
      <c r="G1492" s="3928" t="s">
        <v>24</v>
      </c>
      <c r="H1492" s="3928" t="s">
        <v>2263</v>
      </c>
      <c r="I1492" s="3928" t="s">
        <v>898</v>
      </c>
    </row>
    <row r="1493" spans="1:9" ht="11.25" customHeight="1">
      <c r="A1493" s="3928" t="s">
        <v>2258</v>
      </c>
      <c r="B1493" s="3928" t="s">
        <v>14</v>
      </c>
      <c r="C1493" s="3928" t="s">
        <v>6410</v>
      </c>
      <c r="D1493" s="3928" t="s">
        <v>6411</v>
      </c>
      <c r="E1493" s="3928" t="s">
        <v>6412</v>
      </c>
      <c r="F1493" s="3928" t="s">
        <v>2304</v>
      </c>
      <c r="G1493" s="3928" t="s">
        <v>24</v>
      </c>
      <c r="H1493" s="3928" t="s">
        <v>2263</v>
      </c>
      <c r="I1493" s="3928" t="s">
        <v>898</v>
      </c>
    </row>
    <row r="1494" spans="1:9" ht="11.25" customHeight="1">
      <c r="A1494" s="3928" t="s">
        <v>2258</v>
      </c>
      <c r="B1494" s="3928" t="s">
        <v>14</v>
      </c>
      <c r="C1494" s="3928" t="s">
        <v>4494</v>
      </c>
      <c r="D1494" s="3928" t="s">
        <v>4495</v>
      </c>
      <c r="E1494" s="3928" t="s">
        <v>4496</v>
      </c>
      <c r="F1494" s="3928" t="s">
        <v>2469</v>
      </c>
      <c r="G1494" s="3928" t="s">
        <v>4497</v>
      </c>
      <c r="H1494" s="3928" t="s">
        <v>24</v>
      </c>
      <c r="I1494" s="3928" t="s">
        <v>898</v>
      </c>
    </row>
    <row r="1495" spans="1:9" ht="11.25" customHeight="1">
      <c r="A1495" s="3928" t="s">
        <v>2258</v>
      </c>
      <c r="B1495" s="3928" t="s">
        <v>14</v>
      </c>
      <c r="C1495" s="3928" t="s">
        <v>4498</v>
      </c>
      <c r="D1495" s="3928" t="s">
        <v>4499</v>
      </c>
      <c r="E1495" s="3928" t="s">
        <v>4500</v>
      </c>
      <c r="F1495" s="3928" t="s">
        <v>2344</v>
      </c>
      <c r="G1495" s="3928" t="s">
        <v>4501</v>
      </c>
      <c r="H1495" s="3928" t="s">
        <v>24</v>
      </c>
      <c r="I1495" s="3928" t="s">
        <v>898</v>
      </c>
    </row>
    <row r="1496" spans="1:9" ht="11.25" customHeight="1">
      <c r="A1496" s="3928" t="s">
        <v>2258</v>
      </c>
      <c r="B1496" s="3928" t="s">
        <v>14</v>
      </c>
      <c r="C1496" s="3928" t="s">
        <v>4508</v>
      </c>
      <c r="D1496" s="3928" t="s">
        <v>4509</v>
      </c>
      <c r="E1496" s="3928" t="s">
        <v>4510</v>
      </c>
      <c r="F1496" s="3928" t="s">
        <v>2309</v>
      </c>
      <c r="G1496" s="3928" t="s">
        <v>24</v>
      </c>
      <c r="H1496" s="3928" t="s">
        <v>24</v>
      </c>
      <c r="I1496" s="3928" t="s">
        <v>898</v>
      </c>
    </row>
    <row r="1497" spans="1:9" ht="11.25" customHeight="1">
      <c r="A1497" s="3928" t="s">
        <v>2258</v>
      </c>
      <c r="B1497" s="3928" t="s">
        <v>14</v>
      </c>
      <c r="C1497" s="3928" t="s">
        <v>4519</v>
      </c>
      <c r="D1497" s="3928" t="s">
        <v>4520</v>
      </c>
      <c r="E1497" s="3928" t="s">
        <v>4521</v>
      </c>
      <c r="F1497" s="3928" t="s">
        <v>4522</v>
      </c>
      <c r="G1497" s="3928" t="s">
        <v>4523</v>
      </c>
      <c r="H1497" s="3928" t="s">
        <v>2263</v>
      </c>
      <c r="I1497" s="3928" t="s">
        <v>898</v>
      </c>
    </row>
    <row r="1498" spans="1:9" ht="11.25" customHeight="1">
      <c r="A1498" s="3928" t="s">
        <v>2258</v>
      </c>
      <c r="B1498" s="3928" t="s">
        <v>14</v>
      </c>
      <c r="C1498" s="3928" t="s">
        <v>4539</v>
      </c>
      <c r="D1498" s="3928" t="s">
        <v>4540</v>
      </c>
      <c r="E1498" s="3928" t="s">
        <v>4541</v>
      </c>
      <c r="F1498" s="3928" t="s">
        <v>2438</v>
      </c>
      <c r="G1498" s="3928" t="s">
        <v>4542</v>
      </c>
      <c r="H1498" s="3928" t="s">
        <v>2945</v>
      </c>
      <c r="I1498" s="3928" t="s">
        <v>898</v>
      </c>
    </row>
    <row r="1499" spans="1:9" ht="11.25" customHeight="1">
      <c r="A1499" s="3928" t="s">
        <v>2258</v>
      </c>
      <c r="B1499" s="3928" t="s">
        <v>14</v>
      </c>
      <c r="C1499" s="3928" t="s">
        <v>4543</v>
      </c>
      <c r="D1499" s="3928" t="s">
        <v>4540</v>
      </c>
      <c r="E1499" s="3928" t="s">
        <v>4544</v>
      </c>
      <c r="F1499" s="3928" t="s">
        <v>2438</v>
      </c>
      <c r="G1499" s="3928" t="s">
        <v>24</v>
      </c>
      <c r="H1499" s="3928" t="s">
        <v>24</v>
      </c>
      <c r="I1499" s="3928" t="s">
        <v>898</v>
      </c>
    </row>
    <row r="1500" spans="1:9" ht="11.25" customHeight="1">
      <c r="A1500" s="3928" t="s">
        <v>2258</v>
      </c>
      <c r="B1500" s="3928" t="s">
        <v>14</v>
      </c>
      <c r="C1500" s="3928" t="s">
        <v>4545</v>
      </c>
      <c r="D1500" s="3928" t="s">
        <v>4546</v>
      </c>
      <c r="E1500" s="3928" t="s">
        <v>4547</v>
      </c>
      <c r="F1500" s="3928" t="s">
        <v>49</v>
      </c>
      <c r="G1500" s="3928" t="s">
        <v>4548</v>
      </c>
      <c r="H1500" s="3928" t="s">
        <v>24</v>
      </c>
      <c r="I1500" s="3928" t="s">
        <v>898</v>
      </c>
    </row>
    <row r="1501" spans="1:9" ht="11.25" customHeight="1">
      <c r="A1501" s="3928" t="s">
        <v>2258</v>
      </c>
      <c r="B1501" s="3928" t="s">
        <v>14</v>
      </c>
      <c r="C1501" s="3928" t="s">
        <v>4549</v>
      </c>
      <c r="D1501" s="3928" t="s">
        <v>4550</v>
      </c>
      <c r="E1501" s="3928" t="s">
        <v>4551</v>
      </c>
      <c r="F1501" s="3928" t="s">
        <v>2419</v>
      </c>
      <c r="G1501" s="3928" t="s">
        <v>4552</v>
      </c>
      <c r="H1501" s="3928" t="s">
        <v>24</v>
      </c>
      <c r="I1501" s="3928" t="s">
        <v>898</v>
      </c>
    </row>
    <row r="1502" spans="1:9" ht="11.25" customHeight="1">
      <c r="A1502" s="3928" t="s">
        <v>2258</v>
      </c>
      <c r="B1502" s="3928" t="s">
        <v>14</v>
      </c>
      <c r="C1502" s="3928" t="s">
        <v>4553</v>
      </c>
      <c r="D1502" s="3928" t="s">
        <v>4554</v>
      </c>
      <c r="E1502" s="3928" t="s">
        <v>4555</v>
      </c>
      <c r="F1502" s="3928" t="s">
        <v>3509</v>
      </c>
      <c r="G1502" s="3928" t="s">
        <v>4556</v>
      </c>
      <c r="H1502" s="3928" t="s">
        <v>24</v>
      </c>
      <c r="I1502" s="3928" t="s">
        <v>898</v>
      </c>
    </row>
    <row r="1503" spans="1:9" ht="11.25" customHeight="1">
      <c r="A1503" s="3928" t="s">
        <v>2258</v>
      </c>
      <c r="B1503" s="3928" t="s">
        <v>14</v>
      </c>
      <c r="C1503" s="3928" t="s">
        <v>4575</v>
      </c>
      <c r="D1503" s="3928" t="s">
        <v>4576</v>
      </c>
      <c r="E1503" s="3928" t="s">
        <v>4577</v>
      </c>
      <c r="F1503" s="3928" t="s">
        <v>2289</v>
      </c>
      <c r="G1503" s="3928" t="s">
        <v>4578</v>
      </c>
      <c r="H1503" s="3928" t="s">
        <v>24</v>
      </c>
      <c r="I1503" s="3928" t="s">
        <v>898</v>
      </c>
    </row>
    <row r="1504" spans="1:9" ht="11.25" customHeight="1">
      <c r="A1504" s="3928" t="s">
        <v>2258</v>
      </c>
      <c r="B1504" s="3928" t="s">
        <v>14</v>
      </c>
      <c r="C1504" s="3928" t="s">
        <v>4579</v>
      </c>
      <c r="D1504" s="3928" t="s">
        <v>4580</v>
      </c>
      <c r="E1504" s="3928" t="s">
        <v>4581</v>
      </c>
      <c r="F1504" s="3928" t="s">
        <v>2289</v>
      </c>
      <c r="G1504" s="3928" t="s">
        <v>24</v>
      </c>
      <c r="H1504" s="3928" t="s">
        <v>2263</v>
      </c>
      <c r="I1504" s="3928" t="s">
        <v>898</v>
      </c>
    </row>
    <row r="1505" spans="1:9" ht="11.25" customHeight="1">
      <c r="A1505" s="3928" t="s">
        <v>2258</v>
      </c>
      <c r="B1505" s="3928" t="s">
        <v>14</v>
      </c>
      <c r="C1505" s="3928" t="s">
        <v>4582</v>
      </c>
      <c r="D1505" s="3928" t="s">
        <v>4583</v>
      </c>
      <c r="E1505" s="3928" t="s">
        <v>4584</v>
      </c>
      <c r="F1505" s="3928" t="s">
        <v>2419</v>
      </c>
      <c r="G1505" s="3928" t="s">
        <v>24</v>
      </c>
      <c r="H1505" s="3928" t="s">
        <v>2263</v>
      </c>
      <c r="I1505" s="3928" t="s">
        <v>898</v>
      </c>
    </row>
    <row r="1506" spans="1:9" ht="11.25" customHeight="1">
      <c r="A1506" s="3928" t="s">
        <v>2258</v>
      </c>
      <c r="B1506" s="3928" t="s">
        <v>14</v>
      </c>
      <c r="C1506" s="3928" t="s">
        <v>4585</v>
      </c>
      <c r="D1506" s="3928" t="s">
        <v>4586</v>
      </c>
      <c r="E1506" s="3928" t="s">
        <v>4587</v>
      </c>
      <c r="F1506" s="3928" t="s">
        <v>4588</v>
      </c>
      <c r="G1506" s="3928" t="s">
        <v>4436</v>
      </c>
      <c r="H1506" s="3928" t="s">
        <v>24</v>
      </c>
      <c r="I1506" s="3928" t="s">
        <v>898</v>
      </c>
    </row>
    <row r="1507" spans="1:9" ht="11.25" customHeight="1">
      <c r="A1507" s="3928" t="s">
        <v>2258</v>
      </c>
      <c r="B1507" s="3928" t="s">
        <v>14</v>
      </c>
      <c r="C1507" s="3928" t="s">
        <v>4589</v>
      </c>
      <c r="D1507" s="3928" t="s">
        <v>4590</v>
      </c>
      <c r="E1507" s="3928" t="s">
        <v>4591</v>
      </c>
      <c r="F1507" s="3928" t="s">
        <v>2701</v>
      </c>
      <c r="G1507" s="3928" t="s">
        <v>24</v>
      </c>
      <c r="H1507" s="3928" t="s">
        <v>2263</v>
      </c>
      <c r="I1507" s="3928" t="s">
        <v>898</v>
      </c>
    </row>
    <row r="1508" spans="1:9" ht="11.25" customHeight="1">
      <c r="A1508" s="3928" t="s">
        <v>2258</v>
      </c>
      <c r="B1508" s="3928" t="s">
        <v>14</v>
      </c>
      <c r="C1508" s="3928" t="s">
        <v>4595</v>
      </c>
      <c r="D1508" s="3928" t="s">
        <v>4596</v>
      </c>
      <c r="E1508" s="3928" t="s">
        <v>4597</v>
      </c>
      <c r="F1508" s="3928" t="s">
        <v>2701</v>
      </c>
      <c r="G1508" s="3928" t="s">
        <v>4598</v>
      </c>
      <c r="H1508" s="3928" t="s">
        <v>24</v>
      </c>
      <c r="I1508" s="3928" t="s">
        <v>898</v>
      </c>
    </row>
    <row r="1509" spans="1:9" ht="11.25" customHeight="1">
      <c r="A1509" s="3928" t="s">
        <v>2258</v>
      </c>
      <c r="B1509" s="3928" t="s">
        <v>14</v>
      </c>
      <c r="C1509" s="3928" t="s">
        <v>4602</v>
      </c>
      <c r="D1509" s="3928" t="s">
        <v>4603</v>
      </c>
      <c r="E1509" s="3928" t="s">
        <v>4604</v>
      </c>
      <c r="F1509" s="3928" t="s">
        <v>2552</v>
      </c>
      <c r="G1509" s="3928" t="s">
        <v>24</v>
      </c>
      <c r="H1509" s="3928" t="s">
        <v>24</v>
      </c>
      <c r="I1509" s="3928" t="s">
        <v>898</v>
      </c>
    </row>
    <row r="1510" spans="1:9" ht="11.25" customHeight="1">
      <c r="A1510" s="3928" t="s">
        <v>2258</v>
      </c>
      <c r="B1510" s="3928" t="s">
        <v>14</v>
      </c>
      <c r="C1510" s="3928" t="s">
        <v>4609</v>
      </c>
      <c r="D1510" s="3928" t="s">
        <v>4610</v>
      </c>
      <c r="E1510" s="3928" t="s">
        <v>4611</v>
      </c>
      <c r="F1510" s="3928" t="s">
        <v>2451</v>
      </c>
      <c r="G1510" s="3928" t="s">
        <v>24</v>
      </c>
      <c r="H1510" s="3928" t="s">
        <v>24</v>
      </c>
      <c r="I1510" s="3928" t="s">
        <v>898</v>
      </c>
    </row>
    <row r="1511" spans="1:9" ht="11.25" customHeight="1">
      <c r="A1511" s="3928" t="s">
        <v>2258</v>
      </c>
      <c r="B1511" s="3928" t="s">
        <v>14</v>
      </c>
      <c r="C1511" s="3928" t="s">
        <v>4615</v>
      </c>
      <c r="D1511" s="3928" t="s">
        <v>4616</v>
      </c>
      <c r="E1511" s="3928" t="s">
        <v>4617</v>
      </c>
      <c r="F1511" s="3928" t="s">
        <v>2535</v>
      </c>
      <c r="G1511" s="3928" t="s">
        <v>24</v>
      </c>
      <c r="H1511" s="3928" t="s">
        <v>24</v>
      </c>
      <c r="I1511" s="3928" t="s">
        <v>898</v>
      </c>
    </row>
    <row r="1512" spans="1:9" ht="11.25" customHeight="1">
      <c r="A1512" s="3928" t="s">
        <v>2258</v>
      </c>
      <c r="B1512" s="3928" t="s">
        <v>14</v>
      </c>
      <c r="C1512" s="3928" t="s">
        <v>4618</v>
      </c>
      <c r="D1512" s="3928" t="s">
        <v>4619</v>
      </c>
      <c r="E1512" s="3928" t="s">
        <v>4620</v>
      </c>
      <c r="F1512" s="3928" t="s">
        <v>2289</v>
      </c>
      <c r="G1512" s="3928" t="s">
        <v>4621</v>
      </c>
      <c r="H1512" s="3928" t="s">
        <v>24</v>
      </c>
      <c r="I1512" s="3928" t="s">
        <v>898</v>
      </c>
    </row>
    <row r="1513" spans="1:9" ht="11.25" customHeight="1">
      <c r="A1513" s="3928" t="s">
        <v>2258</v>
      </c>
      <c r="B1513" s="3928" t="s">
        <v>14</v>
      </c>
      <c r="C1513" s="3928" t="s">
        <v>6413</v>
      </c>
      <c r="D1513" s="3928" t="s">
        <v>6414</v>
      </c>
      <c r="E1513" s="3928" t="s">
        <v>6415</v>
      </c>
      <c r="F1513" s="3928" t="s">
        <v>2670</v>
      </c>
      <c r="G1513" s="3928" t="s">
        <v>6416</v>
      </c>
      <c r="H1513" s="3928" t="s">
        <v>24</v>
      </c>
      <c r="I1513" s="3928" t="s">
        <v>898</v>
      </c>
    </row>
    <row r="1514" spans="1:9" ht="11.25" customHeight="1">
      <c r="A1514" s="3928" t="s">
        <v>2258</v>
      </c>
      <c r="B1514" s="3928" t="s">
        <v>14</v>
      </c>
      <c r="C1514" s="3928" t="s">
        <v>4622</v>
      </c>
      <c r="D1514" s="3928" t="s">
        <v>4623</v>
      </c>
      <c r="E1514" s="3928" t="s">
        <v>4624</v>
      </c>
      <c r="F1514" s="3928" t="s">
        <v>2464</v>
      </c>
      <c r="G1514" s="3928" t="s">
        <v>4625</v>
      </c>
      <c r="H1514" s="3928" t="s">
        <v>24</v>
      </c>
      <c r="I1514" s="3928" t="s">
        <v>898</v>
      </c>
    </row>
    <row r="1515" spans="1:9" ht="11.25" customHeight="1">
      <c r="A1515" s="3928" t="s">
        <v>2258</v>
      </c>
      <c r="B1515" s="3928" t="s">
        <v>14</v>
      </c>
      <c r="C1515" s="3928" t="s">
        <v>4636</v>
      </c>
      <c r="D1515" s="3928" t="s">
        <v>4637</v>
      </c>
      <c r="E1515" s="3928" t="s">
        <v>4638</v>
      </c>
      <c r="F1515" s="3928" t="s">
        <v>2414</v>
      </c>
      <c r="G1515" s="3928" t="s">
        <v>4639</v>
      </c>
      <c r="H1515" s="3928" t="s">
        <v>24</v>
      </c>
      <c r="I1515" s="3928" t="s">
        <v>898</v>
      </c>
    </row>
    <row r="1516" spans="1:9" ht="11.25" customHeight="1">
      <c r="A1516" s="3928" t="s">
        <v>2258</v>
      </c>
      <c r="B1516" s="3928" t="s">
        <v>14</v>
      </c>
      <c r="C1516" s="3928" t="s">
        <v>4640</v>
      </c>
      <c r="D1516" s="3928" t="s">
        <v>4641</v>
      </c>
      <c r="E1516" s="3928" t="s">
        <v>4642</v>
      </c>
      <c r="F1516" s="3928" t="s">
        <v>4166</v>
      </c>
      <c r="G1516" s="3928" t="s">
        <v>24</v>
      </c>
      <c r="H1516" s="3928" t="s">
        <v>3068</v>
      </c>
      <c r="I1516" s="3928" t="s">
        <v>898</v>
      </c>
    </row>
    <row r="1517" spans="1:9" ht="11.25" customHeight="1">
      <c r="A1517" s="3928" t="s">
        <v>2258</v>
      </c>
      <c r="B1517" s="3928" t="s">
        <v>14</v>
      </c>
      <c r="C1517" s="3928" t="s">
        <v>4643</v>
      </c>
      <c r="D1517" s="3928" t="s">
        <v>4644</v>
      </c>
      <c r="E1517" s="3928" t="s">
        <v>4645</v>
      </c>
      <c r="F1517" s="3928" t="s">
        <v>4646</v>
      </c>
      <c r="G1517" s="3928" t="s">
        <v>24</v>
      </c>
      <c r="H1517" s="3928" t="s">
        <v>24</v>
      </c>
      <c r="I1517" s="3928" t="s">
        <v>898</v>
      </c>
    </row>
    <row r="1518" spans="1:9" ht="11.25" customHeight="1">
      <c r="A1518" s="3928" t="s">
        <v>2258</v>
      </c>
      <c r="B1518" s="3928" t="s">
        <v>14</v>
      </c>
      <c r="C1518" s="3928" t="s">
        <v>4647</v>
      </c>
      <c r="D1518" s="3928" t="s">
        <v>4648</v>
      </c>
      <c r="E1518" s="3928" t="s">
        <v>4649</v>
      </c>
      <c r="F1518" s="3928" t="s">
        <v>2863</v>
      </c>
      <c r="G1518" s="3928" t="s">
        <v>24</v>
      </c>
      <c r="H1518" s="3928" t="s">
        <v>24</v>
      </c>
      <c r="I1518" s="3928" t="s">
        <v>898</v>
      </c>
    </row>
    <row r="1519" spans="1:9" ht="11.25" customHeight="1">
      <c r="A1519" s="3928" t="s">
        <v>2258</v>
      </c>
      <c r="B1519" s="3928" t="s">
        <v>14</v>
      </c>
      <c r="C1519" s="3928" t="s">
        <v>4650</v>
      </c>
      <c r="D1519" s="3928" t="s">
        <v>4651</v>
      </c>
      <c r="E1519" s="3928" t="s">
        <v>4652</v>
      </c>
      <c r="F1519" s="3928" t="s">
        <v>2486</v>
      </c>
      <c r="G1519" s="3928" t="s">
        <v>24</v>
      </c>
      <c r="H1519" s="3928" t="s">
        <v>24</v>
      </c>
      <c r="I1519" s="3928" t="s">
        <v>898</v>
      </c>
    </row>
    <row r="1520" spans="1:9" ht="11.25" customHeight="1">
      <c r="A1520" s="3928" t="s">
        <v>2258</v>
      </c>
      <c r="B1520" s="3928" t="s">
        <v>14</v>
      </c>
      <c r="C1520" s="3928" t="s">
        <v>4660</v>
      </c>
      <c r="D1520" s="3928" t="s">
        <v>4661</v>
      </c>
      <c r="E1520" s="3928" t="s">
        <v>4662</v>
      </c>
      <c r="F1520" s="3928" t="s">
        <v>2675</v>
      </c>
      <c r="G1520" s="3928" t="s">
        <v>4663</v>
      </c>
      <c r="H1520" s="3928" t="s">
        <v>24</v>
      </c>
      <c r="I1520" s="3928" t="s">
        <v>898</v>
      </c>
    </row>
    <row r="1521" spans="1:9" ht="11.25" customHeight="1">
      <c r="A1521" s="3928" t="s">
        <v>2258</v>
      </c>
      <c r="B1521" s="3928" t="s">
        <v>14</v>
      </c>
      <c r="C1521" s="3928" t="s">
        <v>4664</v>
      </c>
      <c r="D1521" s="3928" t="s">
        <v>4665</v>
      </c>
      <c r="E1521" s="3928" t="s">
        <v>4666</v>
      </c>
      <c r="F1521" s="3928" t="s">
        <v>2294</v>
      </c>
      <c r="G1521" s="3928" t="s">
        <v>4667</v>
      </c>
      <c r="H1521" s="3928" t="s">
        <v>2475</v>
      </c>
      <c r="I1521" s="3928" t="s">
        <v>898</v>
      </c>
    </row>
    <row r="1522" spans="1:9" ht="11.25" customHeight="1">
      <c r="A1522" s="3928" t="s">
        <v>2258</v>
      </c>
      <c r="B1522" s="3928" t="s">
        <v>14</v>
      </c>
      <c r="C1522" s="3928" t="s">
        <v>4676</v>
      </c>
      <c r="D1522" s="3928" t="s">
        <v>4677</v>
      </c>
      <c r="E1522" s="3928" t="s">
        <v>4678</v>
      </c>
      <c r="F1522" s="3928" t="s">
        <v>2513</v>
      </c>
      <c r="G1522" s="3928" t="s">
        <v>24</v>
      </c>
      <c r="H1522" s="3928" t="s">
        <v>2263</v>
      </c>
      <c r="I1522" s="3928" t="s">
        <v>898</v>
      </c>
    </row>
    <row r="1523" spans="1:9" ht="11.25" customHeight="1">
      <c r="A1523" s="3928" t="s">
        <v>2258</v>
      </c>
      <c r="B1523" s="3928" t="s">
        <v>14</v>
      </c>
      <c r="C1523" s="3928" t="s">
        <v>4679</v>
      </c>
      <c r="D1523" s="3928" t="s">
        <v>4680</v>
      </c>
      <c r="E1523" s="3928" t="s">
        <v>4681</v>
      </c>
      <c r="F1523" s="3928" t="s">
        <v>2675</v>
      </c>
      <c r="G1523" s="3928" t="s">
        <v>4682</v>
      </c>
      <c r="H1523" s="3928" t="s">
        <v>24</v>
      </c>
      <c r="I1523" s="3928" t="s">
        <v>898</v>
      </c>
    </row>
    <row r="1524" spans="1:9" ht="11.25" customHeight="1">
      <c r="A1524" s="3928" t="s">
        <v>2258</v>
      </c>
      <c r="B1524" s="3928" t="s">
        <v>14</v>
      </c>
      <c r="C1524" s="3928" t="s">
        <v>4683</v>
      </c>
      <c r="D1524" s="3928" t="s">
        <v>4684</v>
      </c>
      <c r="E1524" s="3928" t="s">
        <v>4685</v>
      </c>
      <c r="F1524" s="3928" t="s">
        <v>2294</v>
      </c>
      <c r="G1524" s="3928" t="s">
        <v>24</v>
      </c>
      <c r="H1524" s="3928" t="s">
        <v>24</v>
      </c>
      <c r="I1524" s="3928" t="s">
        <v>898</v>
      </c>
    </row>
    <row r="1525" spans="1:9" ht="11.25" customHeight="1">
      <c r="A1525" s="3928" t="s">
        <v>2258</v>
      </c>
      <c r="B1525" s="3928" t="s">
        <v>14</v>
      </c>
      <c r="C1525" s="3928" t="s">
        <v>4701</v>
      </c>
      <c r="D1525" s="3928" t="s">
        <v>4702</v>
      </c>
      <c r="E1525" s="3928" t="s">
        <v>4703</v>
      </c>
      <c r="F1525" s="3928" t="s">
        <v>49</v>
      </c>
      <c r="G1525" s="3928" t="s">
        <v>4704</v>
      </c>
      <c r="H1525" s="3928" t="s">
        <v>24</v>
      </c>
      <c r="I1525" s="3928" t="s">
        <v>898</v>
      </c>
    </row>
    <row r="1526" spans="1:9" ht="11.25" customHeight="1">
      <c r="A1526" s="3928" t="s">
        <v>2258</v>
      </c>
      <c r="B1526" s="3928" t="s">
        <v>14</v>
      </c>
      <c r="C1526" s="3928" t="s">
        <v>4705</v>
      </c>
      <c r="D1526" s="3928" t="s">
        <v>4706</v>
      </c>
      <c r="E1526" s="3928" t="s">
        <v>4707</v>
      </c>
      <c r="F1526" s="3928" t="s">
        <v>3509</v>
      </c>
      <c r="G1526" s="3928" t="s">
        <v>24</v>
      </c>
      <c r="H1526" s="3928" t="s">
        <v>24</v>
      </c>
      <c r="I1526" s="3928" t="s">
        <v>898</v>
      </c>
    </row>
    <row r="1527" spans="1:9" ht="11.25" customHeight="1">
      <c r="A1527" s="3928" t="s">
        <v>2258</v>
      </c>
      <c r="B1527" s="3928" t="s">
        <v>14</v>
      </c>
      <c r="C1527" s="3928" t="s">
        <v>4708</v>
      </c>
      <c r="D1527" s="3928" t="s">
        <v>4709</v>
      </c>
      <c r="E1527" s="3928" t="s">
        <v>4710</v>
      </c>
      <c r="F1527" s="3928" t="s">
        <v>2771</v>
      </c>
      <c r="G1527" s="3928" t="s">
        <v>24</v>
      </c>
      <c r="H1527" s="3928" t="s">
        <v>24</v>
      </c>
      <c r="I1527" s="3928" t="s">
        <v>898</v>
      </c>
    </row>
    <row r="1528" spans="1:9" ht="11.25" customHeight="1">
      <c r="A1528" s="3928" t="s">
        <v>2258</v>
      </c>
      <c r="B1528" s="3928" t="s">
        <v>14</v>
      </c>
      <c r="C1528" s="3928" t="s">
        <v>4714</v>
      </c>
      <c r="D1528" s="3928" t="s">
        <v>4715</v>
      </c>
      <c r="E1528" s="3928" t="s">
        <v>4716</v>
      </c>
      <c r="F1528" s="3928" t="s">
        <v>2464</v>
      </c>
      <c r="G1528" s="3928" t="s">
        <v>4717</v>
      </c>
      <c r="H1528" s="3928" t="s">
        <v>24</v>
      </c>
      <c r="I1528" s="3928" t="s">
        <v>898</v>
      </c>
    </row>
    <row r="1529" spans="1:9" ht="11.25" customHeight="1">
      <c r="A1529" s="3928" t="s">
        <v>2258</v>
      </c>
      <c r="B1529" s="3928" t="s">
        <v>14</v>
      </c>
      <c r="C1529" s="3928" t="s">
        <v>4718</v>
      </c>
      <c r="D1529" s="3928" t="s">
        <v>4719</v>
      </c>
      <c r="E1529" s="3928" t="s">
        <v>4720</v>
      </c>
      <c r="F1529" s="3928" t="s">
        <v>4721</v>
      </c>
      <c r="G1529" s="3928" t="s">
        <v>4722</v>
      </c>
      <c r="H1529" s="3928" t="s">
        <v>24</v>
      </c>
      <c r="I1529" s="3928" t="s">
        <v>898</v>
      </c>
    </row>
    <row r="1530" spans="1:9" ht="11.25" customHeight="1">
      <c r="A1530" s="3928" t="s">
        <v>2258</v>
      </c>
      <c r="B1530" s="3928" t="s">
        <v>14</v>
      </c>
      <c r="C1530" s="3928" t="s">
        <v>4726</v>
      </c>
      <c r="D1530" s="3928" t="s">
        <v>4727</v>
      </c>
      <c r="E1530" s="3928" t="s">
        <v>4728</v>
      </c>
      <c r="F1530" s="3928" t="s">
        <v>2675</v>
      </c>
      <c r="G1530" s="3928" t="s">
        <v>24</v>
      </c>
      <c r="H1530" s="3928" t="s">
        <v>3068</v>
      </c>
      <c r="I1530" s="3928" t="s">
        <v>898</v>
      </c>
    </row>
    <row r="1531" spans="1:9" ht="11.25" customHeight="1">
      <c r="A1531" s="3928" t="s">
        <v>2258</v>
      </c>
      <c r="B1531" s="3928" t="s">
        <v>14</v>
      </c>
      <c r="C1531" s="3928" t="s">
        <v>4729</v>
      </c>
      <c r="D1531" s="3928" t="s">
        <v>4730</v>
      </c>
      <c r="E1531" s="3928" t="s">
        <v>4731</v>
      </c>
      <c r="F1531" s="3928" t="s">
        <v>2675</v>
      </c>
      <c r="G1531" s="3928" t="s">
        <v>4732</v>
      </c>
      <c r="H1531" s="3928" t="s">
        <v>24</v>
      </c>
      <c r="I1531" s="3928" t="s">
        <v>898</v>
      </c>
    </row>
    <row r="1532" spans="1:9" ht="11.25" customHeight="1">
      <c r="A1532" s="3928" t="s">
        <v>2258</v>
      </c>
      <c r="B1532" s="3928" t="s">
        <v>14</v>
      </c>
      <c r="C1532" s="3928" t="s">
        <v>4733</v>
      </c>
      <c r="D1532" s="3928" t="s">
        <v>4734</v>
      </c>
      <c r="E1532" s="3928" t="s">
        <v>4735</v>
      </c>
      <c r="F1532" s="3928" t="s">
        <v>2289</v>
      </c>
      <c r="G1532" s="3928" t="s">
        <v>4736</v>
      </c>
      <c r="H1532" s="3928" t="s">
        <v>24</v>
      </c>
      <c r="I1532" s="3928" t="s">
        <v>898</v>
      </c>
    </row>
    <row r="1533" spans="1:9" ht="11.25" customHeight="1">
      <c r="A1533" s="3928" t="s">
        <v>2258</v>
      </c>
      <c r="B1533" s="3928" t="s">
        <v>14</v>
      </c>
      <c r="C1533" s="3928" t="s">
        <v>4748</v>
      </c>
      <c r="D1533" s="3928" t="s">
        <v>4749</v>
      </c>
      <c r="E1533" s="3928" t="s">
        <v>4750</v>
      </c>
      <c r="F1533" s="3928" t="s">
        <v>2429</v>
      </c>
      <c r="G1533" s="3928" t="s">
        <v>24</v>
      </c>
      <c r="H1533" s="3928" t="s">
        <v>24</v>
      </c>
      <c r="I1533" s="3928" t="s">
        <v>898</v>
      </c>
    </row>
    <row r="1534" spans="1:9" ht="11.25" customHeight="1">
      <c r="A1534" s="3928" t="s">
        <v>2258</v>
      </c>
      <c r="B1534" s="3928" t="s">
        <v>14</v>
      </c>
      <c r="C1534" s="3928" t="s">
        <v>4758</v>
      </c>
      <c r="D1534" s="3928" t="s">
        <v>4759</v>
      </c>
      <c r="E1534" s="3928" t="s">
        <v>4760</v>
      </c>
      <c r="F1534" s="3928" t="s">
        <v>2309</v>
      </c>
      <c r="G1534" s="3928" t="s">
        <v>24</v>
      </c>
      <c r="H1534" s="3928" t="s">
        <v>3068</v>
      </c>
      <c r="I1534" s="3928" t="s">
        <v>898</v>
      </c>
    </row>
    <row r="1535" spans="1:9" ht="11.25" customHeight="1">
      <c r="A1535" s="3928" t="s">
        <v>2258</v>
      </c>
      <c r="B1535" s="3928" t="s">
        <v>14</v>
      </c>
      <c r="C1535" s="3928" t="s">
        <v>4764</v>
      </c>
      <c r="D1535" s="3928" t="s">
        <v>4765</v>
      </c>
      <c r="E1535" s="3928" t="s">
        <v>4766</v>
      </c>
      <c r="F1535" s="3928" t="s">
        <v>2486</v>
      </c>
      <c r="G1535" s="3928" t="s">
        <v>24</v>
      </c>
      <c r="H1535" s="3928" t="s">
        <v>4767</v>
      </c>
      <c r="I1535" s="3928" t="s">
        <v>898</v>
      </c>
    </row>
    <row r="1536" spans="1:9" ht="11.25" customHeight="1">
      <c r="A1536" s="3928" t="s">
        <v>2258</v>
      </c>
      <c r="B1536" s="3928" t="s">
        <v>14</v>
      </c>
      <c r="C1536" s="3928" t="s">
        <v>4771</v>
      </c>
      <c r="D1536" s="3928" t="s">
        <v>630</v>
      </c>
      <c r="E1536" s="3928" t="s">
        <v>4772</v>
      </c>
      <c r="F1536" s="3928" t="s">
        <v>2486</v>
      </c>
      <c r="G1536" s="3928" t="s">
        <v>3631</v>
      </c>
      <c r="H1536" s="3928" t="s">
        <v>24</v>
      </c>
      <c r="I1536" s="3928" t="s">
        <v>898</v>
      </c>
    </row>
    <row r="1537" spans="1:9" ht="11.25" customHeight="1">
      <c r="A1537" s="3928" t="s">
        <v>2258</v>
      </c>
      <c r="B1537" s="3928" t="s">
        <v>14</v>
      </c>
      <c r="C1537" s="3928" t="s">
        <v>4777</v>
      </c>
      <c r="D1537" s="3928" t="s">
        <v>4778</v>
      </c>
      <c r="E1537" s="3928" t="s">
        <v>4779</v>
      </c>
      <c r="F1537" s="3928" t="s">
        <v>2451</v>
      </c>
      <c r="G1537" s="3928" t="s">
        <v>24</v>
      </c>
      <c r="H1537" s="3928" t="s">
        <v>3297</v>
      </c>
      <c r="I1537" s="3928" t="s">
        <v>898</v>
      </c>
    </row>
    <row r="1538" spans="1:9" ht="11.25" customHeight="1">
      <c r="A1538" s="3928" t="s">
        <v>2258</v>
      </c>
      <c r="B1538" s="3928" t="s">
        <v>14</v>
      </c>
      <c r="C1538" s="3928" t="s">
        <v>4780</v>
      </c>
      <c r="D1538" s="3928" t="s">
        <v>4781</v>
      </c>
      <c r="E1538" s="3928" t="s">
        <v>4782</v>
      </c>
      <c r="F1538" s="3928" t="s">
        <v>2907</v>
      </c>
      <c r="G1538" s="3928" t="s">
        <v>4783</v>
      </c>
      <c r="H1538" s="3928" t="s">
        <v>2945</v>
      </c>
      <c r="I1538" s="3928" t="s">
        <v>898</v>
      </c>
    </row>
    <row r="1539" spans="1:9" ht="11.25" customHeight="1">
      <c r="A1539" s="3928" t="s">
        <v>2258</v>
      </c>
      <c r="B1539" s="3928" t="s">
        <v>14</v>
      </c>
      <c r="C1539" s="3928" t="s">
        <v>4796</v>
      </c>
      <c r="D1539" s="3928" t="s">
        <v>4797</v>
      </c>
      <c r="E1539" s="3928" t="s">
        <v>4798</v>
      </c>
      <c r="F1539" s="3928" t="s">
        <v>2535</v>
      </c>
      <c r="G1539" s="3928" t="s">
        <v>24</v>
      </c>
      <c r="H1539" s="3928" t="s">
        <v>2263</v>
      </c>
      <c r="I1539" s="3928" t="s">
        <v>898</v>
      </c>
    </row>
    <row r="1540" spans="1:9" ht="11.25" customHeight="1">
      <c r="A1540" s="3928" t="s">
        <v>2258</v>
      </c>
      <c r="B1540" s="3928" t="s">
        <v>14</v>
      </c>
      <c r="C1540" s="3928" t="s">
        <v>4799</v>
      </c>
      <c r="D1540" s="3928" t="s">
        <v>4800</v>
      </c>
      <c r="E1540" s="3928" t="s">
        <v>4801</v>
      </c>
      <c r="F1540" s="3928" t="s">
        <v>2473</v>
      </c>
      <c r="G1540" s="3928" t="s">
        <v>4802</v>
      </c>
      <c r="H1540" s="3928" t="s">
        <v>24</v>
      </c>
      <c r="I1540" s="3928" t="s">
        <v>898</v>
      </c>
    </row>
    <row r="1541" spans="1:9" ht="11.25" customHeight="1">
      <c r="A1541" s="3928" t="s">
        <v>2258</v>
      </c>
      <c r="B1541" s="3928" t="s">
        <v>14</v>
      </c>
      <c r="C1541" s="3928" t="s">
        <v>4803</v>
      </c>
      <c r="D1541" s="3928" t="s">
        <v>4804</v>
      </c>
      <c r="E1541" s="3928" t="s">
        <v>4805</v>
      </c>
      <c r="F1541" s="3928" t="s">
        <v>49</v>
      </c>
      <c r="G1541" s="3928" t="s">
        <v>4806</v>
      </c>
      <c r="H1541" s="3928" t="s">
        <v>2263</v>
      </c>
      <c r="I1541" s="3928" t="s">
        <v>898</v>
      </c>
    </row>
    <row r="1542" spans="1:9" ht="11.25" customHeight="1">
      <c r="A1542" s="3928" t="s">
        <v>2258</v>
      </c>
      <c r="B1542" s="3928" t="s">
        <v>14</v>
      </c>
      <c r="C1542" s="3928" t="s">
        <v>4811</v>
      </c>
      <c r="D1542" s="3928" t="s">
        <v>4812</v>
      </c>
      <c r="E1542" s="3928" t="s">
        <v>4813</v>
      </c>
      <c r="F1542" s="3928" t="s">
        <v>2486</v>
      </c>
      <c r="G1542" s="3928" t="s">
        <v>24</v>
      </c>
      <c r="H1542" s="3928" t="s">
        <v>4814</v>
      </c>
      <c r="I1542" s="3928" t="s">
        <v>898</v>
      </c>
    </row>
    <row r="1543" spans="1:9" ht="11.25" customHeight="1">
      <c r="A1543" s="3928" t="s">
        <v>2258</v>
      </c>
      <c r="B1543" s="3928" t="s">
        <v>14</v>
      </c>
      <c r="C1543" s="3928" t="s">
        <v>4815</v>
      </c>
      <c r="D1543" s="3928" t="s">
        <v>4816</v>
      </c>
      <c r="E1543" s="3928" t="s">
        <v>4817</v>
      </c>
      <c r="F1543" s="3928" t="s">
        <v>2294</v>
      </c>
      <c r="G1543" s="3928" t="s">
        <v>4818</v>
      </c>
      <c r="H1543" s="3928" t="s">
        <v>24</v>
      </c>
      <c r="I1543" s="3928" t="s">
        <v>898</v>
      </c>
    </row>
    <row r="1544" spans="1:9" ht="11.25" customHeight="1">
      <c r="A1544" s="3928" t="s">
        <v>2258</v>
      </c>
      <c r="B1544" s="3928" t="s">
        <v>14</v>
      </c>
      <c r="C1544" s="3928" t="s">
        <v>6417</v>
      </c>
      <c r="D1544" s="3928" t="s">
        <v>6418</v>
      </c>
      <c r="E1544" s="3928" t="s">
        <v>6419</v>
      </c>
      <c r="F1544" s="3928" t="s">
        <v>2344</v>
      </c>
      <c r="G1544" s="3928" t="s">
        <v>6420</v>
      </c>
      <c r="H1544" s="3928" t="s">
        <v>24</v>
      </c>
      <c r="I1544" s="3928" t="s">
        <v>898</v>
      </c>
    </row>
    <row r="1545" spans="1:9" ht="11.25" customHeight="1">
      <c r="A1545" s="3928" t="s">
        <v>2258</v>
      </c>
      <c r="B1545" s="3928" t="s">
        <v>14</v>
      </c>
      <c r="C1545" s="3928" t="s">
        <v>4848</v>
      </c>
      <c r="D1545" s="3928" t="s">
        <v>4849</v>
      </c>
      <c r="E1545" s="3928" t="s">
        <v>4850</v>
      </c>
      <c r="F1545" s="3928" t="s">
        <v>2344</v>
      </c>
      <c r="G1545" s="3928" t="s">
        <v>4851</v>
      </c>
      <c r="H1545" s="3928" t="s">
        <v>24</v>
      </c>
      <c r="I1545" s="3928" t="s">
        <v>898</v>
      </c>
    </row>
    <row r="1546" spans="1:9" ht="11.25" customHeight="1">
      <c r="A1546" s="3928" t="s">
        <v>2258</v>
      </c>
      <c r="B1546" s="3928" t="s">
        <v>14</v>
      </c>
      <c r="C1546" s="3928" t="s">
        <v>4852</v>
      </c>
      <c r="D1546" s="3928" t="s">
        <v>4853</v>
      </c>
      <c r="E1546" s="3928" t="s">
        <v>4854</v>
      </c>
      <c r="F1546" s="3928" t="s">
        <v>2552</v>
      </c>
      <c r="G1546" s="3928" t="s">
        <v>4855</v>
      </c>
      <c r="H1546" s="3928" t="s">
        <v>24</v>
      </c>
      <c r="I1546" s="3928" t="s">
        <v>898</v>
      </c>
    </row>
    <row r="1547" spans="1:9" ht="11.25" customHeight="1">
      <c r="A1547" s="3928" t="s">
        <v>2258</v>
      </c>
      <c r="B1547" s="3928" t="s">
        <v>14</v>
      </c>
      <c r="C1547" s="3928" t="s">
        <v>4856</v>
      </c>
      <c r="D1547" s="3928" t="s">
        <v>4857</v>
      </c>
      <c r="E1547" s="3928" t="s">
        <v>4858</v>
      </c>
      <c r="F1547" s="3928" t="s">
        <v>2294</v>
      </c>
      <c r="G1547" s="3928" t="s">
        <v>4859</v>
      </c>
      <c r="H1547" s="3928" t="s">
        <v>24</v>
      </c>
      <c r="I1547" s="3928" t="s">
        <v>898</v>
      </c>
    </row>
    <row r="1548" spans="1:9" ht="11.25" customHeight="1">
      <c r="A1548" s="3928" t="s">
        <v>2258</v>
      </c>
      <c r="B1548" s="3928" t="s">
        <v>14</v>
      </c>
      <c r="C1548" s="3928" t="s">
        <v>4870</v>
      </c>
      <c r="D1548" s="3928" t="s">
        <v>4871</v>
      </c>
      <c r="E1548" s="3928" t="s">
        <v>4872</v>
      </c>
      <c r="F1548" s="3928" t="s">
        <v>2552</v>
      </c>
      <c r="G1548" s="3928" t="s">
        <v>24</v>
      </c>
      <c r="H1548" s="3928" t="s">
        <v>2263</v>
      </c>
      <c r="I1548" s="3928" t="s">
        <v>898</v>
      </c>
    </row>
    <row r="1549" spans="1:9" ht="11.25" customHeight="1">
      <c r="A1549" s="3928" t="s">
        <v>2258</v>
      </c>
      <c r="B1549" s="3928" t="s">
        <v>14</v>
      </c>
      <c r="C1549" s="3928" t="s">
        <v>4873</v>
      </c>
      <c r="D1549" s="3928" t="s">
        <v>4874</v>
      </c>
      <c r="E1549" s="3928" t="s">
        <v>4875</v>
      </c>
      <c r="F1549" s="3928" t="s">
        <v>2294</v>
      </c>
      <c r="G1549" s="3928" t="s">
        <v>4876</v>
      </c>
      <c r="H1549" s="3928" t="s">
        <v>4877</v>
      </c>
      <c r="I1549" s="3928" t="s">
        <v>898</v>
      </c>
    </row>
    <row r="1550" spans="1:9" ht="11.25" customHeight="1">
      <c r="A1550" s="3928" t="s">
        <v>2258</v>
      </c>
      <c r="B1550" s="3928" t="s">
        <v>14</v>
      </c>
      <c r="C1550" s="3928" t="s">
        <v>4881</v>
      </c>
      <c r="D1550" s="3928" t="s">
        <v>4882</v>
      </c>
      <c r="E1550" s="3928" t="s">
        <v>4883</v>
      </c>
      <c r="F1550" s="3928" t="s">
        <v>2414</v>
      </c>
      <c r="G1550" s="3928" t="s">
        <v>24</v>
      </c>
      <c r="H1550" s="3928" t="s">
        <v>2945</v>
      </c>
      <c r="I1550" s="3928" t="s">
        <v>898</v>
      </c>
    </row>
    <row r="1551" spans="1:9" ht="11.25" customHeight="1">
      <c r="A1551" s="3928" t="s">
        <v>2258</v>
      </c>
      <c r="B1551" s="3928" t="s">
        <v>14</v>
      </c>
      <c r="C1551" s="3928" t="s">
        <v>4884</v>
      </c>
      <c r="D1551" s="3928" t="s">
        <v>4882</v>
      </c>
      <c r="E1551" s="3928" t="s">
        <v>4885</v>
      </c>
      <c r="F1551" s="3928" t="s">
        <v>2414</v>
      </c>
      <c r="G1551" s="3928" t="s">
        <v>4886</v>
      </c>
      <c r="H1551" s="3928" t="s">
        <v>24</v>
      </c>
      <c r="I1551" s="3928" t="s">
        <v>898</v>
      </c>
    </row>
    <row r="1552" spans="1:9" ht="11.25" customHeight="1">
      <c r="A1552" s="3928" t="s">
        <v>2258</v>
      </c>
      <c r="B1552" s="3928" t="s">
        <v>14</v>
      </c>
      <c r="C1552" s="3928" t="s">
        <v>6421</v>
      </c>
      <c r="D1552" s="3928" t="s">
        <v>6422</v>
      </c>
      <c r="E1552" s="3928" t="s">
        <v>6423</v>
      </c>
      <c r="F1552" s="3928" t="s">
        <v>2289</v>
      </c>
      <c r="G1552" s="3928" t="s">
        <v>6424</v>
      </c>
      <c r="H1552" s="3928" t="s">
        <v>24</v>
      </c>
      <c r="I1552" s="3928" t="s">
        <v>898</v>
      </c>
    </row>
    <row r="1553" spans="1:9" ht="11.25" customHeight="1">
      <c r="A1553" s="3928" t="s">
        <v>2258</v>
      </c>
      <c r="B1553" s="3928" t="s">
        <v>14</v>
      </c>
      <c r="C1553" s="3928" t="s">
        <v>6425</v>
      </c>
      <c r="D1553" s="3928" t="s">
        <v>6426</v>
      </c>
      <c r="E1553" s="3928" t="s">
        <v>6427</v>
      </c>
      <c r="F1553" s="3928" t="s">
        <v>2451</v>
      </c>
      <c r="G1553" s="3928" t="s">
        <v>24</v>
      </c>
      <c r="H1553" s="3928" t="s">
        <v>2475</v>
      </c>
      <c r="I1553" s="3928" t="s">
        <v>898</v>
      </c>
    </row>
    <row r="1554" spans="1:9" ht="11.25" customHeight="1">
      <c r="A1554" s="3928" t="s">
        <v>2258</v>
      </c>
      <c r="B1554" s="3928" t="s">
        <v>14</v>
      </c>
      <c r="C1554" s="3928" t="s">
        <v>4887</v>
      </c>
      <c r="D1554" s="3928" t="s">
        <v>4888</v>
      </c>
      <c r="E1554" s="3928" t="s">
        <v>4889</v>
      </c>
      <c r="F1554" s="3928" t="s">
        <v>2675</v>
      </c>
      <c r="G1554" s="3928" t="s">
        <v>4890</v>
      </c>
      <c r="H1554" s="3928" t="s">
        <v>24</v>
      </c>
      <c r="I1554" s="3928" t="s">
        <v>898</v>
      </c>
    </row>
    <row r="1555" spans="1:9" ht="11.25" customHeight="1">
      <c r="A1555" s="3928" t="s">
        <v>2258</v>
      </c>
      <c r="B1555" s="3928" t="s">
        <v>14</v>
      </c>
      <c r="C1555" s="3928" t="s">
        <v>4898</v>
      </c>
      <c r="D1555" s="3928" t="s">
        <v>4899</v>
      </c>
      <c r="E1555" s="3928" t="s">
        <v>4900</v>
      </c>
      <c r="F1555" s="3928" t="s">
        <v>2397</v>
      </c>
      <c r="G1555" s="3928" t="s">
        <v>24</v>
      </c>
      <c r="H1555" s="3928" t="s">
        <v>3068</v>
      </c>
      <c r="I1555" s="3928" t="s">
        <v>898</v>
      </c>
    </row>
    <row r="1556" spans="1:9" ht="11.25" customHeight="1">
      <c r="A1556" s="3928" t="s">
        <v>2258</v>
      </c>
      <c r="B1556" s="3928" t="s">
        <v>14</v>
      </c>
      <c r="C1556" s="3928" t="s">
        <v>4915</v>
      </c>
      <c r="D1556" s="3928" t="s">
        <v>4916</v>
      </c>
      <c r="E1556" s="3928" t="s">
        <v>4917</v>
      </c>
      <c r="F1556" s="3928" t="s">
        <v>2464</v>
      </c>
      <c r="G1556" s="3928" t="s">
        <v>24</v>
      </c>
      <c r="H1556" s="3928" t="s">
        <v>4918</v>
      </c>
      <c r="I1556" s="3928" t="s">
        <v>898</v>
      </c>
    </row>
    <row r="1557" spans="1:9" ht="11.25" customHeight="1">
      <c r="A1557" s="3928" t="s">
        <v>2258</v>
      </c>
      <c r="B1557" s="3928" t="s">
        <v>14</v>
      </c>
      <c r="C1557" s="3928" t="s">
        <v>4925</v>
      </c>
      <c r="D1557" s="3928" t="s">
        <v>4926</v>
      </c>
      <c r="E1557" s="3928" t="s">
        <v>4927</v>
      </c>
      <c r="F1557" s="3928" t="s">
        <v>2587</v>
      </c>
      <c r="G1557" s="3928" t="s">
        <v>4928</v>
      </c>
      <c r="H1557" s="3928" t="s">
        <v>24</v>
      </c>
      <c r="I1557" s="3928" t="s">
        <v>898</v>
      </c>
    </row>
    <row r="1558" spans="1:9" ht="11.25" customHeight="1">
      <c r="A1558" s="3928" t="s">
        <v>2258</v>
      </c>
      <c r="B1558" s="3928" t="s">
        <v>14</v>
      </c>
      <c r="C1558" s="3928" t="s">
        <v>4929</v>
      </c>
      <c r="D1558" s="3928" t="s">
        <v>4930</v>
      </c>
      <c r="E1558" s="3928" t="s">
        <v>4931</v>
      </c>
      <c r="F1558" s="3928" t="s">
        <v>2688</v>
      </c>
      <c r="G1558" s="3928" t="s">
        <v>4932</v>
      </c>
      <c r="H1558" s="3928" t="s">
        <v>24</v>
      </c>
      <c r="I1558" s="3928" t="s">
        <v>898</v>
      </c>
    </row>
    <row r="1559" spans="1:9" ht="11.25" customHeight="1">
      <c r="A1559" s="3928" t="s">
        <v>2258</v>
      </c>
      <c r="B1559" s="3928" t="s">
        <v>14</v>
      </c>
      <c r="C1559" s="3928" t="s">
        <v>4944</v>
      </c>
      <c r="D1559" s="3928" t="s">
        <v>4945</v>
      </c>
      <c r="E1559" s="3928" t="s">
        <v>4946</v>
      </c>
      <c r="F1559" s="3928" t="s">
        <v>49</v>
      </c>
      <c r="G1559" s="3928" t="s">
        <v>24</v>
      </c>
      <c r="H1559" s="3928" t="s">
        <v>2263</v>
      </c>
      <c r="I1559" s="3928" t="s">
        <v>898</v>
      </c>
    </row>
    <row r="1560" spans="1:9" ht="11.25" customHeight="1">
      <c r="A1560" s="3928" t="s">
        <v>2258</v>
      </c>
      <c r="B1560" s="3928" t="s">
        <v>14</v>
      </c>
      <c r="C1560" s="3928" t="s">
        <v>4954</v>
      </c>
      <c r="D1560" s="3928" t="s">
        <v>4955</v>
      </c>
      <c r="E1560" s="3928" t="s">
        <v>4956</v>
      </c>
      <c r="F1560" s="3928" t="s">
        <v>2419</v>
      </c>
      <c r="G1560" s="3928" t="s">
        <v>4957</v>
      </c>
      <c r="H1560" s="3928" t="s">
        <v>24</v>
      </c>
      <c r="I1560" s="3928" t="s">
        <v>898</v>
      </c>
    </row>
    <row r="1561" spans="1:9" ht="11.25" customHeight="1">
      <c r="A1561" s="3928" t="s">
        <v>2258</v>
      </c>
      <c r="B1561" s="3928" t="s">
        <v>14</v>
      </c>
      <c r="C1561" s="3928" t="s">
        <v>4958</v>
      </c>
      <c r="D1561" s="3928" t="s">
        <v>4959</v>
      </c>
      <c r="E1561" s="3928" t="s">
        <v>4960</v>
      </c>
      <c r="F1561" s="3928" t="s">
        <v>2375</v>
      </c>
      <c r="G1561" s="3928" t="s">
        <v>24</v>
      </c>
      <c r="H1561" s="3928" t="s">
        <v>24</v>
      </c>
      <c r="I1561" s="3928" t="s">
        <v>898</v>
      </c>
    </row>
    <row r="1562" spans="1:9" ht="11.25" customHeight="1">
      <c r="A1562" s="3928" t="s">
        <v>2258</v>
      </c>
      <c r="B1562" s="3928" t="s">
        <v>14</v>
      </c>
      <c r="C1562" s="3928" t="s">
        <v>4961</v>
      </c>
      <c r="D1562" s="3928" t="s">
        <v>4962</v>
      </c>
      <c r="E1562" s="3928" t="s">
        <v>4963</v>
      </c>
      <c r="F1562" s="3928" t="s">
        <v>2289</v>
      </c>
      <c r="G1562" s="3928" t="s">
        <v>4964</v>
      </c>
      <c r="H1562" s="3928" t="s">
        <v>24</v>
      </c>
      <c r="I1562" s="3928" t="s">
        <v>898</v>
      </c>
    </row>
    <row r="1563" spans="1:9" ht="11.25" customHeight="1">
      <c r="A1563" s="3928" t="s">
        <v>2258</v>
      </c>
      <c r="B1563" s="3928" t="s">
        <v>14</v>
      </c>
      <c r="C1563" s="3928" t="s">
        <v>4965</v>
      </c>
      <c r="D1563" s="3928" t="s">
        <v>4966</v>
      </c>
      <c r="E1563" s="3928" t="s">
        <v>4967</v>
      </c>
      <c r="F1563" s="3928" t="s">
        <v>2309</v>
      </c>
      <c r="G1563" s="3928" t="s">
        <v>4968</v>
      </c>
      <c r="H1563" s="3928" t="s">
        <v>24</v>
      </c>
      <c r="I1563" s="3928" t="s">
        <v>898</v>
      </c>
    </row>
    <row r="1564" spans="1:9" ht="11.25" customHeight="1">
      <c r="A1564" s="3928" t="s">
        <v>2258</v>
      </c>
      <c r="B1564" s="3928" t="s">
        <v>14</v>
      </c>
      <c r="C1564" s="3928" t="s">
        <v>4969</v>
      </c>
      <c r="D1564" s="3928" t="s">
        <v>4970</v>
      </c>
      <c r="E1564" s="3928" t="s">
        <v>4971</v>
      </c>
      <c r="F1564" s="3928" t="s">
        <v>2438</v>
      </c>
      <c r="G1564" s="3928" t="s">
        <v>24</v>
      </c>
      <c r="H1564" s="3928" t="s">
        <v>24</v>
      </c>
      <c r="I1564" s="3928" t="s">
        <v>898</v>
      </c>
    </row>
    <row r="1565" spans="1:9" ht="11.25" customHeight="1">
      <c r="A1565" s="3928" t="s">
        <v>2258</v>
      </c>
      <c r="B1565" s="3928" t="s">
        <v>14</v>
      </c>
      <c r="C1565" s="3928" t="s">
        <v>4975</v>
      </c>
      <c r="D1565" s="3928" t="s">
        <v>4976</v>
      </c>
      <c r="E1565" s="3928" t="s">
        <v>4977</v>
      </c>
      <c r="F1565" s="3928" t="s">
        <v>2438</v>
      </c>
      <c r="G1565" s="3928" t="s">
        <v>24</v>
      </c>
      <c r="H1565" s="3928" t="s">
        <v>24</v>
      </c>
      <c r="I1565" s="3928" t="s">
        <v>898</v>
      </c>
    </row>
    <row r="1566" spans="1:9" ht="11.25" customHeight="1">
      <c r="A1566" s="3928" t="s">
        <v>2258</v>
      </c>
      <c r="B1566" s="3928" t="s">
        <v>14</v>
      </c>
      <c r="C1566" s="3928" t="s">
        <v>4981</v>
      </c>
      <c r="D1566" s="3928" t="s">
        <v>4982</v>
      </c>
      <c r="E1566" s="3928" t="s">
        <v>4983</v>
      </c>
      <c r="F1566" s="3928" t="s">
        <v>4984</v>
      </c>
      <c r="G1566" s="3928" t="s">
        <v>4985</v>
      </c>
      <c r="H1566" s="3928" t="s">
        <v>24</v>
      </c>
      <c r="I1566" s="3928" t="s">
        <v>898</v>
      </c>
    </row>
    <row r="1567" spans="1:9" ht="11.25" customHeight="1">
      <c r="A1567" s="3928" t="s">
        <v>2258</v>
      </c>
      <c r="B1567" s="3928" t="s">
        <v>14</v>
      </c>
      <c r="C1567" s="3928" t="s">
        <v>6428</v>
      </c>
      <c r="D1567" s="3928" t="s">
        <v>6429</v>
      </c>
      <c r="E1567" s="3928" t="s">
        <v>6430</v>
      </c>
      <c r="F1567" s="3928" t="s">
        <v>2419</v>
      </c>
      <c r="G1567" s="3928" t="s">
        <v>24</v>
      </c>
      <c r="H1567" s="3928" t="s">
        <v>24</v>
      </c>
      <c r="I1567" s="3928" t="s">
        <v>898</v>
      </c>
    </row>
    <row r="1568" spans="1:9" ht="11.25" customHeight="1">
      <c r="A1568" s="3928" t="s">
        <v>2258</v>
      </c>
      <c r="B1568" s="3928" t="s">
        <v>14</v>
      </c>
      <c r="C1568" s="3928" t="s">
        <v>4995</v>
      </c>
      <c r="D1568" s="3928" t="s">
        <v>4996</v>
      </c>
      <c r="E1568" s="3928" t="s">
        <v>4997</v>
      </c>
      <c r="F1568" s="3928" t="s">
        <v>2965</v>
      </c>
      <c r="G1568" s="3928" t="s">
        <v>4998</v>
      </c>
      <c r="H1568" s="3928" t="s">
        <v>24</v>
      </c>
      <c r="I1568" s="3928" t="s">
        <v>898</v>
      </c>
    </row>
    <row r="1569" spans="1:9" ht="11.25" customHeight="1">
      <c r="A1569" s="3928" t="s">
        <v>2258</v>
      </c>
      <c r="B1569" s="3928" t="s">
        <v>14</v>
      </c>
      <c r="C1569" s="3928" t="s">
        <v>4999</v>
      </c>
      <c r="D1569" s="3928" t="s">
        <v>5000</v>
      </c>
      <c r="E1569" s="3928" t="s">
        <v>5001</v>
      </c>
      <c r="F1569" s="3928" t="s">
        <v>2473</v>
      </c>
      <c r="G1569" s="3928" t="s">
        <v>5002</v>
      </c>
      <c r="H1569" s="3928" t="s">
        <v>2263</v>
      </c>
      <c r="I1569" s="3928" t="s">
        <v>898</v>
      </c>
    </row>
    <row r="1570" spans="1:9" ht="11.25" customHeight="1">
      <c r="A1570" s="3928" t="s">
        <v>2258</v>
      </c>
      <c r="B1570" s="3928" t="s">
        <v>14</v>
      </c>
      <c r="C1570" s="3928" t="s">
        <v>5010</v>
      </c>
      <c r="D1570" s="3928" t="s">
        <v>5011</v>
      </c>
      <c r="E1570" s="3928" t="s">
        <v>5012</v>
      </c>
      <c r="F1570" s="3928" t="s">
        <v>2354</v>
      </c>
      <c r="G1570" s="3928" t="s">
        <v>24</v>
      </c>
      <c r="H1570" s="3928" t="s">
        <v>24</v>
      </c>
      <c r="I1570" s="3928" t="s">
        <v>898</v>
      </c>
    </row>
    <row r="1571" spans="1:9" ht="11.25" customHeight="1">
      <c r="A1571" s="3928" t="s">
        <v>2258</v>
      </c>
      <c r="B1571" s="3928" t="s">
        <v>14</v>
      </c>
      <c r="C1571" s="3928" t="s">
        <v>5017</v>
      </c>
      <c r="D1571" s="3928" t="s">
        <v>5018</v>
      </c>
      <c r="E1571" s="3928" t="s">
        <v>5019</v>
      </c>
      <c r="F1571" s="3928" t="s">
        <v>2438</v>
      </c>
      <c r="G1571" s="3928" t="s">
        <v>24</v>
      </c>
      <c r="H1571" s="3928" t="s">
        <v>24</v>
      </c>
      <c r="I1571" s="3928" t="s">
        <v>898</v>
      </c>
    </row>
    <row r="1572" spans="1:9" ht="11.25" customHeight="1">
      <c r="A1572" s="3928" t="s">
        <v>2258</v>
      </c>
      <c r="B1572" s="3928" t="s">
        <v>14</v>
      </c>
      <c r="C1572" s="3928" t="s">
        <v>5020</v>
      </c>
      <c r="D1572" s="3928" t="s">
        <v>5021</v>
      </c>
      <c r="E1572" s="3928" t="s">
        <v>5022</v>
      </c>
      <c r="F1572" s="3928" t="s">
        <v>2429</v>
      </c>
      <c r="G1572" s="3928" t="s">
        <v>5023</v>
      </c>
      <c r="H1572" s="3928" t="s">
        <v>5024</v>
      </c>
      <c r="I1572" s="3928" t="s">
        <v>898</v>
      </c>
    </row>
    <row r="1573" spans="1:9" ht="11.25" customHeight="1">
      <c r="A1573" s="3928" t="s">
        <v>2258</v>
      </c>
      <c r="B1573" s="3928" t="s">
        <v>14</v>
      </c>
      <c r="C1573" s="3928" t="s">
        <v>5028</v>
      </c>
      <c r="D1573" s="3928" t="s">
        <v>5029</v>
      </c>
      <c r="E1573" s="3928" t="s">
        <v>5030</v>
      </c>
      <c r="F1573" s="3928" t="s">
        <v>2289</v>
      </c>
      <c r="G1573" s="3928" t="s">
        <v>5031</v>
      </c>
      <c r="H1573" s="3928" t="s">
        <v>24</v>
      </c>
      <c r="I1573" s="3928" t="s">
        <v>898</v>
      </c>
    </row>
    <row r="1574" spans="1:9" ht="11.25" customHeight="1">
      <c r="A1574" s="3928" t="s">
        <v>2258</v>
      </c>
      <c r="B1574" s="3928" t="s">
        <v>14</v>
      </c>
      <c r="C1574" s="3928" t="s">
        <v>5032</v>
      </c>
      <c r="D1574" s="3928" t="s">
        <v>5033</v>
      </c>
      <c r="E1574" s="3928" t="s">
        <v>5034</v>
      </c>
      <c r="F1574" s="3928" t="s">
        <v>2438</v>
      </c>
      <c r="G1574" s="3928" t="s">
        <v>24</v>
      </c>
      <c r="H1574" s="3928" t="s">
        <v>2263</v>
      </c>
      <c r="I1574" s="3928" t="s">
        <v>898</v>
      </c>
    </row>
    <row r="1575" spans="1:9" ht="11.25" customHeight="1">
      <c r="A1575" s="3928" t="s">
        <v>2258</v>
      </c>
      <c r="B1575" s="3928" t="s">
        <v>14</v>
      </c>
      <c r="C1575" s="3928" t="s">
        <v>5035</v>
      </c>
      <c r="D1575" s="3928" t="s">
        <v>5036</v>
      </c>
      <c r="E1575" s="3928" t="s">
        <v>5037</v>
      </c>
      <c r="F1575" s="3928" t="s">
        <v>2438</v>
      </c>
      <c r="G1575" s="3928" t="s">
        <v>5038</v>
      </c>
      <c r="H1575" s="3928" t="s">
        <v>24</v>
      </c>
      <c r="I1575" s="3928" t="s">
        <v>898</v>
      </c>
    </row>
    <row r="1576" spans="1:9" ht="11.25" customHeight="1">
      <c r="A1576" s="3928" t="s">
        <v>2258</v>
      </c>
      <c r="B1576" s="3928" t="s">
        <v>14</v>
      </c>
      <c r="C1576" s="3928" t="s">
        <v>5039</v>
      </c>
      <c r="D1576" s="3928" t="s">
        <v>5040</v>
      </c>
      <c r="E1576" s="3928" t="s">
        <v>5041</v>
      </c>
      <c r="F1576" s="3928" t="s">
        <v>2486</v>
      </c>
      <c r="G1576" s="3928" t="s">
        <v>24</v>
      </c>
      <c r="H1576" s="3928" t="s">
        <v>2263</v>
      </c>
      <c r="I1576" s="3928" t="s">
        <v>898</v>
      </c>
    </row>
    <row r="1577" spans="1:9" ht="11.25" customHeight="1">
      <c r="A1577" s="3928" t="s">
        <v>2258</v>
      </c>
      <c r="B1577" s="3928" t="s">
        <v>14</v>
      </c>
      <c r="C1577" s="3928" t="s">
        <v>5048</v>
      </c>
      <c r="D1577" s="3928" t="s">
        <v>5049</v>
      </c>
      <c r="E1577" s="3928" t="s">
        <v>5030</v>
      </c>
      <c r="F1577" s="3928" t="s">
        <v>5050</v>
      </c>
      <c r="G1577" s="3928" t="s">
        <v>5051</v>
      </c>
      <c r="H1577" s="3928" t="s">
        <v>2263</v>
      </c>
      <c r="I1577" s="3928" t="s">
        <v>898</v>
      </c>
    </row>
    <row r="1578" spans="1:9" ht="11.25" customHeight="1">
      <c r="A1578" s="3928" t="s">
        <v>2258</v>
      </c>
      <c r="B1578" s="3928" t="s">
        <v>14</v>
      </c>
      <c r="C1578" s="3928" t="s">
        <v>5052</v>
      </c>
      <c r="D1578" s="3928" t="s">
        <v>5053</v>
      </c>
      <c r="E1578" s="3928" t="s">
        <v>5054</v>
      </c>
      <c r="F1578" s="3928" t="s">
        <v>5055</v>
      </c>
      <c r="G1578" s="3928" t="s">
        <v>24</v>
      </c>
      <c r="H1578" s="3928" t="s">
        <v>5056</v>
      </c>
      <c r="I1578" s="3928" t="s">
        <v>898</v>
      </c>
    </row>
    <row r="1579" spans="1:9" ht="11.25" customHeight="1">
      <c r="A1579" s="3928" t="s">
        <v>2258</v>
      </c>
      <c r="B1579" s="3928" t="s">
        <v>14</v>
      </c>
      <c r="C1579" s="3928" t="s">
        <v>5067</v>
      </c>
      <c r="D1579" s="3928" t="s">
        <v>5068</v>
      </c>
      <c r="E1579" s="3928" t="s">
        <v>5069</v>
      </c>
      <c r="F1579" s="3928" t="s">
        <v>2429</v>
      </c>
      <c r="G1579" s="3928" t="s">
        <v>5070</v>
      </c>
      <c r="H1579" s="3928" t="s">
        <v>2263</v>
      </c>
      <c r="I1579" s="3928" t="s">
        <v>898</v>
      </c>
    </row>
    <row r="1580" spans="1:9" ht="11.25" customHeight="1">
      <c r="A1580" s="3928" t="s">
        <v>2258</v>
      </c>
      <c r="B1580" s="3928" t="s">
        <v>14</v>
      </c>
      <c r="C1580" s="3928" t="s">
        <v>5076</v>
      </c>
      <c r="D1580" s="3928" t="s">
        <v>5077</v>
      </c>
      <c r="E1580" s="3928" t="s">
        <v>5078</v>
      </c>
      <c r="F1580" s="3928" t="s">
        <v>2429</v>
      </c>
      <c r="G1580" s="3928" t="s">
        <v>5079</v>
      </c>
      <c r="H1580" s="3928" t="s">
        <v>2263</v>
      </c>
      <c r="I1580" s="3928" t="s">
        <v>898</v>
      </c>
    </row>
    <row r="1581" spans="1:9" ht="11.25" customHeight="1">
      <c r="A1581" s="3928" t="s">
        <v>2258</v>
      </c>
      <c r="B1581" s="3928" t="s">
        <v>14</v>
      </c>
      <c r="C1581" s="3928" t="s">
        <v>5080</v>
      </c>
      <c r="D1581" s="3928" t="s">
        <v>5081</v>
      </c>
      <c r="E1581" s="3928" t="s">
        <v>5082</v>
      </c>
      <c r="F1581" s="3928" t="s">
        <v>2965</v>
      </c>
      <c r="G1581" s="3928" t="s">
        <v>5083</v>
      </c>
      <c r="H1581" s="3928" t="s">
        <v>24</v>
      </c>
      <c r="I1581" s="3928" t="s">
        <v>898</v>
      </c>
    </row>
    <row r="1582" spans="1:9" ht="11.25" customHeight="1">
      <c r="A1582" s="3928" t="s">
        <v>2258</v>
      </c>
      <c r="B1582" s="3928" t="s">
        <v>14</v>
      </c>
      <c r="C1582" s="3928" t="s">
        <v>5084</v>
      </c>
      <c r="D1582" s="3928" t="s">
        <v>5085</v>
      </c>
      <c r="E1582" s="3928" t="s">
        <v>5086</v>
      </c>
      <c r="F1582" s="3928" t="s">
        <v>2638</v>
      </c>
      <c r="G1582" s="3928" t="s">
        <v>5087</v>
      </c>
      <c r="H1582" s="3928" t="s">
        <v>24</v>
      </c>
      <c r="I1582" s="3928" t="s">
        <v>898</v>
      </c>
    </row>
    <row r="1583" spans="1:9" ht="11.25" customHeight="1">
      <c r="A1583" s="3928" t="s">
        <v>2258</v>
      </c>
      <c r="B1583" s="3928" t="s">
        <v>14</v>
      </c>
      <c r="C1583" s="3928" t="s">
        <v>5088</v>
      </c>
      <c r="D1583" s="3928" t="s">
        <v>5089</v>
      </c>
      <c r="E1583" s="3928" t="s">
        <v>5090</v>
      </c>
      <c r="F1583" s="3928" t="s">
        <v>4792</v>
      </c>
      <c r="G1583" s="3928" t="s">
        <v>24</v>
      </c>
      <c r="H1583" s="3928" t="s">
        <v>2263</v>
      </c>
      <c r="I1583" s="3928" t="s">
        <v>898</v>
      </c>
    </row>
    <row r="1584" spans="1:9" ht="11.25" customHeight="1">
      <c r="A1584" s="3928" t="s">
        <v>2258</v>
      </c>
      <c r="B1584" s="3928" t="s">
        <v>14</v>
      </c>
      <c r="C1584" s="3928" t="s">
        <v>6431</v>
      </c>
      <c r="D1584" s="3928" t="s">
        <v>6432</v>
      </c>
      <c r="E1584" s="3928" t="s">
        <v>5097</v>
      </c>
      <c r="F1584" s="3928" t="s">
        <v>4984</v>
      </c>
      <c r="G1584" s="3928" t="s">
        <v>24</v>
      </c>
      <c r="H1584" s="3928" t="s">
        <v>2263</v>
      </c>
      <c r="I1584" s="3928" t="s">
        <v>898</v>
      </c>
    </row>
    <row r="1585" spans="1:9" ht="11.25" customHeight="1">
      <c r="A1585" s="3928" t="s">
        <v>2258</v>
      </c>
      <c r="B1585" s="3928" t="s">
        <v>14</v>
      </c>
      <c r="C1585" s="3928" t="s">
        <v>5100</v>
      </c>
      <c r="D1585" s="3928" t="s">
        <v>5101</v>
      </c>
      <c r="E1585" s="3928" t="s">
        <v>5102</v>
      </c>
      <c r="F1585" s="3928" t="s">
        <v>49</v>
      </c>
      <c r="G1585" s="3928" t="s">
        <v>2443</v>
      </c>
      <c r="H1585" s="3928" t="s">
        <v>24</v>
      </c>
      <c r="I1585" s="3928" t="s">
        <v>898</v>
      </c>
    </row>
    <row r="1586" spans="1:9" ht="11.25" customHeight="1">
      <c r="A1586" s="3928" t="s">
        <v>2258</v>
      </c>
      <c r="B1586" s="3928" t="s">
        <v>14</v>
      </c>
      <c r="C1586" s="3928" t="s">
        <v>5111</v>
      </c>
      <c r="D1586" s="3928" t="s">
        <v>5112</v>
      </c>
      <c r="E1586" s="3928" t="s">
        <v>5113</v>
      </c>
      <c r="F1586" s="3928" t="s">
        <v>2397</v>
      </c>
      <c r="G1586" s="3928" t="s">
        <v>5114</v>
      </c>
      <c r="H1586" s="3928" t="s">
        <v>24</v>
      </c>
      <c r="I1586" s="3928" t="s">
        <v>898</v>
      </c>
    </row>
    <row r="1587" spans="1:9" ht="11.25" customHeight="1">
      <c r="A1587" s="3928" t="s">
        <v>2258</v>
      </c>
      <c r="B1587" s="3928" t="s">
        <v>14</v>
      </c>
      <c r="C1587" s="3928" t="s">
        <v>5125</v>
      </c>
      <c r="D1587" s="3928" t="s">
        <v>5126</v>
      </c>
      <c r="E1587" s="3928" t="s">
        <v>5127</v>
      </c>
      <c r="F1587" s="3928" t="s">
        <v>2567</v>
      </c>
      <c r="G1587" s="3928" t="s">
        <v>24</v>
      </c>
      <c r="H1587" s="3928" t="s">
        <v>24</v>
      </c>
      <c r="I1587" s="3928" t="s">
        <v>898</v>
      </c>
    </row>
    <row r="1588" spans="1:9" ht="11.25" customHeight="1">
      <c r="A1588" s="3928" t="s">
        <v>2258</v>
      </c>
      <c r="B1588" s="3928" t="s">
        <v>14</v>
      </c>
      <c r="C1588" s="3928" t="s">
        <v>5128</v>
      </c>
      <c r="D1588" s="3928" t="s">
        <v>5129</v>
      </c>
      <c r="E1588" s="3928" t="s">
        <v>5130</v>
      </c>
      <c r="F1588" s="3928" t="s">
        <v>2469</v>
      </c>
      <c r="G1588" s="3928" t="s">
        <v>24</v>
      </c>
      <c r="H1588" s="3928" t="s">
        <v>24</v>
      </c>
      <c r="I1588" s="3928" t="s">
        <v>898</v>
      </c>
    </row>
    <row r="1589" spans="1:9" ht="11.25" customHeight="1">
      <c r="A1589" s="3928" t="s">
        <v>2258</v>
      </c>
      <c r="B1589" s="3928" t="s">
        <v>14</v>
      </c>
      <c r="C1589" s="3928" t="s">
        <v>5131</v>
      </c>
      <c r="D1589" s="3928" t="s">
        <v>5132</v>
      </c>
      <c r="E1589" s="3928" t="s">
        <v>5133</v>
      </c>
      <c r="F1589" s="3928" t="s">
        <v>2309</v>
      </c>
      <c r="G1589" s="3928" t="s">
        <v>24</v>
      </c>
      <c r="H1589" s="3928" t="s">
        <v>2263</v>
      </c>
      <c r="I1589" s="3928" t="s">
        <v>898</v>
      </c>
    </row>
    <row r="1590" spans="1:9" ht="11.25" customHeight="1">
      <c r="A1590" s="3928" t="s">
        <v>2258</v>
      </c>
      <c r="B1590" s="3928" t="s">
        <v>14</v>
      </c>
      <c r="C1590" s="3928" t="s">
        <v>5134</v>
      </c>
      <c r="D1590" s="3928" t="s">
        <v>5135</v>
      </c>
      <c r="E1590" s="3928" t="s">
        <v>5136</v>
      </c>
      <c r="F1590" s="3928" t="s">
        <v>2294</v>
      </c>
      <c r="G1590" s="3928" t="s">
        <v>5137</v>
      </c>
      <c r="H1590" s="3928" t="s">
        <v>2945</v>
      </c>
      <c r="I1590" s="3928" t="s">
        <v>898</v>
      </c>
    </row>
    <row r="1591" spans="1:9" ht="11.25" customHeight="1">
      <c r="A1591" s="3928" t="s">
        <v>2258</v>
      </c>
      <c r="B1591" s="3928" t="s">
        <v>14</v>
      </c>
      <c r="C1591" s="3928" t="s">
        <v>5142</v>
      </c>
      <c r="D1591" s="3928" t="s">
        <v>5143</v>
      </c>
      <c r="E1591" s="3928" t="s">
        <v>5144</v>
      </c>
      <c r="F1591" s="3928" t="s">
        <v>2473</v>
      </c>
      <c r="G1591" s="3928" t="s">
        <v>5145</v>
      </c>
      <c r="H1591" s="3928" t="s">
        <v>24</v>
      </c>
      <c r="I1591" s="3928" t="s">
        <v>898</v>
      </c>
    </row>
    <row r="1592" spans="1:9" ht="11.25" customHeight="1">
      <c r="A1592" s="3928" t="s">
        <v>2258</v>
      </c>
      <c r="B1592" s="3928" t="s">
        <v>14</v>
      </c>
      <c r="C1592" s="3928" t="s">
        <v>5152</v>
      </c>
      <c r="D1592" s="3928" t="s">
        <v>5153</v>
      </c>
      <c r="E1592" s="3928" t="s">
        <v>5154</v>
      </c>
      <c r="F1592" s="3928" t="s">
        <v>4839</v>
      </c>
      <c r="G1592" s="3928" t="s">
        <v>24</v>
      </c>
      <c r="H1592" s="3928" t="s">
        <v>24</v>
      </c>
      <c r="I1592" s="3928" t="s">
        <v>898</v>
      </c>
    </row>
    <row r="1593" spans="1:9" ht="11.25" customHeight="1">
      <c r="A1593" s="3928" t="s">
        <v>2258</v>
      </c>
      <c r="B1593" s="3928" t="s">
        <v>14</v>
      </c>
      <c r="C1593" s="3928" t="s">
        <v>5166</v>
      </c>
      <c r="D1593" s="3928" t="s">
        <v>5167</v>
      </c>
      <c r="E1593" s="3928" t="s">
        <v>5168</v>
      </c>
      <c r="F1593" s="3928" t="s">
        <v>49</v>
      </c>
      <c r="G1593" s="3928" t="s">
        <v>24</v>
      </c>
      <c r="H1593" s="3928" t="s">
        <v>5169</v>
      </c>
      <c r="I1593" s="3928" t="s">
        <v>898</v>
      </c>
    </row>
    <row r="1594" spans="1:9" ht="11.25" customHeight="1">
      <c r="A1594" s="3928" t="s">
        <v>2258</v>
      </c>
      <c r="B1594" s="3928" t="s">
        <v>14</v>
      </c>
      <c r="C1594" s="3928" t="s">
        <v>5174</v>
      </c>
      <c r="D1594" s="3928" t="s">
        <v>5175</v>
      </c>
      <c r="E1594" s="3928" t="s">
        <v>5176</v>
      </c>
      <c r="F1594" s="3928" t="s">
        <v>2414</v>
      </c>
      <c r="G1594" s="3928" t="s">
        <v>2263</v>
      </c>
      <c r="H1594" s="3928" t="s">
        <v>2263</v>
      </c>
      <c r="I1594" s="3928" t="s">
        <v>898</v>
      </c>
    </row>
    <row r="1595" spans="1:9" ht="11.25" customHeight="1">
      <c r="A1595" s="3928" t="s">
        <v>2258</v>
      </c>
      <c r="B1595" s="3928" t="s">
        <v>14</v>
      </c>
      <c r="C1595" s="3928" t="s">
        <v>6433</v>
      </c>
      <c r="D1595" s="3928" t="s">
        <v>6434</v>
      </c>
      <c r="E1595" s="3928" t="s">
        <v>6435</v>
      </c>
      <c r="F1595" s="3928" t="s">
        <v>2780</v>
      </c>
      <c r="G1595" s="3928" t="s">
        <v>24</v>
      </c>
      <c r="H1595" s="3928" t="s">
        <v>24</v>
      </c>
      <c r="I1595" s="3928" t="s">
        <v>898</v>
      </c>
    </row>
    <row r="1596" spans="1:9" ht="11.25" customHeight="1">
      <c r="A1596" s="3928" t="s">
        <v>2258</v>
      </c>
      <c r="B1596" s="3928" t="s">
        <v>14</v>
      </c>
      <c r="C1596" s="3928" t="s">
        <v>5177</v>
      </c>
      <c r="D1596" s="3928" t="s">
        <v>5178</v>
      </c>
      <c r="E1596" s="3928" t="s">
        <v>5179</v>
      </c>
      <c r="F1596" s="3928" t="s">
        <v>2780</v>
      </c>
      <c r="G1596" s="3928" t="s">
        <v>24</v>
      </c>
      <c r="H1596" s="3928" t="s">
        <v>2263</v>
      </c>
      <c r="I1596" s="3928" t="s">
        <v>898</v>
      </c>
    </row>
    <row r="1597" spans="1:9" ht="11.25" customHeight="1">
      <c r="A1597" s="3928" t="s">
        <v>2258</v>
      </c>
      <c r="B1597" s="3928" t="s">
        <v>14</v>
      </c>
      <c r="C1597" s="3928" t="s">
        <v>5188</v>
      </c>
      <c r="D1597" s="3928" t="s">
        <v>5189</v>
      </c>
      <c r="E1597" s="3928" t="s">
        <v>5190</v>
      </c>
      <c r="F1597" s="3928" t="s">
        <v>2289</v>
      </c>
      <c r="G1597" s="3928" t="s">
        <v>24</v>
      </c>
      <c r="H1597" s="3928" t="s">
        <v>2263</v>
      </c>
      <c r="I1597" s="3928" t="s">
        <v>898</v>
      </c>
    </row>
    <row r="1598" spans="1:9" ht="11.25" customHeight="1">
      <c r="A1598" s="3928" t="s">
        <v>2258</v>
      </c>
      <c r="B1598" s="3928" t="s">
        <v>14</v>
      </c>
      <c r="C1598" s="3928" t="s">
        <v>5191</v>
      </c>
      <c r="D1598" s="3928" t="s">
        <v>5192</v>
      </c>
      <c r="E1598" s="3928" t="s">
        <v>5193</v>
      </c>
      <c r="F1598" s="3928" t="s">
        <v>2309</v>
      </c>
      <c r="G1598" s="3928" t="s">
        <v>24</v>
      </c>
      <c r="H1598" s="3928" t="s">
        <v>2263</v>
      </c>
      <c r="I1598" s="3928" t="s">
        <v>898</v>
      </c>
    </row>
    <row r="1599" spans="1:9" ht="11.25" customHeight="1">
      <c r="A1599" s="3928" t="s">
        <v>2258</v>
      </c>
      <c r="B1599" s="3928" t="s">
        <v>14</v>
      </c>
      <c r="C1599" s="3928" t="s">
        <v>5194</v>
      </c>
      <c r="D1599" s="3928" t="s">
        <v>5192</v>
      </c>
      <c r="E1599" s="3928" t="s">
        <v>5193</v>
      </c>
      <c r="F1599" s="3928" t="s">
        <v>2289</v>
      </c>
      <c r="G1599" s="3928" t="s">
        <v>24</v>
      </c>
      <c r="H1599" s="3928" t="s">
        <v>2263</v>
      </c>
      <c r="I1599" s="3928" t="s">
        <v>898</v>
      </c>
    </row>
    <row r="1600" spans="1:9" ht="11.25" customHeight="1">
      <c r="A1600" s="3928" t="s">
        <v>2258</v>
      </c>
      <c r="B1600" s="3928" t="s">
        <v>14</v>
      </c>
      <c r="C1600" s="3928" t="s">
        <v>5195</v>
      </c>
      <c r="D1600" s="3928" t="s">
        <v>5196</v>
      </c>
      <c r="E1600" s="3928" t="s">
        <v>5197</v>
      </c>
      <c r="F1600" s="3928" t="s">
        <v>2746</v>
      </c>
      <c r="G1600" s="3928" t="s">
        <v>24</v>
      </c>
      <c r="H1600" s="3928" t="s">
        <v>24</v>
      </c>
      <c r="I1600" s="3928" t="s">
        <v>898</v>
      </c>
    </row>
    <row r="1601" spans="1:9" ht="11.25" customHeight="1">
      <c r="A1601" s="3928" t="s">
        <v>2258</v>
      </c>
      <c r="B1601" s="3928" t="s">
        <v>14</v>
      </c>
      <c r="C1601" s="3928" t="s">
        <v>5198</v>
      </c>
      <c r="D1601" s="3928" t="s">
        <v>5199</v>
      </c>
      <c r="E1601" s="3928" t="s">
        <v>5200</v>
      </c>
      <c r="F1601" s="3928" t="s">
        <v>2389</v>
      </c>
      <c r="G1601" s="3928" t="s">
        <v>2518</v>
      </c>
      <c r="H1601" s="3928" t="s">
        <v>24</v>
      </c>
      <c r="I1601" s="3928" t="s">
        <v>898</v>
      </c>
    </row>
    <row r="1602" spans="1:9" ht="11.25" customHeight="1">
      <c r="A1602" s="3928" t="s">
        <v>2258</v>
      </c>
      <c r="B1602" s="3928" t="s">
        <v>14</v>
      </c>
      <c r="C1602" s="3928" t="s">
        <v>5201</v>
      </c>
      <c r="D1602" s="3928" t="s">
        <v>5202</v>
      </c>
      <c r="E1602" s="3928" t="s">
        <v>5203</v>
      </c>
      <c r="F1602" s="3928" t="s">
        <v>2675</v>
      </c>
      <c r="G1602" s="3928" t="s">
        <v>24</v>
      </c>
      <c r="H1602" s="3928" t="s">
        <v>2263</v>
      </c>
      <c r="I1602" s="3928" t="s">
        <v>898</v>
      </c>
    </row>
    <row r="1603" spans="1:9" ht="11.25" customHeight="1">
      <c r="A1603" s="3928" t="s">
        <v>2258</v>
      </c>
      <c r="B1603" s="3928" t="s">
        <v>14</v>
      </c>
      <c r="C1603" s="3928" t="s">
        <v>5204</v>
      </c>
      <c r="D1603" s="3928" t="s">
        <v>5205</v>
      </c>
      <c r="E1603" s="3928" t="s">
        <v>5206</v>
      </c>
      <c r="F1603" s="3928" t="s">
        <v>2304</v>
      </c>
      <c r="G1603" s="3928" t="s">
        <v>5207</v>
      </c>
      <c r="H1603" s="3928" t="s">
        <v>5208</v>
      </c>
      <c r="I1603" s="3928" t="s">
        <v>898</v>
      </c>
    </row>
    <row r="1604" spans="1:9" ht="11.25" customHeight="1">
      <c r="A1604" s="3928" t="s">
        <v>2258</v>
      </c>
      <c r="B1604" s="3928" t="s">
        <v>14</v>
      </c>
      <c r="C1604" s="3928" t="s">
        <v>5217</v>
      </c>
      <c r="D1604" s="3928" t="s">
        <v>5218</v>
      </c>
      <c r="E1604" s="3928" t="s">
        <v>5219</v>
      </c>
      <c r="F1604" s="3928" t="s">
        <v>2473</v>
      </c>
      <c r="G1604" s="3928" t="s">
        <v>5220</v>
      </c>
      <c r="H1604" s="3928" t="s">
        <v>24</v>
      </c>
      <c r="I1604" s="3928" t="s">
        <v>898</v>
      </c>
    </row>
    <row r="1605" spans="1:9" ht="11.25" customHeight="1">
      <c r="A1605" s="3928" t="s">
        <v>2258</v>
      </c>
      <c r="B1605" s="3928" t="s">
        <v>14</v>
      </c>
      <c r="C1605" s="3928" t="s">
        <v>5230</v>
      </c>
      <c r="D1605" s="3928" t="s">
        <v>5231</v>
      </c>
      <c r="E1605" s="3928" t="s">
        <v>5232</v>
      </c>
      <c r="F1605" s="3928" t="s">
        <v>2587</v>
      </c>
      <c r="G1605" s="3928" t="s">
        <v>5233</v>
      </c>
      <c r="H1605" s="3928" t="s">
        <v>24</v>
      </c>
      <c r="I1605" s="3928" t="s">
        <v>898</v>
      </c>
    </row>
    <row r="1606" spans="1:9" ht="11.25" customHeight="1">
      <c r="A1606" s="3928" t="s">
        <v>2258</v>
      </c>
      <c r="B1606" s="3928" t="s">
        <v>14</v>
      </c>
      <c r="C1606" s="3928" t="s">
        <v>5244</v>
      </c>
      <c r="D1606" s="3928" t="s">
        <v>5245</v>
      </c>
      <c r="E1606" s="3928" t="s">
        <v>5246</v>
      </c>
      <c r="F1606" s="3928" t="s">
        <v>2863</v>
      </c>
      <c r="G1606" s="3928" t="s">
        <v>5247</v>
      </c>
      <c r="H1606" s="3928" t="s">
        <v>24</v>
      </c>
      <c r="I1606" s="3928" t="s">
        <v>898</v>
      </c>
    </row>
    <row r="1607" spans="1:9" ht="11.25" customHeight="1">
      <c r="A1607" s="3928" t="s">
        <v>2258</v>
      </c>
      <c r="B1607" s="3928" t="s">
        <v>14</v>
      </c>
      <c r="C1607" s="3928" t="s">
        <v>5248</v>
      </c>
      <c r="D1607" s="3928" t="s">
        <v>5249</v>
      </c>
      <c r="E1607" s="3928" t="s">
        <v>5246</v>
      </c>
      <c r="F1607" s="3928" t="s">
        <v>5250</v>
      </c>
      <c r="G1607" s="3928" t="s">
        <v>5251</v>
      </c>
      <c r="H1607" s="3928" t="s">
        <v>24</v>
      </c>
      <c r="I1607" s="3928" t="s">
        <v>898</v>
      </c>
    </row>
    <row r="1608" spans="1:9" ht="11.25" customHeight="1">
      <c r="A1608" s="3928" t="s">
        <v>2258</v>
      </c>
      <c r="B1608" s="3928" t="s">
        <v>14</v>
      </c>
      <c r="C1608" s="3928" t="s">
        <v>5252</v>
      </c>
      <c r="D1608" s="3928" t="s">
        <v>5253</v>
      </c>
      <c r="E1608" s="3928" t="s">
        <v>5254</v>
      </c>
      <c r="F1608" s="3928" t="s">
        <v>49</v>
      </c>
      <c r="G1608" s="3928" t="s">
        <v>5255</v>
      </c>
      <c r="H1608" s="3928" t="s">
        <v>24</v>
      </c>
      <c r="I1608" s="3928" t="s">
        <v>898</v>
      </c>
    </row>
    <row r="1609" spans="1:9" ht="11.25" customHeight="1">
      <c r="A1609" s="3928" t="s">
        <v>2258</v>
      </c>
      <c r="B1609" s="3928" t="s">
        <v>14</v>
      </c>
      <c r="C1609" s="3928" t="s">
        <v>5258</v>
      </c>
      <c r="D1609" s="3928" t="s">
        <v>5259</v>
      </c>
      <c r="E1609" s="3928" t="s">
        <v>5260</v>
      </c>
      <c r="F1609" s="3928" t="s">
        <v>2473</v>
      </c>
      <c r="G1609" s="3928" t="s">
        <v>5261</v>
      </c>
      <c r="H1609" s="3928" t="s">
        <v>5262</v>
      </c>
      <c r="I1609" s="3928" t="s">
        <v>898</v>
      </c>
    </row>
    <row r="1610" spans="1:9" ht="11.25" customHeight="1">
      <c r="A1610" s="3928" t="s">
        <v>2258</v>
      </c>
      <c r="B1610" s="3928" t="s">
        <v>14</v>
      </c>
      <c r="C1610" s="3928" t="s">
        <v>5266</v>
      </c>
      <c r="D1610" s="3928" t="s">
        <v>5267</v>
      </c>
      <c r="E1610" s="3928" t="s">
        <v>5268</v>
      </c>
      <c r="F1610" s="3928" t="s">
        <v>2294</v>
      </c>
      <c r="G1610" s="3928" t="s">
        <v>5269</v>
      </c>
      <c r="H1610" s="3928" t="s">
        <v>24</v>
      </c>
      <c r="I1610" s="3928" t="s">
        <v>898</v>
      </c>
    </row>
    <row r="1611" spans="1:9" ht="11.25" customHeight="1">
      <c r="A1611" s="3928" t="s">
        <v>2258</v>
      </c>
      <c r="B1611" s="3928" t="s">
        <v>14</v>
      </c>
      <c r="C1611" s="3928" t="s">
        <v>5270</v>
      </c>
      <c r="D1611" s="3928" t="s">
        <v>5271</v>
      </c>
      <c r="E1611" s="3928" t="s">
        <v>5272</v>
      </c>
      <c r="F1611" s="3928" t="s">
        <v>2397</v>
      </c>
      <c r="G1611" s="3928" t="s">
        <v>5273</v>
      </c>
      <c r="H1611" s="3928" t="s">
        <v>24</v>
      </c>
      <c r="I1611" s="3928" t="s">
        <v>898</v>
      </c>
    </row>
    <row r="1612" spans="1:9" ht="11.25" customHeight="1">
      <c r="A1612" s="3928" t="s">
        <v>2258</v>
      </c>
      <c r="B1612" s="3928" t="s">
        <v>14</v>
      </c>
      <c r="C1612" s="3928" t="s">
        <v>5274</v>
      </c>
      <c r="D1612" s="3928" t="s">
        <v>5275</v>
      </c>
      <c r="E1612" s="3928" t="s">
        <v>5276</v>
      </c>
      <c r="F1612" s="3928" t="s">
        <v>2397</v>
      </c>
      <c r="G1612" s="3928" t="s">
        <v>5277</v>
      </c>
      <c r="H1612" s="3928" t="s">
        <v>2263</v>
      </c>
      <c r="I1612" s="3928" t="s">
        <v>898</v>
      </c>
    </row>
    <row r="1613" spans="1:9" ht="11.25" customHeight="1">
      <c r="A1613" s="3928" t="s">
        <v>2258</v>
      </c>
      <c r="B1613" s="3928" t="s">
        <v>14</v>
      </c>
      <c r="C1613" s="3928" t="s">
        <v>5278</v>
      </c>
      <c r="D1613" s="3928" t="s">
        <v>5279</v>
      </c>
      <c r="E1613" s="3928" t="s">
        <v>5280</v>
      </c>
      <c r="F1613" s="3928" t="s">
        <v>3353</v>
      </c>
      <c r="G1613" s="3928" t="s">
        <v>24</v>
      </c>
      <c r="H1613" s="3928" t="s">
        <v>5281</v>
      </c>
      <c r="I1613" s="3928" t="s">
        <v>898</v>
      </c>
    </row>
    <row r="1614" spans="1:9" ht="11.25" customHeight="1">
      <c r="A1614" s="3928" t="s">
        <v>2258</v>
      </c>
      <c r="B1614" s="3928" t="s">
        <v>14</v>
      </c>
      <c r="C1614" s="3928" t="s">
        <v>6436</v>
      </c>
      <c r="D1614" s="3928" t="s">
        <v>6437</v>
      </c>
      <c r="E1614" s="3928" t="s">
        <v>6438</v>
      </c>
      <c r="F1614" s="3928" t="s">
        <v>49</v>
      </c>
      <c r="G1614" s="3928" t="s">
        <v>24</v>
      </c>
      <c r="H1614" s="3928" t="s">
        <v>2263</v>
      </c>
      <c r="I1614" s="3928" t="s">
        <v>898</v>
      </c>
    </row>
    <row r="1615" spans="1:9" ht="11.25" customHeight="1">
      <c r="A1615" s="3928" t="s">
        <v>2258</v>
      </c>
      <c r="B1615" s="3928" t="s">
        <v>14</v>
      </c>
      <c r="C1615" s="3928" t="s">
        <v>5289</v>
      </c>
      <c r="D1615" s="3928" t="s">
        <v>5290</v>
      </c>
      <c r="E1615" s="3928" t="s">
        <v>5291</v>
      </c>
      <c r="F1615" s="3928" t="s">
        <v>2262</v>
      </c>
      <c r="G1615" s="3928" t="s">
        <v>24</v>
      </c>
      <c r="H1615" s="3928" t="s">
        <v>24</v>
      </c>
      <c r="I1615" s="3928" t="s">
        <v>898</v>
      </c>
    </row>
    <row r="1616" spans="1:9" ht="11.25" customHeight="1">
      <c r="A1616" s="3928" t="s">
        <v>2258</v>
      </c>
      <c r="B1616" s="3928" t="s">
        <v>14</v>
      </c>
      <c r="C1616" s="3928" t="s">
        <v>5292</v>
      </c>
      <c r="D1616" s="3928" t="s">
        <v>5293</v>
      </c>
      <c r="E1616" s="3928" t="s">
        <v>5294</v>
      </c>
      <c r="F1616" s="3928" t="s">
        <v>2796</v>
      </c>
      <c r="G1616" s="3928" t="s">
        <v>5295</v>
      </c>
      <c r="H1616" s="3928" t="s">
        <v>24</v>
      </c>
      <c r="I1616" s="3928" t="s">
        <v>898</v>
      </c>
    </row>
    <row r="1617" spans="1:9" ht="11.25" customHeight="1">
      <c r="A1617" s="3928" t="s">
        <v>2258</v>
      </c>
      <c r="B1617" s="3928" t="s">
        <v>14</v>
      </c>
      <c r="C1617" s="3928" t="s">
        <v>5296</v>
      </c>
      <c r="D1617" s="3928" t="s">
        <v>5297</v>
      </c>
      <c r="E1617" s="3928" t="s">
        <v>5298</v>
      </c>
      <c r="F1617" s="3928" t="s">
        <v>2304</v>
      </c>
      <c r="G1617" s="3928" t="s">
        <v>5299</v>
      </c>
      <c r="H1617" s="3928" t="s">
        <v>24</v>
      </c>
      <c r="I1617" s="3928" t="s">
        <v>898</v>
      </c>
    </row>
    <row r="1618" spans="1:9" ht="11.25" customHeight="1">
      <c r="A1618" s="3928" t="s">
        <v>2258</v>
      </c>
      <c r="B1618" s="3928" t="s">
        <v>14</v>
      </c>
      <c r="C1618" s="3928" t="s">
        <v>5300</v>
      </c>
      <c r="D1618" s="3928" t="s">
        <v>5301</v>
      </c>
      <c r="E1618" s="3928" t="s">
        <v>5302</v>
      </c>
      <c r="F1618" s="3928" t="s">
        <v>3023</v>
      </c>
      <c r="G1618" s="3928" t="s">
        <v>24</v>
      </c>
      <c r="H1618" s="3928" t="s">
        <v>24</v>
      </c>
      <c r="I1618" s="3928" t="s">
        <v>898</v>
      </c>
    </row>
    <row r="1619" spans="1:9" ht="11.25" customHeight="1">
      <c r="A1619" s="3928" t="s">
        <v>2258</v>
      </c>
      <c r="B1619" s="3928" t="s">
        <v>14</v>
      </c>
      <c r="C1619" s="3928" t="s">
        <v>5307</v>
      </c>
      <c r="D1619" s="3928" t="s">
        <v>5308</v>
      </c>
      <c r="E1619" s="3928" t="s">
        <v>5309</v>
      </c>
      <c r="F1619" s="3928" t="s">
        <v>5310</v>
      </c>
      <c r="G1619" s="3928" t="s">
        <v>5311</v>
      </c>
      <c r="H1619" s="3928" t="s">
        <v>24</v>
      </c>
      <c r="I1619" s="3928" t="s">
        <v>898</v>
      </c>
    </row>
    <row r="1620" spans="1:9" ht="11.25" customHeight="1">
      <c r="A1620" s="3928" t="s">
        <v>2258</v>
      </c>
      <c r="B1620" s="3928" t="s">
        <v>14</v>
      </c>
      <c r="C1620" s="3928" t="s">
        <v>5317</v>
      </c>
      <c r="D1620" s="3928" t="s">
        <v>5318</v>
      </c>
      <c r="E1620" s="3928" t="s">
        <v>5319</v>
      </c>
      <c r="F1620" s="3928" t="s">
        <v>2675</v>
      </c>
      <c r="G1620" s="3928" t="s">
        <v>5320</v>
      </c>
      <c r="H1620" s="3928" t="s">
        <v>24</v>
      </c>
      <c r="I1620" s="3928" t="s">
        <v>898</v>
      </c>
    </row>
    <row r="1621" spans="1:9" ht="11.25" customHeight="1">
      <c r="A1621" s="3928" t="s">
        <v>2258</v>
      </c>
      <c r="B1621" s="3928" t="s">
        <v>14</v>
      </c>
      <c r="C1621" s="3928" t="s">
        <v>5321</v>
      </c>
      <c r="D1621" s="3928" t="s">
        <v>5322</v>
      </c>
      <c r="E1621" s="3928" t="s">
        <v>5323</v>
      </c>
      <c r="F1621" s="3928" t="s">
        <v>2309</v>
      </c>
      <c r="G1621" s="3928" t="s">
        <v>24</v>
      </c>
      <c r="H1621" s="3928" t="s">
        <v>24</v>
      </c>
      <c r="I1621" s="3928" t="s">
        <v>898</v>
      </c>
    </row>
    <row r="1622" spans="1:9" ht="11.25" customHeight="1">
      <c r="A1622" s="3928" t="s">
        <v>2258</v>
      </c>
      <c r="B1622" s="3928" t="s">
        <v>14</v>
      </c>
      <c r="C1622" s="3928" t="s">
        <v>5332</v>
      </c>
      <c r="D1622" s="3928" t="s">
        <v>5333</v>
      </c>
      <c r="E1622" s="3928" t="s">
        <v>5334</v>
      </c>
      <c r="F1622" s="3928" t="s">
        <v>2375</v>
      </c>
      <c r="G1622" s="3928" t="s">
        <v>24</v>
      </c>
      <c r="H1622" s="3928" t="s">
        <v>24</v>
      </c>
      <c r="I1622" s="3928" t="s">
        <v>898</v>
      </c>
    </row>
    <row r="1623" spans="1:9" ht="11.25" customHeight="1">
      <c r="A1623" s="3928" t="s">
        <v>2258</v>
      </c>
      <c r="B1623" s="3928" t="s">
        <v>14</v>
      </c>
      <c r="C1623" s="3928" t="s">
        <v>5338</v>
      </c>
      <c r="D1623" s="3928" t="s">
        <v>5339</v>
      </c>
      <c r="E1623" s="3928" t="s">
        <v>5340</v>
      </c>
      <c r="F1623" s="3928" t="s">
        <v>2309</v>
      </c>
      <c r="G1623" s="3928" t="s">
        <v>24</v>
      </c>
      <c r="H1623" s="3928" t="s">
        <v>24</v>
      </c>
      <c r="I1623" s="3928" t="s">
        <v>898</v>
      </c>
    </row>
    <row r="1624" spans="1:9" ht="11.25" customHeight="1">
      <c r="A1624" s="3928" t="s">
        <v>2258</v>
      </c>
      <c r="B1624" s="3928" t="s">
        <v>14</v>
      </c>
      <c r="C1624" s="3928" t="s">
        <v>5341</v>
      </c>
      <c r="D1624" s="3928" t="s">
        <v>5342</v>
      </c>
      <c r="E1624" s="3928" t="s">
        <v>5343</v>
      </c>
      <c r="F1624" s="3928" t="s">
        <v>2522</v>
      </c>
      <c r="G1624" s="3928" t="s">
        <v>24</v>
      </c>
      <c r="H1624" s="3928" t="s">
        <v>2772</v>
      </c>
      <c r="I1624" s="3928" t="s">
        <v>898</v>
      </c>
    </row>
    <row r="1625" spans="1:9" ht="11.25" customHeight="1">
      <c r="A1625" s="3928" t="s">
        <v>2258</v>
      </c>
      <c r="B1625" s="3928" t="s">
        <v>14</v>
      </c>
      <c r="C1625" s="3928" t="s">
        <v>5344</v>
      </c>
      <c r="D1625" s="3928" t="s">
        <v>5345</v>
      </c>
      <c r="E1625" s="3928" t="s">
        <v>5346</v>
      </c>
      <c r="F1625" s="3928" t="s">
        <v>2397</v>
      </c>
      <c r="G1625" s="3928" t="s">
        <v>5347</v>
      </c>
      <c r="H1625" s="3928" t="s">
        <v>2263</v>
      </c>
      <c r="I1625" s="3928" t="s">
        <v>898</v>
      </c>
    </row>
    <row r="1626" spans="1:9" ht="11.25" customHeight="1">
      <c r="A1626" s="3928" t="s">
        <v>2258</v>
      </c>
      <c r="B1626" s="3928" t="s">
        <v>14</v>
      </c>
      <c r="C1626" s="3928" t="s">
        <v>5348</v>
      </c>
      <c r="D1626" s="3928" t="s">
        <v>5349</v>
      </c>
      <c r="E1626" s="3928" t="s">
        <v>5350</v>
      </c>
      <c r="F1626" s="3928" t="s">
        <v>2397</v>
      </c>
      <c r="G1626" s="3928" t="s">
        <v>5351</v>
      </c>
      <c r="H1626" s="3928" t="s">
        <v>2263</v>
      </c>
      <c r="I1626" s="3928" t="s">
        <v>898</v>
      </c>
    </row>
    <row r="1627" spans="1:9" ht="11.25" customHeight="1">
      <c r="A1627" s="3928" t="s">
        <v>2258</v>
      </c>
      <c r="B1627" s="3928" t="s">
        <v>14</v>
      </c>
      <c r="C1627" s="3928" t="s">
        <v>5352</v>
      </c>
      <c r="D1627" s="3928" t="s">
        <v>5353</v>
      </c>
      <c r="E1627" s="3928" t="s">
        <v>5354</v>
      </c>
      <c r="F1627" s="3928" t="s">
        <v>4646</v>
      </c>
      <c r="G1627" s="3928" t="s">
        <v>5355</v>
      </c>
      <c r="H1627" s="3928" t="s">
        <v>24</v>
      </c>
      <c r="I1627" s="3928" t="s">
        <v>898</v>
      </c>
    </row>
    <row r="1628" spans="1:9" ht="11.25" customHeight="1">
      <c r="A1628" s="3928" t="s">
        <v>2258</v>
      </c>
      <c r="B1628" s="3928" t="s">
        <v>14</v>
      </c>
      <c r="C1628" s="3928" t="s">
        <v>5356</v>
      </c>
      <c r="D1628" s="3928" t="s">
        <v>5357</v>
      </c>
      <c r="E1628" s="3928" t="s">
        <v>5358</v>
      </c>
      <c r="F1628" s="3928" t="s">
        <v>5359</v>
      </c>
      <c r="G1628" s="3928" t="s">
        <v>24</v>
      </c>
      <c r="H1628" s="3928" t="s">
        <v>24</v>
      </c>
      <c r="I1628" s="3928" t="s">
        <v>898</v>
      </c>
    </row>
    <row r="1629" spans="1:9" ht="11.25" customHeight="1">
      <c r="A1629" s="3928" t="s">
        <v>2258</v>
      </c>
      <c r="B1629" s="3928" t="s">
        <v>14</v>
      </c>
      <c r="C1629" s="3928" t="s">
        <v>5360</v>
      </c>
      <c r="D1629" s="3928" t="s">
        <v>5361</v>
      </c>
      <c r="E1629" s="3928" t="s">
        <v>5362</v>
      </c>
      <c r="F1629" s="3928" t="s">
        <v>2294</v>
      </c>
      <c r="G1629" s="3928" t="s">
        <v>5306</v>
      </c>
      <c r="H1629" s="3928" t="s">
        <v>24</v>
      </c>
      <c r="I1629" s="3928" t="s">
        <v>898</v>
      </c>
    </row>
    <row r="1630" spans="1:9" ht="11.25" customHeight="1">
      <c r="A1630" s="3928" t="s">
        <v>2258</v>
      </c>
      <c r="B1630" s="3928" t="s">
        <v>14</v>
      </c>
      <c r="C1630" s="3928" t="s">
        <v>5363</v>
      </c>
      <c r="D1630" s="3928" t="s">
        <v>5364</v>
      </c>
      <c r="E1630" s="3928" t="s">
        <v>5365</v>
      </c>
      <c r="F1630" s="3928" t="s">
        <v>3370</v>
      </c>
      <c r="G1630" s="3928" t="s">
        <v>5366</v>
      </c>
      <c r="H1630" s="3928" t="s">
        <v>24</v>
      </c>
      <c r="I1630" s="3928" t="s">
        <v>898</v>
      </c>
    </row>
    <row r="1631" spans="1:9" ht="11.25" customHeight="1">
      <c r="A1631" s="3928" t="s">
        <v>2258</v>
      </c>
      <c r="B1631" s="3928" t="s">
        <v>14</v>
      </c>
      <c r="C1631" s="3928" t="s">
        <v>5367</v>
      </c>
      <c r="D1631" s="3928" t="s">
        <v>5368</v>
      </c>
      <c r="E1631" s="3928" t="s">
        <v>5369</v>
      </c>
      <c r="F1631" s="3928" t="s">
        <v>2675</v>
      </c>
      <c r="G1631" s="3928" t="s">
        <v>5370</v>
      </c>
      <c r="H1631" s="3928" t="s">
        <v>2263</v>
      </c>
      <c r="I1631" s="3928" t="s">
        <v>898</v>
      </c>
    </row>
    <row r="1632" spans="1:9" ht="11.25" customHeight="1">
      <c r="A1632" s="3928" t="s">
        <v>2258</v>
      </c>
      <c r="B1632" s="3928" t="s">
        <v>14</v>
      </c>
      <c r="C1632" s="3928" t="s">
        <v>5374</v>
      </c>
      <c r="D1632" s="3928" t="s">
        <v>5375</v>
      </c>
      <c r="E1632" s="3928" t="s">
        <v>5376</v>
      </c>
      <c r="F1632" s="3928" t="s">
        <v>5377</v>
      </c>
      <c r="G1632" s="3928" t="s">
        <v>5378</v>
      </c>
      <c r="H1632" s="3928" t="s">
        <v>24</v>
      </c>
      <c r="I1632" s="3928" t="s">
        <v>898</v>
      </c>
    </row>
    <row r="1633" spans="1:9" ht="11.25" customHeight="1">
      <c r="A1633" s="3928" t="s">
        <v>2258</v>
      </c>
      <c r="B1633" s="3928" t="s">
        <v>14</v>
      </c>
      <c r="C1633" s="3928" t="s">
        <v>5379</v>
      </c>
      <c r="D1633" s="3928" t="s">
        <v>5380</v>
      </c>
      <c r="E1633" s="3928" t="s">
        <v>5381</v>
      </c>
      <c r="F1633" s="3928" t="s">
        <v>2796</v>
      </c>
      <c r="G1633" s="3928" t="s">
        <v>24</v>
      </c>
      <c r="H1633" s="3928" t="s">
        <v>2263</v>
      </c>
      <c r="I1633" s="3928" t="s">
        <v>898</v>
      </c>
    </row>
    <row r="1634" spans="1:9" ht="11.25" customHeight="1">
      <c r="A1634" s="3928" t="s">
        <v>2258</v>
      </c>
      <c r="B1634" s="3928" t="s">
        <v>14</v>
      </c>
      <c r="C1634" s="3928" t="s">
        <v>5385</v>
      </c>
      <c r="D1634" s="3928" t="s">
        <v>5383</v>
      </c>
      <c r="E1634" s="3928" t="s">
        <v>5386</v>
      </c>
      <c r="F1634" s="3928" t="s">
        <v>2325</v>
      </c>
      <c r="G1634" s="3928" t="s">
        <v>24</v>
      </c>
      <c r="H1634" s="3928" t="s">
        <v>24</v>
      </c>
      <c r="I1634" s="3928" t="s">
        <v>898</v>
      </c>
    </row>
    <row r="1635" spans="1:9" ht="11.25" customHeight="1">
      <c r="A1635" s="3928" t="s">
        <v>2258</v>
      </c>
      <c r="B1635" s="3928" t="s">
        <v>14</v>
      </c>
      <c r="C1635" s="3928" t="s">
        <v>5387</v>
      </c>
      <c r="D1635" s="3928" t="s">
        <v>5388</v>
      </c>
      <c r="E1635" s="3928" t="s">
        <v>5389</v>
      </c>
      <c r="F1635" s="3928" t="s">
        <v>2289</v>
      </c>
      <c r="G1635" s="3928" t="s">
        <v>5390</v>
      </c>
      <c r="H1635" s="3928" t="s">
        <v>24</v>
      </c>
      <c r="I1635" s="3928" t="s">
        <v>898</v>
      </c>
    </row>
    <row r="1636" spans="1:9" ht="11.25" customHeight="1">
      <c r="A1636" s="3928" t="s">
        <v>2258</v>
      </c>
      <c r="B1636" s="3928" t="s">
        <v>14</v>
      </c>
      <c r="C1636" s="3928" t="s">
        <v>6439</v>
      </c>
      <c r="D1636" s="3928" t="s">
        <v>6440</v>
      </c>
      <c r="E1636" s="3928" t="s">
        <v>6441</v>
      </c>
      <c r="F1636" s="3928" t="s">
        <v>2304</v>
      </c>
      <c r="G1636" s="3928" t="s">
        <v>24</v>
      </c>
      <c r="H1636" s="3928" t="s">
        <v>2263</v>
      </c>
      <c r="I1636" s="3928" t="s">
        <v>898</v>
      </c>
    </row>
    <row r="1637" spans="1:9" ht="11.25" customHeight="1">
      <c r="A1637" s="3928" t="s">
        <v>2258</v>
      </c>
      <c r="B1637" s="3928" t="s">
        <v>14</v>
      </c>
      <c r="C1637" s="3928" t="s">
        <v>5395</v>
      </c>
      <c r="D1637" s="3928" t="s">
        <v>5396</v>
      </c>
      <c r="E1637" s="3928" t="s">
        <v>5397</v>
      </c>
      <c r="F1637" s="3928" t="s">
        <v>2354</v>
      </c>
      <c r="G1637" s="3928" t="s">
        <v>24</v>
      </c>
      <c r="H1637" s="3928" t="s">
        <v>24</v>
      </c>
      <c r="I1637" s="3928" t="s">
        <v>898</v>
      </c>
    </row>
    <row r="1638" spans="1:9" ht="11.25" customHeight="1">
      <c r="A1638" s="3928" t="s">
        <v>2258</v>
      </c>
      <c r="B1638" s="3928" t="s">
        <v>14</v>
      </c>
      <c r="C1638" s="3928" t="s">
        <v>5398</v>
      </c>
      <c r="D1638" s="3928" t="s">
        <v>5399</v>
      </c>
      <c r="E1638" s="3928" t="s">
        <v>5400</v>
      </c>
      <c r="F1638" s="3928" t="s">
        <v>2304</v>
      </c>
      <c r="G1638" s="3928" t="s">
        <v>4058</v>
      </c>
      <c r="H1638" s="3928" t="s">
        <v>24</v>
      </c>
      <c r="I1638" s="3928" t="s">
        <v>898</v>
      </c>
    </row>
    <row r="1639" spans="1:9" ht="11.25" customHeight="1">
      <c r="A1639" s="3928" t="s">
        <v>2258</v>
      </c>
      <c r="B1639" s="3928" t="s">
        <v>14</v>
      </c>
      <c r="C1639" s="3928" t="s">
        <v>6442</v>
      </c>
      <c r="D1639" s="3928" t="s">
        <v>6443</v>
      </c>
      <c r="E1639" s="3928" t="s">
        <v>6444</v>
      </c>
      <c r="F1639" s="3928" t="s">
        <v>2304</v>
      </c>
      <c r="G1639" s="3928" t="s">
        <v>24</v>
      </c>
      <c r="H1639" s="3928" t="s">
        <v>2263</v>
      </c>
      <c r="I1639" s="3928" t="s">
        <v>898</v>
      </c>
    </row>
    <row r="1640" spans="1:9" ht="11.25" customHeight="1">
      <c r="A1640" s="3928" t="s">
        <v>2258</v>
      </c>
      <c r="B1640" s="3928" t="s">
        <v>14</v>
      </c>
      <c r="C1640" s="3928" t="s">
        <v>5401</v>
      </c>
      <c r="D1640" s="3928" t="s">
        <v>5402</v>
      </c>
      <c r="E1640" s="3928" t="s">
        <v>5403</v>
      </c>
      <c r="F1640" s="3928" t="s">
        <v>2289</v>
      </c>
      <c r="G1640" s="3928" t="s">
        <v>24</v>
      </c>
      <c r="H1640" s="3928" t="s">
        <v>24</v>
      </c>
      <c r="I1640" s="3928" t="s">
        <v>898</v>
      </c>
    </row>
    <row r="1641" spans="1:9" ht="11.25" customHeight="1">
      <c r="A1641" s="3928" t="s">
        <v>2258</v>
      </c>
      <c r="B1641" s="3928" t="s">
        <v>14</v>
      </c>
      <c r="C1641" s="3928" t="s">
        <v>5415</v>
      </c>
      <c r="D1641" s="3928" t="s">
        <v>5416</v>
      </c>
      <c r="E1641" s="3928" t="s">
        <v>5417</v>
      </c>
      <c r="F1641" s="3928" t="s">
        <v>2675</v>
      </c>
      <c r="G1641" s="3928" t="s">
        <v>24</v>
      </c>
      <c r="H1641" s="3928" t="s">
        <v>3068</v>
      </c>
      <c r="I1641" s="3928" t="s">
        <v>898</v>
      </c>
    </row>
    <row r="1642" spans="1:9" ht="11.25" customHeight="1">
      <c r="A1642" s="3928" t="s">
        <v>2258</v>
      </c>
      <c r="B1642" s="3928" t="s">
        <v>14</v>
      </c>
      <c r="C1642" s="3928" t="s">
        <v>5418</v>
      </c>
      <c r="D1642" s="3928" t="s">
        <v>5419</v>
      </c>
      <c r="E1642" s="3928" t="s">
        <v>5420</v>
      </c>
      <c r="F1642" s="3928" t="s">
        <v>2675</v>
      </c>
      <c r="G1642" s="3928" t="s">
        <v>24</v>
      </c>
      <c r="H1642" s="3928" t="s">
        <v>2772</v>
      </c>
      <c r="I1642" s="3928" t="s">
        <v>898</v>
      </c>
    </row>
    <row r="1643" spans="1:9" ht="11.25" customHeight="1">
      <c r="A1643" s="3928" t="s">
        <v>2258</v>
      </c>
      <c r="B1643" s="3928" t="s">
        <v>14</v>
      </c>
      <c r="C1643" s="3928" t="s">
        <v>5424</v>
      </c>
      <c r="D1643" s="3928" t="s">
        <v>5425</v>
      </c>
      <c r="E1643" s="3928" t="s">
        <v>5426</v>
      </c>
      <c r="F1643" s="3928" t="s">
        <v>2552</v>
      </c>
      <c r="G1643" s="3928" t="s">
        <v>24</v>
      </c>
      <c r="H1643" s="3928" t="s">
        <v>5427</v>
      </c>
      <c r="I1643" s="3928" t="s">
        <v>898</v>
      </c>
    </row>
    <row r="1644" spans="1:9" ht="11.25" customHeight="1">
      <c r="A1644" s="3928" t="s">
        <v>2258</v>
      </c>
      <c r="B1644" s="3928" t="s">
        <v>14</v>
      </c>
      <c r="C1644" s="3928" t="s">
        <v>5428</v>
      </c>
      <c r="D1644" s="3928" t="s">
        <v>5429</v>
      </c>
      <c r="E1644" s="3928" t="s">
        <v>5430</v>
      </c>
      <c r="F1644" s="3928" t="s">
        <v>2675</v>
      </c>
      <c r="G1644" s="3928" t="s">
        <v>24</v>
      </c>
      <c r="H1644" s="3928" t="s">
        <v>3068</v>
      </c>
      <c r="I1644" s="3928" t="s">
        <v>898</v>
      </c>
    </row>
    <row r="1645" spans="1:9" ht="11.25" customHeight="1">
      <c r="A1645" s="3928" t="s">
        <v>2258</v>
      </c>
      <c r="B1645" s="3928" t="s">
        <v>14</v>
      </c>
      <c r="C1645" s="3928" t="s">
        <v>5435</v>
      </c>
      <c r="D1645" s="3928" t="s">
        <v>5436</v>
      </c>
      <c r="E1645" s="3928" t="s">
        <v>5437</v>
      </c>
      <c r="F1645" s="3928" t="s">
        <v>2409</v>
      </c>
      <c r="G1645" s="3928" t="s">
        <v>24</v>
      </c>
      <c r="H1645" s="3928" t="s">
        <v>5438</v>
      </c>
      <c r="I1645" s="3928" t="s">
        <v>898</v>
      </c>
    </row>
    <row r="1646" spans="1:9" ht="11.25" customHeight="1">
      <c r="A1646" s="3928" t="s">
        <v>2258</v>
      </c>
      <c r="B1646" s="3928" t="s">
        <v>14</v>
      </c>
      <c r="C1646" s="3928" t="s">
        <v>5443</v>
      </c>
      <c r="D1646" s="3928" t="s">
        <v>5444</v>
      </c>
      <c r="E1646" s="3928" t="s">
        <v>5445</v>
      </c>
      <c r="F1646" s="3928" t="s">
        <v>2304</v>
      </c>
      <c r="G1646" s="3928" t="s">
        <v>24</v>
      </c>
      <c r="H1646" s="3928" t="s">
        <v>24</v>
      </c>
      <c r="I1646" s="3928" t="s">
        <v>898</v>
      </c>
    </row>
    <row r="1647" spans="1:9" ht="11.25" customHeight="1">
      <c r="A1647" s="3928" t="s">
        <v>2258</v>
      </c>
      <c r="B1647" s="3928" t="s">
        <v>14</v>
      </c>
      <c r="C1647" s="3928" t="s">
        <v>5446</v>
      </c>
      <c r="D1647" s="3928" t="s">
        <v>5447</v>
      </c>
      <c r="E1647" s="3928" t="s">
        <v>5448</v>
      </c>
      <c r="F1647" s="3928" t="s">
        <v>5442</v>
      </c>
      <c r="G1647" s="3928" t="s">
        <v>5449</v>
      </c>
      <c r="H1647" s="3928" t="s">
        <v>24</v>
      </c>
      <c r="I1647" s="3928" t="s">
        <v>898</v>
      </c>
    </row>
    <row r="1648" spans="1:9" ht="11.25" customHeight="1">
      <c r="A1648" s="3928" t="s">
        <v>2258</v>
      </c>
      <c r="B1648" s="3928" t="s">
        <v>14</v>
      </c>
      <c r="C1648" s="3928" t="s">
        <v>5458</v>
      </c>
      <c r="D1648" s="3928" t="s">
        <v>5459</v>
      </c>
      <c r="E1648" s="3928" t="s">
        <v>5460</v>
      </c>
      <c r="F1648" s="3928" t="s">
        <v>5461</v>
      </c>
      <c r="G1648" s="3928" t="s">
        <v>3631</v>
      </c>
      <c r="H1648" s="3928" t="s">
        <v>24</v>
      </c>
      <c r="I1648" s="3928" t="s">
        <v>898</v>
      </c>
    </row>
    <row r="1649" spans="1:9" ht="11.25" customHeight="1">
      <c r="A1649" s="3928" t="s">
        <v>2258</v>
      </c>
      <c r="B1649" s="3928" t="s">
        <v>14</v>
      </c>
      <c r="C1649" s="3928" t="s">
        <v>5462</v>
      </c>
      <c r="D1649" s="3928" t="s">
        <v>5463</v>
      </c>
      <c r="E1649" s="3928" t="s">
        <v>5464</v>
      </c>
      <c r="F1649" s="3928" t="s">
        <v>4792</v>
      </c>
      <c r="G1649" s="3928" t="s">
        <v>5465</v>
      </c>
      <c r="H1649" s="3928" t="s">
        <v>2263</v>
      </c>
      <c r="I1649" s="3928" t="s">
        <v>898</v>
      </c>
    </row>
    <row r="1650" spans="1:9" ht="11.25" customHeight="1">
      <c r="A1650" s="3928" t="s">
        <v>2258</v>
      </c>
      <c r="B1650" s="3928" t="s">
        <v>14</v>
      </c>
      <c r="C1650" s="3928" t="s">
        <v>5466</v>
      </c>
      <c r="D1650" s="3928" t="s">
        <v>5467</v>
      </c>
      <c r="E1650" s="3928" t="s">
        <v>5468</v>
      </c>
      <c r="F1650" s="3928" t="s">
        <v>3370</v>
      </c>
      <c r="G1650" s="3928" t="s">
        <v>5469</v>
      </c>
      <c r="H1650" s="3928" t="s">
        <v>24</v>
      </c>
      <c r="I1650" s="3928" t="s">
        <v>898</v>
      </c>
    </row>
    <row r="1651" spans="1:9" ht="11.25" customHeight="1">
      <c r="A1651" s="3928" t="s">
        <v>2258</v>
      </c>
      <c r="B1651" s="3928" t="s">
        <v>14</v>
      </c>
      <c r="C1651" s="3928" t="s">
        <v>5482</v>
      </c>
      <c r="D1651" s="3928" t="s">
        <v>5483</v>
      </c>
      <c r="E1651" s="3928" t="s">
        <v>5484</v>
      </c>
      <c r="F1651" s="3928" t="s">
        <v>2675</v>
      </c>
      <c r="G1651" s="3928" t="s">
        <v>5485</v>
      </c>
      <c r="H1651" s="3928" t="s">
        <v>24</v>
      </c>
      <c r="I1651" s="3928" t="s">
        <v>898</v>
      </c>
    </row>
    <row r="1652" spans="1:9" ht="11.25" customHeight="1">
      <c r="A1652" s="3928" t="s">
        <v>2258</v>
      </c>
      <c r="B1652" s="3928" t="s">
        <v>14</v>
      </c>
      <c r="C1652" s="3928" t="s">
        <v>5486</v>
      </c>
      <c r="D1652" s="3928" t="s">
        <v>5487</v>
      </c>
      <c r="E1652" s="3928" t="s">
        <v>5488</v>
      </c>
      <c r="F1652" s="3928" t="s">
        <v>2414</v>
      </c>
      <c r="G1652" s="3928" t="s">
        <v>5489</v>
      </c>
      <c r="H1652" s="3928" t="s">
        <v>24</v>
      </c>
      <c r="I1652" s="3928" t="s">
        <v>898</v>
      </c>
    </row>
    <row r="1653" spans="1:9" ht="11.25" customHeight="1">
      <c r="A1653" s="3928" t="s">
        <v>2258</v>
      </c>
      <c r="B1653" s="3928" t="s">
        <v>14</v>
      </c>
      <c r="C1653" s="3928" t="s">
        <v>5494</v>
      </c>
      <c r="D1653" s="3928" t="s">
        <v>5495</v>
      </c>
      <c r="E1653" s="3928" t="s">
        <v>5496</v>
      </c>
      <c r="F1653" s="3928" t="s">
        <v>2486</v>
      </c>
      <c r="G1653" s="3928" t="s">
        <v>24</v>
      </c>
      <c r="H1653" s="3928" t="s">
        <v>2263</v>
      </c>
      <c r="I1653" s="3928" t="s">
        <v>898</v>
      </c>
    </row>
    <row r="1654" spans="1:9" ht="11.25" customHeight="1">
      <c r="A1654" s="3928" t="s">
        <v>2258</v>
      </c>
      <c r="B1654" s="3928" t="s">
        <v>14</v>
      </c>
      <c r="C1654" s="3928" t="s">
        <v>5497</v>
      </c>
      <c r="D1654" s="3928" t="s">
        <v>5498</v>
      </c>
      <c r="E1654" s="3928" t="s">
        <v>5499</v>
      </c>
      <c r="F1654" s="3928" t="s">
        <v>2796</v>
      </c>
      <c r="G1654" s="3928" t="s">
        <v>24</v>
      </c>
      <c r="H1654" s="3928" t="s">
        <v>2263</v>
      </c>
      <c r="I1654" s="3928" t="s">
        <v>898</v>
      </c>
    </row>
    <row r="1655" spans="1:9" ht="11.25" customHeight="1">
      <c r="A1655" s="3928" t="s">
        <v>2258</v>
      </c>
      <c r="B1655" s="3928" t="s">
        <v>14</v>
      </c>
      <c r="C1655" s="3928" t="s">
        <v>5500</v>
      </c>
      <c r="D1655" s="3928" t="s">
        <v>5501</v>
      </c>
      <c r="E1655" s="3928" t="s">
        <v>5502</v>
      </c>
      <c r="F1655" s="3928" t="s">
        <v>2344</v>
      </c>
      <c r="G1655" s="3928" t="s">
        <v>5503</v>
      </c>
      <c r="H1655" s="3928" t="s">
        <v>24</v>
      </c>
      <c r="I1655" s="3928" t="s">
        <v>898</v>
      </c>
    </row>
    <row r="1656" spans="1:9" ht="11.25" customHeight="1">
      <c r="A1656" s="3928" t="s">
        <v>2258</v>
      </c>
      <c r="B1656" s="3928" t="s">
        <v>14</v>
      </c>
      <c r="C1656" s="3928" t="s">
        <v>5504</v>
      </c>
      <c r="D1656" s="3928" t="s">
        <v>5505</v>
      </c>
      <c r="E1656" s="3928" t="s">
        <v>5506</v>
      </c>
      <c r="F1656" s="3928" t="s">
        <v>2397</v>
      </c>
      <c r="G1656" s="3928" t="s">
        <v>5507</v>
      </c>
      <c r="H1656" s="3928" t="s">
        <v>2263</v>
      </c>
      <c r="I1656" s="3928" t="s">
        <v>898</v>
      </c>
    </row>
    <row r="1657" spans="1:9" ht="11.25" customHeight="1">
      <c r="A1657" s="3928" t="s">
        <v>2258</v>
      </c>
      <c r="B1657" s="3928" t="s">
        <v>14</v>
      </c>
      <c r="C1657" s="3928" t="s">
        <v>5508</v>
      </c>
      <c r="D1657" s="3928" t="s">
        <v>5509</v>
      </c>
      <c r="E1657" s="3928" t="s">
        <v>5510</v>
      </c>
      <c r="F1657" s="3928" t="s">
        <v>2289</v>
      </c>
      <c r="G1657" s="3928" t="s">
        <v>5511</v>
      </c>
      <c r="H1657" s="3928" t="s">
        <v>24</v>
      </c>
      <c r="I1657" s="3928" t="s">
        <v>898</v>
      </c>
    </row>
    <row r="1658" spans="1:9" ht="11.25" customHeight="1">
      <c r="A1658" s="3928" t="s">
        <v>2258</v>
      </c>
      <c r="B1658" s="3928" t="s">
        <v>14</v>
      </c>
      <c r="C1658" s="3928" t="s">
        <v>5516</v>
      </c>
      <c r="D1658" s="3928" t="s">
        <v>5517</v>
      </c>
      <c r="E1658" s="3928" t="s">
        <v>5518</v>
      </c>
      <c r="F1658" s="3928" t="s">
        <v>4792</v>
      </c>
      <c r="G1658" s="3928" t="s">
        <v>5519</v>
      </c>
      <c r="H1658" s="3928" t="s">
        <v>5520</v>
      </c>
      <c r="I1658" s="3928" t="s">
        <v>898</v>
      </c>
    </row>
    <row r="1659" spans="1:9" ht="11.25" customHeight="1">
      <c r="A1659" s="3928" t="s">
        <v>2258</v>
      </c>
      <c r="B1659" s="3928" t="s">
        <v>14</v>
      </c>
      <c r="C1659" s="3928" t="s">
        <v>5535</v>
      </c>
      <c r="D1659" s="3928" t="s">
        <v>5536</v>
      </c>
      <c r="E1659" s="3928" t="s">
        <v>5537</v>
      </c>
      <c r="F1659" s="3928" t="s">
        <v>3051</v>
      </c>
      <c r="G1659" s="3928" t="s">
        <v>24</v>
      </c>
      <c r="H1659" s="3928" t="s">
        <v>2772</v>
      </c>
      <c r="I1659" s="3928" t="s">
        <v>898</v>
      </c>
    </row>
    <row r="1660" spans="1:9" ht="11.25" customHeight="1">
      <c r="A1660" s="3928" t="s">
        <v>2258</v>
      </c>
      <c r="B1660" s="3928" t="s">
        <v>14</v>
      </c>
      <c r="C1660" s="3928" t="s">
        <v>6445</v>
      </c>
      <c r="D1660" s="3928" t="s">
        <v>5539</v>
      </c>
      <c r="E1660" s="3928" t="s">
        <v>6446</v>
      </c>
      <c r="F1660" s="3928" t="s">
        <v>2424</v>
      </c>
      <c r="G1660" s="3928" t="s">
        <v>24</v>
      </c>
      <c r="H1660" s="3928" t="s">
        <v>24</v>
      </c>
      <c r="I1660" s="3928" t="s">
        <v>898</v>
      </c>
    </row>
    <row r="1661" spans="1:9" ht="11.25" customHeight="1">
      <c r="A1661" s="3928" t="s">
        <v>2258</v>
      </c>
      <c r="B1661" s="3928" t="s">
        <v>14</v>
      </c>
      <c r="C1661" s="3928" t="s">
        <v>5543</v>
      </c>
      <c r="D1661" s="3928" t="s">
        <v>5544</v>
      </c>
      <c r="E1661" s="3928" t="s">
        <v>5545</v>
      </c>
      <c r="F1661" s="3928" t="s">
        <v>2414</v>
      </c>
      <c r="G1661" s="3928" t="s">
        <v>5546</v>
      </c>
      <c r="H1661" s="3928" t="s">
        <v>24</v>
      </c>
      <c r="I1661" s="3928" t="s">
        <v>898</v>
      </c>
    </row>
    <row r="1662" spans="1:9" ht="11.25" customHeight="1">
      <c r="A1662" s="3928" t="s">
        <v>2258</v>
      </c>
      <c r="B1662" s="3928" t="s">
        <v>14</v>
      </c>
      <c r="C1662" s="3928" t="s">
        <v>5558</v>
      </c>
      <c r="D1662" s="3928" t="s">
        <v>5559</v>
      </c>
      <c r="E1662" s="3928" t="s">
        <v>5560</v>
      </c>
      <c r="F1662" s="3928" t="s">
        <v>2438</v>
      </c>
      <c r="G1662" s="3928" t="s">
        <v>24</v>
      </c>
      <c r="H1662" s="3928" t="s">
        <v>24</v>
      </c>
      <c r="I1662" s="3928" t="s">
        <v>898</v>
      </c>
    </row>
    <row r="1663" spans="1:9" ht="11.25" customHeight="1">
      <c r="A1663" s="3928" t="s">
        <v>2258</v>
      </c>
      <c r="B1663" s="3928" t="s">
        <v>14</v>
      </c>
      <c r="C1663" s="3928" t="s">
        <v>5564</v>
      </c>
      <c r="D1663" s="3928" t="s">
        <v>5565</v>
      </c>
      <c r="E1663" s="3928" t="s">
        <v>5566</v>
      </c>
      <c r="F1663" s="3928" t="s">
        <v>3039</v>
      </c>
      <c r="G1663" s="3928" t="s">
        <v>24</v>
      </c>
      <c r="H1663" s="3928" t="s">
        <v>2263</v>
      </c>
      <c r="I1663" s="3928" t="s">
        <v>898</v>
      </c>
    </row>
    <row r="1664" spans="1:9" ht="11.25" customHeight="1">
      <c r="A1664" s="3928" t="s">
        <v>2258</v>
      </c>
      <c r="B1664" s="3928" t="s">
        <v>14</v>
      </c>
      <c r="C1664" s="3928" t="s">
        <v>6447</v>
      </c>
      <c r="D1664" s="3928" t="s">
        <v>6448</v>
      </c>
      <c r="E1664" s="3928" t="s">
        <v>6449</v>
      </c>
      <c r="F1664" s="3928" t="s">
        <v>2486</v>
      </c>
      <c r="G1664" s="3928" t="s">
        <v>24</v>
      </c>
      <c r="H1664" s="3928" t="s">
        <v>24</v>
      </c>
      <c r="I1664" s="3928" t="s">
        <v>898</v>
      </c>
    </row>
    <row r="1665" spans="1:9" ht="11.25" customHeight="1">
      <c r="A1665" s="3928" t="s">
        <v>2258</v>
      </c>
      <c r="B1665" s="3928" t="s">
        <v>14</v>
      </c>
      <c r="C1665" s="3928" t="s">
        <v>5567</v>
      </c>
      <c r="D1665" s="3928" t="s">
        <v>5568</v>
      </c>
      <c r="E1665" s="3928" t="s">
        <v>5569</v>
      </c>
      <c r="F1665" s="3928" t="s">
        <v>2349</v>
      </c>
      <c r="G1665" s="3928" t="s">
        <v>24</v>
      </c>
      <c r="H1665" s="3928" t="s">
        <v>5570</v>
      </c>
      <c r="I1665" s="3928" t="s">
        <v>898</v>
      </c>
    </row>
    <row r="1666" spans="1:9" ht="11.25" customHeight="1">
      <c r="A1666" s="3928" t="s">
        <v>2258</v>
      </c>
      <c r="B1666" s="3928" t="s">
        <v>14</v>
      </c>
      <c r="C1666" s="3928" t="s">
        <v>5578</v>
      </c>
      <c r="D1666" s="3928" t="s">
        <v>5579</v>
      </c>
      <c r="E1666" s="3928" t="s">
        <v>5580</v>
      </c>
      <c r="F1666" s="3928" t="s">
        <v>2304</v>
      </c>
      <c r="G1666" s="3928" t="s">
        <v>24</v>
      </c>
      <c r="H1666" s="3928" t="s">
        <v>24</v>
      </c>
      <c r="I1666" s="3928" t="s">
        <v>898</v>
      </c>
    </row>
    <row r="1667" spans="1:9" ht="11.25" customHeight="1">
      <c r="A1667" s="3928" t="s">
        <v>2258</v>
      </c>
      <c r="B1667" s="3928" t="s">
        <v>14</v>
      </c>
      <c r="C1667" s="3928" t="s">
        <v>5581</v>
      </c>
      <c r="D1667" s="3928" t="s">
        <v>5582</v>
      </c>
      <c r="E1667" s="3928" t="s">
        <v>5583</v>
      </c>
      <c r="F1667" s="3928" t="s">
        <v>2675</v>
      </c>
      <c r="G1667" s="3928" t="s">
        <v>4783</v>
      </c>
      <c r="H1667" s="3928" t="s">
        <v>24</v>
      </c>
      <c r="I1667" s="3928" t="s">
        <v>898</v>
      </c>
    </row>
    <row r="1668" spans="1:9" ht="11.25" customHeight="1">
      <c r="A1668" s="3928" t="s">
        <v>2258</v>
      </c>
      <c r="B1668" s="3928" t="s">
        <v>14</v>
      </c>
      <c r="C1668" s="3928" t="s">
        <v>5596</v>
      </c>
      <c r="D1668" s="3928" t="s">
        <v>5597</v>
      </c>
      <c r="E1668" s="3928" t="s">
        <v>5598</v>
      </c>
      <c r="F1668" s="3928" t="s">
        <v>2473</v>
      </c>
      <c r="G1668" s="3928" t="s">
        <v>5599</v>
      </c>
      <c r="H1668" s="3928" t="s">
        <v>24</v>
      </c>
      <c r="I1668" s="3928" t="s">
        <v>898</v>
      </c>
    </row>
    <row r="1669" spans="1:9" ht="11.25" customHeight="1">
      <c r="A1669" s="3928" t="s">
        <v>2258</v>
      </c>
      <c r="B1669" s="3928" t="s">
        <v>14</v>
      </c>
      <c r="C1669" s="3928" t="s">
        <v>5607</v>
      </c>
      <c r="D1669" s="3928" t="s">
        <v>5608</v>
      </c>
      <c r="E1669" s="3928" t="s">
        <v>5609</v>
      </c>
      <c r="F1669" s="3928" t="s">
        <v>2675</v>
      </c>
      <c r="G1669" s="3928" t="s">
        <v>24</v>
      </c>
      <c r="H1669" s="3928" t="s">
        <v>24</v>
      </c>
      <c r="I1669" s="3928" t="s">
        <v>898</v>
      </c>
    </row>
    <row r="1670" spans="1:9" ht="11.25" customHeight="1">
      <c r="A1670" s="3928" t="s">
        <v>2258</v>
      </c>
      <c r="B1670" s="3928" t="s">
        <v>14</v>
      </c>
      <c r="C1670" s="3928" t="s">
        <v>5610</v>
      </c>
      <c r="D1670" s="3928" t="s">
        <v>5608</v>
      </c>
      <c r="E1670" s="3928" t="s">
        <v>5611</v>
      </c>
      <c r="F1670" s="3928" t="s">
        <v>2486</v>
      </c>
      <c r="G1670" s="3928" t="s">
        <v>5612</v>
      </c>
      <c r="H1670" s="3928" t="s">
        <v>24</v>
      </c>
      <c r="I1670" s="3928" t="s">
        <v>898</v>
      </c>
    </row>
    <row r="1671" spans="1:9" ht="11.25" customHeight="1">
      <c r="A1671" s="3928" t="s">
        <v>2258</v>
      </c>
      <c r="B1671" s="3928" t="s">
        <v>14</v>
      </c>
      <c r="C1671" s="3928" t="s">
        <v>5621</v>
      </c>
      <c r="D1671" s="3928" t="s">
        <v>5622</v>
      </c>
      <c r="E1671" s="3928" t="s">
        <v>5623</v>
      </c>
      <c r="F1671" s="3928" t="s">
        <v>2675</v>
      </c>
      <c r="G1671" s="3928" t="s">
        <v>5624</v>
      </c>
      <c r="H1671" s="3928" t="s">
        <v>24</v>
      </c>
      <c r="I1671" s="3928" t="s">
        <v>898</v>
      </c>
    </row>
    <row r="1672" spans="1:9" ht="11.25" customHeight="1">
      <c r="A1672" s="3928" t="s">
        <v>2258</v>
      </c>
      <c r="B1672" s="3928" t="s">
        <v>14</v>
      </c>
      <c r="C1672" s="3928" t="s">
        <v>5629</v>
      </c>
      <c r="D1672" s="3928" t="s">
        <v>5630</v>
      </c>
      <c r="E1672" s="3928" t="s">
        <v>4478</v>
      </c>
      <c r="F1672" s="3928" t="s">
        <v>2262</v>
      </c>
      <c r="G1672" s="3928" t="s">
        <v>24</v>
      </c>
      <c r="H1672" s="3928" t="s">
        <v>24</v>
      </c>
      <c r="I1672" s="3928" t="s">
        <v>898</v>
      </c>
    </row>
    <row r="1673" spans="1:9" ht="11.25" customHeight="1">
      <c r="A1673" s="3928" t="s">
        <v>2258</v>
      </c>
      <c r="B1673" s="3928" t="s">
        <v>14</v>
      </c>
      <c r="C1673" s="3928" t="s">
        <v>5631</v>
      </c>
      <c r="D1673" s="3928" t="s">
        <v>44</v>
      </c>
      <c r="E1673" s="3928" t="s">
        <v>47</v>
      </c>
      <c r="F1673" s="3928" t="s">
        <v>49</v>
      </c>
      <c r="G1673" s="3928" t="s">
        <v>5632</v>
      </c>
      <c r="H1673" s="3928" t="s">
        <v>24</v>
      </c>
      <c r="I1673" s="3928" t="s">
        <v>898</v>
      </c>
    </row>
    <row r="1674" spans="1:9" ht="11.25" customHeight="1">
      <c r="A1674" s="3928" t="s">
        <v>2258</v>
      </c>
      <c r="B1674" s="3928" t="s">
        <v>14</v>
      </c>
      <c r="C1674" s="3928" t="s">
        <v>5633</v>
      </c>
      <c r="D1674" s="3928" t="s">
        <v>5634</v>
      </c>
      <c r="E1674" s="3928" t="s">
        <v>5635</v>
      </c>
      <c r="F1674" s="3928" t="s">
        <v>2349</v>
      </c>
      <c r="G1674" s="3928" t="s">
        <v>5636</v>
      </c>
      <c r="H1674" s="3928" t="s">
        <v>24</v>
      </c>
      <c r="I1674" s="3928" t="s">
        <v>898</v>
      </c>
    </row>
    <row r="1675" spans="1:9" ht="11.25" customHeight="1">
      <c r="A1675" s="3928" t="s">
        <v>2258</v>
      </c>
      <c r="B1675" s="3928" t="s">
        <v>14</v>
      </c>
      <c r="C1675" s="3928" t="s">
        <v>6450</v>
      </c>
      <c r="D1675" s="3928" t="s">
        <v>6451</v>
      </c>
      <c r="E1675" s="3928" t="s">
        <v>6452</v>
      </c>
      <c r="F1675" s="3928" t="s">
        <v>2304</v>
      </c>
      <c r="G1675" s="3928" t="s">
        <v>24</v>
      </c>
      <c r="H1675" s="3928" t="s">
        <v>2263</v>
      </c>
      <c r="I1675" s="3928" t="s">
        <v>898</v>
      </c>
    </row>
    <row r="1676" spans="1:9" ht="11.25" customHeight="1">
      <c r="A1676" s="3928" t="s">
        <v>2258</v>
      </c>
      <c r="B1676" s="3928" t="s">
        <v>14</v>
      </c>
      <c r="C1676" s="3928" t="s">
        <v>5637</v>
      </c>
      <c r="D1676" s="3928" t="s">
        <v>5638</v>
      </c>
      <c r="E1676" s="3928" t="s">
        <v>5639</v>
      </c>
      <c r="F1676" s="3928" t="s">
        <v>2638</v>
      </c>
      <c r="G1676" s="3928" t="s">
        <v>24</v>
      </c>
      <c r="H1676" s="3928" t="s">
        <v>2263</v>
      </c>
      <c r="I1676" s="3928" t="s">
        <v>898</v>
      </c>
    </row>
    <row r="1677" spans="1:9" ht="11.25" customHeight="1">
      <c r="A1677" s="3928" t="s">
        <v>2258</v>
      </c>
      <c r="B1677" s="3928" t="s">
        <v>14</v>
      </c>
      <c r="C1677" s="3928" t="s">
        <v>5640</v>
      </c>
      <c r="D1677" s="3928" t="s">
        <v>5641</v>
      </c>
      <c r="E1677" s="3928" t="s">
        <v>5642</v>
      </c>
      <c r="F1677" s="3928" t="s">
        <v>2304</v>
      </c>
      <c r="G1677" s="3928" t="s">
        <v>5643</v>
      </c>
      <c r="H1677" s="3928" t="s">
        <v>24</v>
      </c>
      <c r="I1677" s="3928" t="s">
        <v>898</v>
      </c>
    </row>
    <row r="1678" spans="1:9" ht="11.25" customHeight="1">
      <c r="A1678" s="3928" t="s">
        <v>2258</v>
      </c>
      <c r="B1678" s="3928" t="s">
        <v>14</v>
      </c>
      <c r="C1678" s="3928" t="s">
        <v>5644</v>
      </c>
      <c r="D1678" s="3928" t="s">
        <v>5645</v>
      </c>
      <c r="E1678" s="3928" t="s">
        <v>5646</v>
      </c>
      <c r="F1678" s="3928" t="s">
        <v>2486</v>
      </c>
      <c r="G1678" s="3928" t="s">
        <v>24</v>
      </c>
      <c r="H1678" s="3928" t="s">
        <v>24</v>
      </c>
      <c r="I1678" s="3928" t="s">
        <v>898</v>
      </c>
    </row>
    <row r="1679" spans="1:9" ht="11.25" customHeight="1">
      <c r="A1679" s="3928" t="s">
        <v>2258</v>
      </c>
      <c r="B1679" s="3928" t="s">
        <v>14</v>
      </c>
      <c r="C1679" s="3928" t="s">
        <v>5647</v>
      </c>
      <c r="D1679" s="3928" t="s">
        <v>5648</v>
      </c>
      <c r="E1679" s="3928" t="s">
        <v>5649</v>
      </c>
      <c r="F1679" s="3928" t="s">
        <v>2451</v>
      </c>
      <c r="G1679" s="3928" t="s">
        <v>4043</v>
      </c>
      <c r="H1679" s="3928" t="s">
        <v>24</v>
      </c>
      <c r="I1679" s="3928" t="s">
        <v>898</v>
      </c>
    </row>
    <row r="1680" spans="1:9" ht="11.25" customHeight="1">
      <c r="A1680" s="3928" t="s">
        <v>2258</v>
      </c>
      <c r="B1680" s="3928" t="s">
        <v>14</v>
      </c>
      <c r="C1680" s="3928" t="s">
        <v>5654</v>
      </c>
      <c r="D1680" s="3928" t="s">
        <v>5655</v>
      </c>
      <c r="E1680" s="3928" t="s">
        <v>5656</v>
      </c>
      <c r="F1680" s="3928" t="s">
        <v>5657</v>
      </c>
      <c r="G1680" s="3928" t="s">
        <v>5658</v>
      </c>
      <c r="H1680" s="3928" t="s">
        <v>24</v>
      </c>
      <c r="I1680" s="3928" t="s">
        <v>898</v>
      </c>
    </row>
    <row r="1681" spans="1:9" ht="11.25" customHeight="1">
      <c r="A1681" s="3928" t="s">
        <v>2258</v>
      </c>
      <c r="B1681" s="3928" t="s">
        <v>14</v>
      </c>
      <c r="C1681" s="3928" t="s">
        <v>5659</v>
      </c>
      <c r="D1681" s="3928" t="s">
        <v>5660</v>
      </c>
      <c r="E1681" s="3928" t="s">
        <v>5661</v>
      </c>
      <c r="F1681" s="3928" t="s">
        <v>2289</v>
      </c>
      <c r="G1681" s="3928" t="s">
        <v>24</v>
      </c>
      <c r="H1681" s="3928" t="s">
        <v>24</v>
      </c>
      <c r="I1681" s="3928" t="s">
        <v>898</v>
      </c>
    </row>
    <row r="1682" spans="1:9" ht="11.25" customHeight="1">
      <c r="A1682" s="3928" t="s">
        <v>2258</v>
      </c>
      <c r="B1682" s="3928" t="s">
        <v>14</v>
      </c>
      <c r="C1682" s="3928" t="s">
        <v>5669</v>
      </c>
      <c r="D1682" s="3928" t="s">
        <v>5670</v>
      </c>
      <c r="E1682" s="3928" t="s">
        <v>5671</v>
      </c>
      <c r="F1682" s="3928" t="s">
        <v>2294</v>
      </c>
      <c r="G1682" s="3928" t="s">
        <v>24</v>
      </c>
      <c r="H1682" s="3928" t="s">
        <v>24</v>
      </c>
      <c r="I1682" s="3928" t="s">
        <v>898</v>
      </c>
    </row>
    <row r="1683" spans="1:9" ht="11.25" customHeight="1">
      <c r="A1683" s="3928" t="s">
        <v>2258</v>
      </c>
      <c r="B1683" s="3928" t="s">
        <v>14</v>
      </c>
      <c r="C1683" s="3928" t="s">
        <v>5679</v>
      </c>
      <c r="D1683" s="3928" t="s">
        <v>5680</v>
      </c>
      <c r="E1683" s="3928" t="s">
        <v>5681</v>
      </c>
      <c r="F1683" s="3928" t="s">
        <v>5310</v>
      </c>
      <c r="G1683" s="3928" t="s">
        <v>24</v>
      </c>
      <c r="H1683" s="3928" t="s">
        <v>24</v>
      </c>
      <c r="I1683" s="3928" t="s">
        <v>898</v>
      </c>
    </row>
    <row r="1684" spans="1:9" ht="11.25" customHeight="1">
      <c r="A1684" s="3928" t="s">
        <v>2258</v>
      </c>
      <c r="B1684" s="3928" t="s">
        <v>14</v>
      </c>
      <c r="C1684" s="3928" t="s">
        <v>5686</v>
      </c>
      <c r="D1684" s="3928" t="s">
        <v>5687</v>
      </c>
      <c r="E1684" s="3928" t="s">
        <v>5688</v>
      </c>
      <c r="F1684" s="3928" t="s">
        <v>2409</v>
      </c>
      <c r="G1684" s="3928" t="s">
        <v>5689</v>
      </c>
      <c r="H1684" s="3928" t="s">
        <v>24</v>
      </c>
      <c r="I1684" s="3928" t="s">
        <v>898</v>
      </c>
    </row>
    <row r="1685" spans="1:9" ht="11.25" customHeight="1">
      <c r="A1685" s="3928" t="s">
        <v>2258</v>
      </c>
      <c r="B1685" s="3928" t="s">
        <v>14</v>
      </c>
      <c r="C1685" s="3928" t="s">
        <v>5693</v>
      </c>
      <c r="D1685" s="3928" t="s">
        <v>5694</v>
      </c>
      <c r="E1685" s="3928" t="s">
        <v>5695</v>
      </c>
      <c r="F1685" s="3928" t="s">
        <v>5696</v>
      </c>
      <c r="G1685" s="3928" t="s">
        <v>24</v>
      </c>
      <c r="H1685" s="3928" t="s">
        <v>2263</v>
      </c>
      <c r="I1685" s="3928" t="s">
        <v>898</v>
      </c>
    </row>
    <row r="1686" spans="1:9" ht="11.25" customHeight="1">
      <c r="A1686" s="3928" t="s">
        <v>2258</v>
      </c>
      <c r="B1686" s="3928" t="s">
        <v>14</v>
      </c>
      <c r="C1686" s="3928" t="s">
        <v>5697</v>
      </c>
      <c r="D1686" s="3928" t="s">
        <v>5698</v>
      </c>
      <c r="E1686" s="3928" t="s">
        <v>5699</v>
      </c>
      <c r="F1686" s="3928" t="s">
        <v>2473</v>
      </c>
      <c r="G1686" s="3928" t="s">
        <v>24</v>
      </c>
      <c r="H1686" s="3928" t="s">
        <v>3068</v>
      </c>
      <c r="I1686" s="3928" t="s">
        <v>898</v>
      </c>
    </row>
    <row r="1687" spans="1:9" ht="11.25" customHeight="1">
      <c r="A1687" s="3928" t="s">
        <v>2258</v>
      </c>
      <c r="B1687" s="3928" t="s">
        <v>14</v>
      </c>
      <c r="C1687" s="3928" t="s">
        <v>6453</v>
      </c>
      <c r="D1687" s="3928" t="s">
        <v>6454</v>
      </c>
      <c r="E1687" s="3928" t="s">
        <v>6455</v>
      </c>
      <c r="F1687" s="3928" t="s">
        <v>2304</v>
      </c>
      <c r="G1687" s="3928" t="s">
        <v>24</v>
      </c>
      <c r="H1687" s="3928" t="s">
        <v>6456</v>
      </c>
      <c r="I1687" s="3928" t="s">
        <v>898</v>
      </c>
    </row>
    <row r="1688" spans="1:9" ht="11.25" customHeight="1">
      <c r="A1688" s="3928" t="s">
        <v>2258</v>
      </c>
      <c r="B1688" s="3928" t="s">
        <v>14</v>
      </c>
      <c r="C1688" s="3928" t="s">
        <v>6457</v>
      </c>
      <c r="D1688" s="3928" t="s">
        <v>6458</v>
      </c>
      <c r="E1688" s="3928" t="s">
        <v>6459</v>
      </c>
      <c r="F1688" s="3928" t="s">
        <v>2304</v>
      </c>
      <c r="G1688" s="3928" t="s">
        <v>24</v>
      </c>
      <c r="H1688" s="3928" t="s">
        <v>2263</v>
      </c>
      <c r="I1688" s="3928" t="s">
        <v>898</v>
      </c>
    </row>
    <row r="1689" spans="1:9" ht="11.25" customHeight="1">
      <c r="A1689" s="3928" t="s">
        <v>2258</v>
      </c>
      <c r="B1689" s="3928" t="s">
        <v>14</v>
      </c>
      <c r="C1689" s="3928" t="s">
        <v>5704</v>
      </c>
      <c r="D1689" s="3928" t="s">
        <v>5705</v>
      </c>
      <c r="E1689" s="3928" t="s">
        <v>5706</v>
      </c>
      <c r="F1689" s="3928" t="s">
        <v>2473</v>
      </c>
      <c r="G1689" s="3928" t="s">
        <v>24</v>
      </c>
      <c r="H1689" s="3928" t="s">
        <v>24</v>
      </c>
      <c r="I1689" s="3928" t="s">
        <v>898</v>
      </c>
    </row>
    <row r="1690" spans="1:9" ht="11.25" customHeight="1">
      <c r="A1690" s="3928" t="s">
        <v>2258</v>
      </c>
      <c r="B1690" s="3928" t="s">
        <v>14</v>
      </c>
      <c r="C1690" s="3928" t="s">
        <v>5707</v>
      </c>
      <c r="D1690" s="3928" t="s">
        <v>5708</v>
      </c>
      <c r="E1690" s="3928" t="s">
        <v>5709</v>
      </c>
      <c r="F1690" s="3928" t="s">
        <v>2349</v>
      </c>
      <c r="G1690" s="3928" t="s">
        <v>24</v>
      </c>
      <c r="H1690" s="3928" t="s">
        <v>24</v>
      </c>
      <c r="I1690" s="3928" t="s">
        <v>898</v>
      </c>
    </row>
    <row r="1691" spans="1:9" ht="11.25" customHeight="1">
      <c r="A1691" s="3928" t="s">
        <v>2258</v>
      </c>
      <c r="B1691" s="3928" t="s">
        <v>14</v>
      </c>
      <c r="C1691" s="3928" t="s">
        <v>5710</v>
      </c>
      <c r="D1691" s="3928" t="s">
        <v>5711</v>
      </c>
      <c r="E1691" s="3928" t="s">
        <v>5712</v>
      </c>
      <c r="F1691" s="3928" t="s">
        <v>2289</v>
      </c>
      <c r="G1691" s="3928" t="s">
        <v>24</v>
      </c>
      <c r="H1691" s="3928" t="s">
        <v>2263</v>
      </c>
      <c r="I1691" s="3928" t="s">
        <v>898</v>
      </c>
    </row>
    <row r="1692" spans="1:9" ht="11.25" customHeight="1">
      <c r="A1692" s="3928" t="s">
        <v>2258</v>
      </c>
      <c r="B1692" s="3928" t="s">
        <v>14</v>
      </c>
      <c r="C1692" s="3928" t="s">
        <v>5717</v>
      </c>
      <c r="D1692" s="3928" t="s">
        <v>5718</v>
      </c>
      <c r="E1692" s="3928" t="s">
        <v>5719</v>
      </c>
      <c r="F1692" s="3928" t="s">
        <v>2289</v>
      </c>
      <c r="G1692" s="3928" t="s">
        <v>5720</v>
      </c>
      <c r="H1692" s="3928" t="s">
        <v>24</v>
      </c>
      <c r="I1692" s="3928" t="s">
        <v>898</v>
      </c>
    </row>
    <row r="1693" spans="1:9" ht="11.25" customHeight="1">
      <c r="A1693" s="3928" t="s">
        <v>2258</v>
      </c>
      <c r="B1693" s="3928" t="s">
        <v>14</v>
      </c>
      <c r="C1693" s="3928" t="s">
        <v>5724</v>
      </c>
      <c r="D1693" s="3928" t="s">
        <v>5725</v>
      </c>
      <c r="E1693" s="3928" t="s">
        <v>5726</v>
      </c>
      <c r="F1693" s="3928" t="s">
        <v>2473</v>
      </c>
      <c r="G1693" s="3928" t="s">
        <v>5727</v>
      </c>
      <c r="H1693" s="3928" t="s">
        <v>24</v>
      </c>
      <c r="I1693" s="3928" t="s">
        <v>898</v>
      </c>
    </row>
    <row r="1694" spans="1:9" ht="11.25" customHeight="1">
      <c r="A1694" s="3928" t="s">
        <v>2258</v>
      </c>
      <c r="B1694" s="3928" t="s">
        <v>14</v>
      </c>
      <c r="C1694" s="3928" t="s">
        <v>6460</v>
      </c>
      <c r="D1694" s="3928" t="s">
        <v>6461</v>
      </c>
      <c r="E1694" s="3928" t="s">
        <v>6462</v>
      </c>
      <c r="F1694" s="3928" t="s">
        <v>2535</v>
      </c>
      <c r="G1694" s="3928" t="s">
        <v>24</v>
      </c>
      <c r="H1694" s="3928" t="s">
        <v>6463</v>
      </c>
      <c r="I1694" s="3928" t="s">
        <v>898</v>
      </c>
    </row>
    <row r="1695" spans="1:9" ht="11.25" customHeight="1">
      <c r="A1695" s="3928" t="s">
        <v>2258</v>
      </c>
      <c r="B1695" s="3928" t="s">
        <v>14</v>
      </c>
      <c r="C1695" s="3928" t="s">
        <v>5731</v>
      </c>
      <c r="D1695" s="3928" t="s">
        <v>5732</v>
      </c>
      <c r="E1695" s="3928" t="s">
        <v>5733</v>
      </c>
      <c r="F1695" s="3928" t="s">
        <v>3051</v>
      </c>
      <c r="G1695" s="3928" t="s">
        <v>5734</v>
      </c>
      <c r="H1695" s="3928" t="s">
        <v>24</v>
      </c>
      <c r="I1695" s="3928" t="s">
        <v>898</v>
      </c>
    </row>
    <row r="1696" spans="1:9" ht="11.25" customHeight="1">
      <c r="A1696" s="3928" t="s">
        <v>2258</v>
      </c>
      <c r="B1696" s="3928" t="s">
        <v>14</v>
      </c>
      <c r="C1696" s="3928" t="s">
        <v>5739</v>
      </c>
      <c r="D1696" s="3928" t="s">
        <v>5740</v>
      </c>
      <c r="E1696" s="3928" t="s">
        <v>5741</v>
      </c>
      <c r="F1696" s="3928" t="s">
        <v>2397</v>
      </c>
      <c r="G1696" s="3928" t="s">
        <v>5742</v>
      </c>
      <c r="H1696" s="3928" t="s">
        <v>24</v>
      </c>
      <c r="I1696" s="3928" t="s">
        <v>898</v>
      </c>
    </row>
    <row r="1697" spans="1:9" ht="11.25" customHeight="1">
      <c r="A1697" s="3928" t="s">
        <v>2258</v>
      </c>
      <c r="B1697" s="3928" t="s">
        <v>14</v>
      </c>
      <c r="C1697" s="3928" t="s">
        <v>5743</v>
      </c>
      <c r="D1697" s="3928" t="s">
        <v>5744</v>
      </c>
      <c r="E1697" s="3928" t="s">
        <v>5745</v>
      </c>
      <c r="F1697" s="3928" t="s">
        <v>2414</v>
      </c>
      <c r="G1697" s="3928" t="s">
        <v>24</v>
      </c>
      <c r="H1697" s="3928" t="s">
        <v>24</v>
      </c>
      <c r="I1697" s="3928" t="s">
        <v>898</v>
      </c>
    </row>
    <row r="1698" spans="1:9" ht="11.25" customHeight="1">
      <c r="A1698" s="3928" t="s">
        <v>2258</v>
      </c>
      <c r="B1698" s="3928" t="s">
        <v>14</v>
      </c>
      <c r="C1698" s="3928" t="s">
        <v>5746</v>
      </c>
      <c r="D1698" s="3928" t="s">
        <v>5747</v>
      </c>
      <c r="E1698" s="3928" t="s">
        <v>5748</v>
      </c>
      <c r="F1698" s="3928" t="s">
        <v>2701</v>
      </c>
      <c r="G1698" s="3928" t="s">
        <v>3735</v>
      </c>
      <c r="H1698" s="3928" t="s">
        <v>2263</v>
      </c>
      <c r="I1698" s="3928" t="s">
        <v>898</v>
      </c>
    </row>
    <row r="1699" spans="1:9" ht="11.25" customHeight="1">
      <c r="A1699" s="3928" t="s">
        <v>2258</v>
      </c>
      <c r="B1699" s="3928" t="s">
        <v>14</v>
      </c>
      <c r="C1699" s="3928" t="s">
        <v>5753</v>
      </c>
      <c r="D1699" s="3928" t="s">
        <v>5754</v>
      </c>
      <c r="E1699" s="3928" t="s">
        <v>5755</v>
      </c>
      <c r="F1699" s="3928" t="s">
        <v>2267</v>
      </c>
      <c r="G1699" s="3928" t="s">
        <v>24</v>
      </c>
      <c r="H1699" s="3928" t="s">
        <v>2263</v>
      </c>
      <c r="I1699" s="3928" t="s">
        <v>898</v>
      </c>
    </row>
    <row r="1700" spans="1:9" ht="11.25" customHeight="1">
      <c r="A1700" s="3928" t="s">
        <v>2258</v>
      </c>
      <c r="B1700" s="3928" t="s">
        <v>14</v>
      </c>
      <c r="C1700" s="3928" t="s">
        <v>5756</v>
      </c>
      <c r="D1700" s="3928" t="s">
        <v>5757</v>
      </c>
      <c r="E1700" s="3928" t="s">
        <v>5758</v>
      </c>
      <c r="F1700" s="3928" t="s">
        <v>2419</v>
      </c>
      <c r="G1700" s="3928" t="s">
        <v>24</v>
      </c>
      <c r="H1700" s="3928" t="s">
        <v>24</v>
      </c>
      <c r="I1700" s="3928" t="s">
        <v>898</v>
      </c>
    </row>
    <row r="1701" spans="1:9" ht="11.25" customHeight="1">
      <c r="A1701" s="3928" t="s">
        <v>2258</v>
      </c>
      <c r="B1701" s="3928" t="s">
        <v>14</v>
      </c>
      <c r="C1701" s="3928" t="s">
        <v>5763</v>
      </c>
      <c r="D1701" s="3928" t="s">
        <v>5764</v>
      </c>
      <c r="E1701" s="3928" t="s">
        <v>5765</v>
      </c>
      <c r="F1701" s="3928" t="s">
        <v>2419</v>
      </c>
      <c r="G1701" s="3928" t="s">
        <v>5766</v>
      </c>
      <c r="H1701" s="3928" t="s">
        <v>24</v>
      </c>
      <c r="I1701" s="3928" t="s">
        <v>898</v>
      </c>
    </row>
    <row r="1702" spans="1:9" ht="11.25" customHeight="1">
      <c r="A1702" s="3928" t="s">
        <v>2258</v>
      </c>
      <c r="B1702" s="3928" t="s">
        <v>14</v>
      </c>
      <c r="C1702" s="3928" t="s">
        <v>5769</v>
      </c>
      <c r="D1702" s="3928" t="s">
        <v>5770</v>
      </c>
      <c r="E1702" s="3928" t="s">
        <v>5771</v>
      </c>
      <c r="F1702" s="3928" t="s">
        <v>5772</v>
      </c>
      <c r="G1702" s="3928" t="s">
        <v>5773</v>
      </c>
      <c r="H1702" s="3928" t="s">
        <v>24</v>
      </c>
      <c r="I1702" s="3928" t="s">
        <v>898</v>
      </c>
    </row>
    <row r="1703" spans="1:9" ht="11.25" customHeight="1">
      <c r="A1703" s="3928" t="s">
        <v>2258</v>
      </c>
      <c r="B1703" s="3928" t="s">
        <v>14</v>
      </c>
      <c r="C1703" s="3928" t="s">
        <v>5778</v>
      </c>
      <c r="D1703" s="3928" t="s">
        <v>5779</v>
      </c>
      <c r="E1703" s="3928" t="s">
        <v>5776</v>
      </c>
      <c r="F1703" s="3928" t="s">
        <v>5780</v>
      </c>
      <c r="G1703" s="3928" t="s">
        <v>24</v>
      </c>
      <c r="H1703" s="3928" t="s">
        <v>24</v>
      </c>
      <c r="I1703" s="3928" t="s">
        <v>898</v>
      </c>
    </row>
    <row r="1704" spans="1:9" ht="11.25" customHeight="1">
      <c r="A1704" s="3928" t="s">
        <v>2258</v>
      </c>
      <c r="B1704" s="3928" t="s">
        <v>14</v>
      </c>
      <c r="C1704" s="3928" t="s">
        <v>5797</v>
      </c>
      <c r="D1704" s="3928" t="s">
        <v>5798</v>
      </c>
      <c r="E1704" s="3928" t="s">
        <v>5799</v>
      </c>
      <c r="F1704" s="3928" t="s">
        <v>2473</v>
      </c>
      <c r="G1704" s="3928" t="s">
        <v>5800</v>
      </c>
      <c r="H1704" s="3928" t="s">
        <v>24</v>
      </c>
      <c r="I1704" s="3928" t="s">
        <v>898</v>
      </c>
    </row>
    <row r="1705" spans="1:9" ht="11.25" customHeight="1">
      <c r="A1705" s="3928" t="s">
        <v>2258</v>
      </c>
      <c r="B1705" s="3928" t="s">
        <v>14</v>
      </c>
      <c r="C1705" s="3928" t="s">
        <v>5805</v>
      </c>
      <c r="D1705" s="3928" t="s">
        <v>5806</v>
      </c>
      <c r="E1705" s="3928" t="s">
        <v>2809</v>
      </c>
      <c r="F1705" s="3928" t="s">
        <v>5796</v>
      </c>
      <c r="G1705" s="3928" t="s">
        <v>24</v>
      </c>
      <c r="H1705" s="3928" t="s">
        <v>24</v>
      </c>
      <c r="I1705" s="3928" t="s">
        <v>898</v>
      </c>
    </row>
    <row r="1706" spans="1:9" ht="11.25" customHeight="1">
      <c r="A1706" s="3928" t="s">
        <v>2258</v>
      </c>
      <c r="B1706" s="3928" t="s">
        <v>14</v>
      </c>
      <c r="C1706" s="3928" t="s">
        <v>5807</v>
      </c>
      <c r="D1706" s="3928" t="s">
        <v>5808</v>
      </c>
      <c r="E1706" s="3928" t="s">
        <v>5809</v>
      </c>
      <c r="F1706" s="3928" t="s">
        <v>2304</v>
      </c>
      <c r="G1706" s="3928" t="s">
        <v>5810</v>
      </c>
      <c r="H1706" s="3928" t="s">
        <v>24</v>
      </c>
      <c r="I1706" s="3928" t="s">
        <v>898</v>
      </c>
    </row>
    <row r="1707" spans="1:9" ht="11.25" customHeight="1">
      <c r="A1707" s="3928" t="s">
        <v>2258</v>
      </c>
      <c r="B1707" s="3928" t="s">
        <v>14</v>
      </c>
      <c r="C1707" s="3928" t="s">
        <v>5811</v>
      </c>
      <c r="D1707" s="3928" t="s">
        <v>5812</v>
      </c>
      <c r="E1707" s="3928" t="s">
        <v>5813</v>
      </c>
      <c r="F1707" s="3928" t="s">
        <v>5814</v>
      </c>
      <c r="G1707" s="3928" t="s">
        <v>5815</v>
      </c>
      <c r="H1707" s="3928" t="s">
        <v>24</v>
      </c>
      <c r="I1707" s="3928" t="s">
        <v>898</v>
      </c>
    </row>
    <row r="1708" spans="1:9" ht="11.25" customHeight="1">
      <c r="A1708" s="3928" t="s">
        <v>2258</v>
      </c>
      <c r="B1708" s="3928" t="s">
        <v>14</v>
      </c>
      <c r="C1708" s="3928" t="s">
        <v>5816</v>
      </c>
      <c r="D1708" s="3928" t="s">
        <v>5817</v>
      </c>
      <c r="E1708" s="3928" t="s">
        <v>5818</v>
      </c>
      <c r="F1708" s="3928" t="s">
        <v>5819</v>
      </c>
      <c r="G1708" s="3928" t="s">
        <v>5820</v>
      </c>
      <c r="H1708" s="3928" t="s">
        <v>24</v>
      </c>
      <c r="I1708" s="3928" t="s">
        <v>898</v>
      </c>
    </row>
    <row r="1709" spans="1:9" ht="11.25" customHeight="1">
      <c r="A1709" s="3928" t="s">
        <v>2258</v>
      </c>
      <c r="B1709" s="3928" t="s">
        <v>14</v>
      </c>
      <c r="C1709" s="3928" t="s">
        <v>5821</v>
      </c>
      <c r="D1709" s="3928" t="s">
        <v>5822</v>
      </c>
      <c r="E1709" s="3928" t="s">
        <v>5823</v>
      </c>
      <c r="F1709" s="3928" t="s">
        <v>2349</v>
      </c>
      <c r="G1709" s="3928" t="s">
        <v>5824</v>
      </c>
      <c r="H1709" s="3928" t="s">
        <v>24</v>
      </c>
      <c r="I1709" s="3928" t="s">
        <v>898</v>
      </c>
    </row>
    <row r="1710" spans="1:9" ht="11.25" customHeight="1">
      <c r="A1710" s="3928" t="s">
        <v>2258</v>
      </c>
      <c r="B1710" s="3928" t="s">
        <v>14</v>
      </c>
      <c r="C1710" s="3928" t="s">
        <v>5834</v>
      </c>
      <c r="D1710" s="3928" t="s">
        <v>5835</v>
      </c>
      <c r="E1710" s="3928" t="s">
        <v>4020</v>
      </c>
      <c r="F1710" s="3928" t="s">
        <v>2513</v>
      </c>
      <c r="G1710" s="3928" t="s">
        <v>24</v>
      </c>
      <c r="H1710" s="3928" t="s">
        <v>24</v>
      </c>
      <c r="I1710" s="3928" t="s">
        <v>898</v>
      </c>
    </row>
    <row r="1711" spans="1:9" ht="11.25" customHeight="1">
      <c r="A1711" s="3928" t="s">
        <v>2258</v>
      </c>
      <c r="B1711" s="3928" t="s">
        <v>14</v>
      </c>
      <c r="C1711" s="3928" t="s">
        <v>5849</v>
      </c>
      <c r="D1711" s="3928" t="s">
        <v>5850</v>
      </c>
      <c r="E1711" s="3928" t="s">
        <v>5851</v>
      </c>
      <c r="F1711" s="3928" t="s">
        <v>2486</v>
      </c>
      <c r="G1711" s="3928" t="s">
        <v>5852</v>
      </c>
      <c r="H1711" s="3928" t="s">
        <v>24</v>
      </c>
      <c r="I1711" s="3928" t="s">
        <v>898</v>
      </c>
    </row>
    <row r="1712" spans="1:9" ht="11.25" customHeight="1">
      <c r="A1712" s="3928" t="s">
        <v>2258</v>
      </c>
      <c r="B1712" s="3928" t="s">
        <v>14</v>
      </c>
      <c r="C1712" s="3928" t="s">
        <v>5857</v>
      </c>
      <c r="D1712" s="3928" t="s">
        <v>5858</v>
      </c>
      <c r="E1712" s="3928" t="s">
        <v>3114</v>
      </c>
      <c r="F1712" s="3928" t="s">
        <v>5859</v>
      </c>
      <c r="G1712" s="3928" t="s">
        <v>24</v>
      </c>
      <c r="H1712" s="3928" t="s">
        <v>24</v>
      </c>
      <c r="I1712" s="3928" t="s">
        <v>898</v>
      </c>
    </row>
    <row r="1713" spans="1:9" ht="11.25" customHeight="1">
      <c r="A1713" s="3928" t="s">
        <v>2258</v>
      </c>
      <c r="B1713" s="3928" t="s">
        <v>14</v>
      </c>
      <c r="C1713" s="3928" t="s">
        <v>5860</v>
      </c>
      <c r="D1713" s="3928" t="s">
        <v>5861</v>
      </c>
      <c r="E1713" s="3928" t="s">
        <v>5862</v>
      </c>
      <c r="F1713" s="3928" t="s">
        <v>4792</v>
      </c>
      <c r="G1713" s="3928" t="s">
        <v>5863</v>
      </c>
      <c r="H1713" s="3928" t="s">
        <v>24</v>
      </c>
      <c r="I1713" s="3928" t="s">
        <v>898</v>
      </c>
    </row>
    <row r="1714" spans="1:9" ht="11.25" customHeight="1">
      <c r="A1714" s="3928" t="s">
        <v>2258</v>
      </c>
      <c r="B1714" s="3928" t="s">
        <v>14</v>
      </c>
      <c r="C1714" s="3928" t="s">
        <v>5868</v>
      </c>
      <c r="D1714" s="3928" t="s">
        <v>5869</v>
      </c>
      <c r="E1714" s="3928" t="s">
        <v>5870</v>
      </c>
      <c r="F1714" s="3928" t="s">
        <v>2262</v>
      </c>
      <c r="G1714" s="3928" t="s">
        <v>24</v>
      </c>
      <c r="H1714" s="3928" t="s">
        <v>5871</v>
      </c>
      <c r="I1714" s="3928" t="s">
        <v>898</v>
      </c>
    </row>
    <row r="1715" spans="1:9" ht="11.25" customHeight="1">
      <c r="A1715" s="3928" t="s">
        <v>2258</v>
      </c>
      <c r="B1715" s="3928" t="s">
        <v>14</v>
      </c>
      <c r="C1715" s="3928" t="s">
        <v>5885</v>
      </c>
      <c r="D1715" s="3928" t="s">
        <v>5886</v>
      </c>
      <c r="E1715" s="3928" t="s">
        <v>5887</v>
      </c>
      <c r="F1715" s="3928" t="s">
        <v>5310</v>
      </c>
      <c r="G1715" s="3928" t="s">
        <v>5888</v>
      </c>
      <c r="H1715" s="3928" t="s">
        <v>24</v>
      </c>
      <c r="I1715" s="3928" t="s">
        <v>898</v>
      </c>
    </row>
    <row r="1716" spans="1:9" ht="11.25" customHeight="1">
      <c r="A1716" s="3928" t="s">
        <v>2258</v>
      </c>
      <c r="B1716" s="3928" t="s">
        <v>14</v>
      </c>
      <c r="C1716" s="3928" t="s">
        <v>5896</v>
      </c>
      <c r="D1716" s="3928" t="s">
        <v>5897</v>
      </c>
      <c r="E1716" s="3928" t="s">
        <v>5891</v>
      </c>
      <c r="F1716" s="3928" t="s">
        <v>2267</v>
      </c>
      <c r="G1716" s="3928" t="s">
        <v>24</v>
      </c>
      <c r="H1716" s="3928" t="s">
        <v>2263</v>
      </c>
      <c r="I1716" s="3928" t="s">
        <v>898</v>
      </c>
    </row>
    <row r="1717" spans="1:9" ht="11.25" customHeight="1">
      <c r="A1717" s="3928" t="s">
        <v>2258</v>
      </c>
      <c r="B1717" s="3928" t="s">
        <v>14</v>
      </c>
      <c r="C1717" s="3928" t="s">
        <v>5911</v>
      </c>
      <c r="D1717" s="3928" t="s">
        <v>5912</v>
      </c>
      <c r="E1717" s="3928" t="s">
        <v>5913</v>
      </c>
      <c r="F1717" s="3928" t="s">
        <v>2675</v>
      </c>
      <c r="G1717" s="3928" t="s">
        <v>24</v>
      </c>
      <c r="H1717" s="3928" t="s">
        <v>24</v>
      </c>
      <c r="I1717" s="3928" t="s">
        <v>898</v>
      </c>
    </row>
    <row r="1718" spans="1:9" ht="11.25" customHeight="1">
      <c r="A1718" s="3928" t="s">
        <v>2258</v>
      </c>
      <c r="B1718" s="3928" t="s">
        <v>14</v>
      </c>
      <c r="C1718" s="3928" t="s">
        <v>5923</v>
      </c>
      <c r="D1718" s="3928" t="s">
        <v>5924</v>
      </c>
      <c r="E1718" s="3928" t="s">
        <v>5925</v>
      </c>
      <c r="F1718" s="3928" t="s">
        <v>2796</v>
      </c>
      <c r="G1718" s="3928" t="s">
        <v>24</v>
      </c>
      <c r="H1718" s="3928" t="s">
        <v>5926</v>
      </c>
      <c r="I1718" s="3928" t="s">
        <v>898</v>
      </c>
    </row>
    <row r="1719" spans="1:9" ht="11.25" customHeight="1">
      <c r="A1719" s="3928" t="s">
        <v>2258</v>
      </c>
      <c r="B1719" s="3928" t="s">
        <v>14</v>
      </c>
      <c r="C1719" s="3928" t="s">
        <v>6464</v>
      </c>
      <c r="D1719" s="3928" t="s">
        <v>6465</v>
      </c>
      <c r="E1719" s="3928" t="s">
        <v>6466</v>
      </c>
      <c r="F1719" s="3928" t="s">
        <v>2304</v>
      </c>
      <c r="G1719" s="3928" t="s">
        <v>24</v>
      </c>
      <c r="H1719" s="3928" t="s">
        <v>2263</v>
      </c>
      <c r="I1719" s="3928" t="s">
        <v>898</v>
      </c>
    </row>
    <row r="1720" spans="1:9" ht="11.25" customHeight="1">
      <c r="A1720" s="3928" t="s">
        <v>2258</v>
      </c>
      <c r="B1720" s="3928" t="s">
        <v>14</v>
      </c>
      <c r="C1720" s="3928" t="s">
        <v>5927</v>
      </c>
      <c r="D1720" s="3928" t="s">
        <v>5928</v>
      </c>
      <c r="E1720" s="3928" t="s">
        <v>5929</v>
      </c>
      <c r="F1720" s="3928" t="s">
        <v>5930</v>
      </c>
      <c r="G1720" s="3928" t="s">
        <v>24</v>
      </c>
      <c r="H1720" s="3928" t="s">
        <v>24</v>
      </c>
      <c r="I1720" s="3928" t="s">
        <v>898</v>
      </c>
    </row>
    <row r="1721" spans="1:9" ht="11.25" customHeight="1">
      <c r="A1721" s="3928" t="s">
        <v>2258</v>
      </c>
      <c r="B1721" s="3928" t="s">
        <v>14</v>
      </c>
      <c r="C1721" s="3928" t="s">
        <v>5946</v>
      </c>
      <c r="D1721" s="3928" t="s">
        <v>5947</v>
      </c>
      <c r="E1721" s="3928" t="s">
        <v>5948</v>
      </c>
      <c r="F1721" s="3928" t="s">
        <v>2469</v>
      </c>
      <c r="G1721" s="3928" t="s">
        <v>24</v>
      </c>
      <c r="H1721" s="3928" t="s">
        <v>5949</v>
      </c>
      <c r="I1721" s="3928" t="s">
        <v>898</v>
      </c>
    </row>
    <row r="1722" spans="1:9" ht="11.25" customHeight="1">
      <c r="A1722" s="3928" t="s">
        <v>2258</v>
      </c>
      <c r="B1722" s="3928" t="s">
        <v>14</v>
      </c>
      <c r="C1722" s="3928" t="s">
        <v>5950</v>
      </c>
      <c r="D1722" s="3928" t="s">
        <v>5951</v>
      </c>
      <c r="E1722" s="3928" t="s">
        <v>5952</v>
      </c>
      <c r="F1722" s="3928" t="s">
        <v>2289</v>
      </c>
      <c r="G1722" s="3928" t="s">
        <v>5953</v>
      </c>
      <c r="H1722" s="3928" t="s">
        <v>24</v>
      </c>
      <c r="I1722" s="3928" t="s">
        <v>898</v>
      </c>
    </row>
    <row r="1723" spans="1:9" ht="11.25" customHeight="1">
      <c r="A1723" s="3928" t="s">
        <v>2258</v>
      </c>
      <c r="B1723" s="3928" t="s">
        <v>14</v>
      </c>
      <c r="C1723" s="3928" t="s">
        <v>5954</v>
      </c>
      <c r="D1723" s="3928" t="s">
        <v>5955</v>
      </c>
      <c r="E1723" s="3928" t="s">
        <v>5956</v>
      </c>
      <c r="F1723" s="3928" t="s">
        <v>2344</v>
      </c>
      <c r="G1723" s="3928" t="s">
        <v>24</v>
      </c>
      <c r="H1723" s="3928" t="s">
        <v>5957</v>
      </c>
      <c r="I1723" s="3928" t="s">
        <v>898</v>
      </c>
    </row>
    <row r="1724" spans="1:9" ht="11.25" customHeight="1">
      <c r="A1724" s="3928" t="s">
        <v>2258</v>
      </c>
      <c r="B1724" s="3928" t="s">
        <v>14</v>
      </c>
      <c r="C1724" s="3928" t="s">
        <v>5960</v>
      </c>
      <c r="D1724" s="3928" t="s">
        <v>5959</v>
      </c>
      <c r="E1724" s="3928" t="s">
        <v>5956</v>
      </c>
      <c r="F1724" s="3928" t="s">
        <v>4226</v>
      </c>
      <c r="G1724" s="3928" t="s">
        <v>24</v>
      </c>
      <c r="H1724" s="3928" t="s">
        <v>24</v>
      </c>
      <c r="I1724" s="3928" t="s">
        <v>898</v>
      </c>
    </row>
    <row r="1725" spans="1:9" ht="11.25" customHeight="1">
      <c r="A1725" s="3928" t="s">
        <v>2258</v>
      </c>
      <c r="B1725" s="3928" t="s">
        <v>14</v>
      </c>
      <c r="C1725" s="3928" t="s">
        <v>5961</v>
      </c>
      <c r="D1725" s="3928" t="s">
        <v>5962</v>
      </c>
      <c r="E1725" s="3928" t="s">
        <v>5963</v>
      </c>
      <c r="F1725" s="3928" t="s">
        <v>2397</v>
      </c>
      <c r="G1725" s="3928" t="s">
        <v>24</v>
      </c>
      <c r="H1725" s="3928" t="s">
        <v>24</v>
      </c>
      <c r="I1725" s="3928" t="s">
        <v>898</v>
      </c>
    </row>
    <row r="1726" spans="1:9" ht="11.25" customHeight="1">
      <c r="A1726" s="3928" t="s">
        <v>2258</v>
      </c>
      <c r="B1726" s="3928" t="s">
        <v>14</v>
      </c>
      <c r="C1726" s="3928" t="s">
        <v>5980</v>
      </c>
      <c r="D1726" s="3928" t="s">
        <v>5981</v>
      </c>
      <c r="E1726" s="3928" t="s">
        <v>5982</v>
      </c>
      <c r="F1726" s="3928" t="s">
        <v>2419</v>
      </c>
      <c r="G1726" s="3928" t="s">
        <v>24</v>
      </c>
      <c r="H1726" s="3928" t="s">
        <v>24</v>
      </c>
      <c r="I1726" s="3928" t="s">
        <v>898</v>
      </c>
    </row>
    <row r="1727" spans="1:9" ht="11.25" customHeight="1">
      <c r="A1727" s="3928" t="s">
        <v>2258</v>
      </c>
      <c r="B1727" s="3928" t="s">
        <v>14</v>
      </c>
      <c r="C1727" s="3928" t="s">
        <v>5983</v>
      </c>
      <c r="D1727" s="3928" t="s">
        <v>5984</v>
      </c>
      <c r="E1727" s="3928" t="s">
        <v>5985</v>
      </c>
      <c r="F1727" s="3928" t="s">
        <v>2397</v>
      </c>
      <c r="G1727" s="3928" t="s">
        <v>24</v>
      </c>
      <c r="H1727" s="3928" t="s">
        <v>24</v>
      </c>
      <c r="I1727" s="3928" t="s">
        <v>898</v>
      </c>
    </row>
    <row r="1728" spans="1:9" ht="11.25" customHeight="1">
      <c r="A1728" s="3928" t="s">
        <v>2258</v>
      </c>
      <c r="B1728" s="3928" t="s">
        <v>14</v>
      </c>
      <c r="C1728" s="3928" t="s">
        <v>5986</v>
      </c>
      <c r="D1728" s="3928" t="s">
        <v>5987</v>
      </c>
      <c r="E1728" s="3928" t="s">
        <v>5988</v>
      </c>
      <c r="F1728" s="3928" t="s">
        <v>5989</v>
      </c>
      <c r="G1728" s="3928" t="s">
        <v>24</v>
      </c>
      <c r="H1728" s="3928" t="s">
        <v>24</v>
      </c>
      <c r="I1728" s="3928" t="s">
        <v>898</v>
      </c>
    </row>
    <row r="1729" spans="1:9" ht="11.25" customHeight="1">
      <c r="A1729" s="3928" t="s">
        <v>2258</v>
      </c>
      <c r="B1729" s="3928" t="s">
        <v>14</v>
      </c>
      <c r="C1729" s="3928" t="s">
        <v>5990</v>
      </c>
      <c r="D1729" s="3928" t="s">
        <v>5987</v>
      </c>
      <c r="E1729" s="3928" t="s">
        <v>5988</v>
      </c>
      <c r="F1729" s="3928" t="s">
        <v>2389</v>
      </c>
      <c r="G1729" s="3928" t="s">
        <v>24</v>
      </c>
      <c r="H1729" s="3928" t="s">
        <v>24</v>
      </c>
      <c r="I1729" s="3928" t="s">
        <v>898</v>
      </c>
    </row>
    <row r="1730" spans="1:9" ht="11.25" customHeight="1">
      <c r="A1730" s="3928" t="s">
        <v>2258</v>
      </c>
      <c r="B1730" s="3928" t="s">
        <v>14</v>
      </c>
      <c r="C1730" s="3928" t="s">
        <v>5991</v>
      </c>
      <c r="D1730" s="3928" t="s">
        <v>5992</v>
      </c>
      <c r="E1730" s="3928" t="s">
        <v>5993</v>
      </c>
      <c r="F1730" s="3928" t="s">
        <v>2393</v>
      </c>
      <c r="G1730" s="3928" t="s">
        <v>5994</v>
      </c>
      <c r="H1730" s="3928" t="s">
        <v>24</v>
      </c>
      <c r="I1730" s="3928" t="s">
        <v>898</v>
      </c>
    </row>
    <row r="1731" spans="1:9" ht="11.25" customHeight="1">
      <c r="A1731" s="3928" t="s">
        <v>2258</v>
      </c>
      <c r="B1731" s="3928" t="s">
        <v>14</v>
      </c>
      <c r="C1731" s="3928" t="s">
        <v>5995</v>
      </c>
      <c r="D1731" s="3928" t="s">
        <v>5996</v>
      </c>
      <c r="E1731" s="3928" t="s">
        <v>5997</v>
      </c>
      <c r="F1731" s="3928" t="s">
        <v>2409</v>
      </c>
      <c r="G1731" s="3928" t="s">
        <v>24</v>
      </c>
      <c r="H1731" s="3928" t="s">
        <v>24</v>
      </c>
      <c r="I1731" s="3928" t="s">
        <v>898</v>
      </c>
    </row>
    <row r="1732" spans="1:9" ht="11.25" customHeight="1">
      <c r="A1732" s="3928" t="s">
        <v>2258</v>
      </c>
      <c r="B1732" s="3928" t="s">
        <v>14</v>
      </c>
      <c r="C1732" s="3928" t="s">
        <v>5998</v>
      </c>
      <c r="D1732" s="3928" t="s">
        <v>5999</v>
      </c>
      <c r="E1732" s="3928" t="s">
        <v>6000</v>
      </c>
      <c r="F1732" s="3928" t="s">
        <v>2419</v>
      </c>
      <c r="G1732" s="3928" t="s">
        <v>6001</v>
      </c>
      <c r="H1732" s="3928" t="s">
        <v>24</v>
      </c>
      <c r="I1732" s="3928" t="s">
        <v>898</v>
      </c>
    </row>
    <row r="1733" spans="1:9" ht="11.25" customHeight="1">
      <c r="A1733" s="3928" t="s">
        <v>2258</v>
      </c>
      <c r="B1733" s="3928" t="s">
        <v>14</v>
      </c>
      <c r="C1733" s="3928" t="s">
        <v>6002</v>
      </c>
      <c r="D1733" s="3928" t="s">
        <v>6003</v>
      </c>
      <c r="E1733" s="3928" t="s">
        <v>6004</v>
      </c>
      <c r="F1733" s="3928" t="s">
        <v>2262</v>
      </c>
      <c r="G1733" s="3928" t="s">
        <v>6005</v>
      </c>
      <c r="H1733" s="3928" t="s">
        <v>24</v>
      </c>
      <c r="I1733" s="3928" t="s">
        <v>898</v>
      </c>
    </row>
    <row r="1734" spans="1:9" ht="11.25" customHeight="1">
      <c r="A1734" s="3928" t="s">
        <v>2258</v>
      </c>
      <c r="B1734" s="3928" t="s">
        <v>14</v>
      </c>
      <c r="C1734" s="3928" t="s">
        <v>6006</v>
      </c>
      <c r="D1734" s="3928" t="s">
        <v>6007</v>
      </c>
      <c r="E1734" s="3928" t="s">
        <v>6008</v>
      </c>
      <c r="F1734" s="3928" t="s">
        <v>2675</v>
      </c>
      <c r="G1734" s="3928" t="s">
        <v>24</v>
      </c>
      <c r="H1734" s="3928" t="s">
        <v>24</v>
      </c>
      <c r="I1734" s="3928" t="s">
        <v>898</v>
      </c>
    </row>
    <row r="1735" spans="1:9" ht="11.25" customHeight="1">
      <c r="A1735" s="3928" t="s">
        <v>2258</v>
      </c>
      <c r="B1735" s="3928" t="s">
        <v>14</v>
      </c>
      <c r="C1735" s="3928" t="s">
        <v>6009</v>
      </c>
      <c r="D1735" s="3928" t="s">
        <v>6010</v>
      </c>
      <c r="E1735" s="3928" t="s">
        <v>6011</v>
      </c>
      <c r="F1735" s="3928" t="s">
        <v>2397</v>
      </c>
      <c r="G1735" s="3928" t="s">
        <v>6012</v>
      </c>
      <c r="H1735" s="3928" t="s">
        <v>24</v>
      </c>
      <c r="I1735" s="3928" t="s">
        <v>898</v>
      </c>
    </row>
    <row r="1736" spans="1:9" ht="11.25" customHeight="1">
      <c r="A1736" s="3928" t="s">
        <v>2258</v>
      </c>
      <c r="B1736" s="3928" t="s">
        <v>14</v>
      </c>
      <c r="C1736" s="3928" t="s">
        <v>6013</v>
      </c>
      <c r="D1736" s="3928" t="s">
        <v>6014</v>
      </c>
      <c r="E1736" s="3928" t="s">
        <v>6015</v>
      </c>
      <c r="F1736" s="3928" t="s">
        <v>49</v>
      </c>
      <c r="G1736" s="3928" t="s">
        <v>24</v>
      </c>
      <c r="H1736" s="3928" t="s">
        <v>6016</v>
      </c>
      <c r="I1736" s="3928" t="s">
        <v>898</v>
      </c>
    </row>
    <row r="1737" spans="1:9" ht="11.25" customHeight="1">
      <c r="A1737" s="3928" t="s">
        <v>2258</v>
      </c>
      <c r="B1737" s="3928" t="s">
        <v>14</v>
      </c>
      <c r="C1737" s="3928" t="s">
        <v>6017</v>
      </c>
      <c r="D1737" s="3928" t="s">
        <v>6014</v>
      </c>
      <c r="E1737" s="3928" t="s">
        <v>6015</v>
      </c>
      <c r="F1737" s="3928" t="s">
        <v>49</v>
      </c>
      <c r="G1737" s="3928" t="s">
        <v>6018</v>
      </c>
      <c r="H1737" s="3928" t="s">
        <v>24</v>
      </c>
      <c r="I1737" s="3928" t="s">
        <v>898</v>
      </c>
    </row>
    <row r="1738" spans="1:9" ht="11.25" customHeight="1">
      <c r="A1738" s="3928" t="s">
        <v>2258</v>
      </c>
      <c r="B1738" s="3928" t="s">
        <v>14</v>
      </c>
      <c r="C1738" s="3928" t="s">
        <v>6022</v>
      </c>
      <c r="D1738" s="3928" t="s">
        <v>6023</v>
      </c>
      <c r="E1738" s="3928" t="s">
        <v>6024</v>
      </c>
      <c r="F1738" s="3928" t="s">
        <v>3370</v>
      </c>
      <c r="G1738" s="3928" t="s">
        <v>24</v>
      </c>
      <c r="H1738" s="3928" t="s">
        <v>24</v>
      </c>
      <c r="I1738" s="3928" t="s">
        <v>898</v>
      </c>
    </row>
    <row r="1739" spans="1:9" ht="11.25" customHeight="1">
      <c r="A1739" s="3928" t="s">
        <v>2258</v>
      </c>
      <c r="B1739" s="3928" t="s">
        <v>14</v>
      </c>
      <c r="C1739" s="3928" t="s">
        <v>6025</v>
      </c>
      <c r="D1739" s="3928" t="s">
        <v>6026</v>
      </c>
      <c r="E1739" s="3928" t="s">
        <v>6027</v>
      </c>
      <c r="F1739" s="3928" t="s">
        <v>6028</v>
      </c>
      <c r="G1739" s="3928" t="s">
        <v>6029</v>
      </c>
      <c r="H1739" s="3928" t="s">
        <v>24</v>
      </c>
      <c r="I1739" s="3928" t="s">
        <v>898</v>
      </c>
    </row>
    <row r="1740" spans="1:9" ht="11.25" customHeight="1">
      <c r="A1740" s="3928" t="s">
        <v>2258</v>
      </c>
      <c r="B1740" s="3928" t="s">
        <v>14</v>
      </c>
      <c r="C1740" s="3928" t="s">
        <v>6034</v>
      </c>
      <c r="D1740" s="3928" t="s">
        <v>6035</v>
      </c>
      <c r="E1740" s="3928" t="s">
        <v>6036</v>
      </c>
      <c r="F1740" s="3928" t="s">
        <v>2419</v>
      </c>
      <c r="G1740" s="3928" t="s">
        <v>24</v>
      </c>
      <c r="H1740" s="3928" t="s">
        <v>24</v>
      </c>
      <c r="I1740" s="3928" t="s">
        <v>898</v>
      </c>
    </row>
    <row r="1741" spans="1:9" ht="11.25" customHeight="1">
      <c r="A1741" s="3928" t="s">
        <v>2258</v>
      </c>
      <c r="B1741" s="3928" t="s">
        <v>14</v>
      </c>
      <c r="C1741" s="3928" t="s">
        <v>6037</v>
      </c>
      <c r="D1741" s="3928" t="s">
        <v>6038</v>
      </c>
      <c r="E1741" s="3928" t="s">
        <v>6039</v>
      </c>
      <c r="F1741" s="3928" t="s">
        <v>2309</v>
      </c>
      <c r="G1741" s="3928" t="s">
        <v>24</v>
      </c>
      <c r="H1741" s="3928" t="s">
        <v>24</v>
      </c>
      <c r="I1741" s="3928" t="s">
        <v>898</v>
      </c>
    </row>
    <row r="1742" spans="1:9" ht="11.25" customHeight="1">
      <c r="A1742" s="3928" t="s">
        <v>2258</v>
      </c>
      <c r="B1742" s="3928" t="s">
        <v>14</v>
      </c>
      <c r="C1742" s="3928" t="s">
        <v>6040</v>
      </c>
      <c r="D1742" s="3928" t="s">
        <v>6041</v>
      </c>
      <c r="E1742" s="3928" t="s">
        <v>3893</v>
      </c>
      <c r="F1742" s="3928" t="s">
        <v>2624</v>
      </c>
      <c r="G1742" s="3928" t="s">
        <v>24</v>
      </c>
      <c r="H1742" s="3928" t="s">
        <v>6042</v>
      </c>
      <c r="I1742" s="3928" t="s">
        <v>898</v>
      </c>
    </row>
    <row r="1743" spans="1:9" ht="11.25" customHeight="1">
      <c r="A1743" s="3928" t="s">
        <v>2258</v>
      </c>
      <c r="B1743" s="3928" t="s">
        <v>14</v>
      </c>
      <c r="C1743" s="3928" t="s">
        <v>6043</v>
      </c>
      <c r="D1743" s="3928" t="s">
        <v>6044</v>
      </c>
      <c r="E1743" s="3928" t="s">
        <v>6045</v>
      </c>
      <c r="F1743" s="3928" t="s">
        <v>2965</v>
      </c>
      <c r="G1743" s="3928" t="s">
        <v>24</v>
      </c>
      <c r="H1743" s="3928" t="s">
        <v>2263</v>
      </c>
      <c r="I1743" s="3928" t="s">
        <v>898</v>
      </c>
    </row>
    <row r="1744" spans="1:9" ht="11.25" customHeight="1">
      <c r="A1744" s="3928" t="s">
        <v>2258</v>
      </c>
      <c r="B1744" s="3928" t="s">
        <v>14</v>
      </c>
      <c r="C1744" s="3928" t="s">
        <v>6046</v>
      </c>
      <c r="D1744" s="3928" t="s">
        <v>6047</v>
      </c>
      <c r="E1744" s="3928" t="s">
        <v>6048</v>
      </c>
      <c r="F1744" s="3928" t="s">
        <v>2344</v>
      </c>
      <c r="G1744" s="3928" t="s">
        <v>6049</v>
      </c>
      <c r="H1744" s="3928" t="s">
        <v>24</v>
      </c>
      <c r="I1744" s="3928" t="s">
        <v>898</v>
      </c>
    </row>
    <row r="1745" spans="1:9" ht="11.25" customHeight="1">
      <c r="A1745" s="3928" t="s">
        <v>2258</v>
      </c>
      <c r="B1745" s="3928" t="s">
        <v>14</v>
      </c>
      <c r="C1745" s="3928" t="s">
        <v>6050</v>
      </c>
      <c r="D1745" s="3928" t="s">
        <v>6051</v>
      </c>
      <c r="E1745" s="3928" t="s">
        <v>6052</v>
      </c>
      <c r="F1745" s="3928" t="s">
        <v>2486</v>
      </c>
      <c r="G1745" s="3928" t="s">
        <v>6053</v>
      </c>
      <c r="H1745" s="3928" t="s">
        <v>24</v>
      </c>
      <c r="I1745" s="3928" t="s">
        <v>898</v>
      </c>
    </row>
    <row r="1746" spans="1:9" ht="11.25" customHeight="1">
      <c r="A1746" s="3928" t="s">
        <v>2258</v>
      </c>
      <c r="B1746" s="3928" t="s">
        <v>14</v>
      </c>
      <c r="C1746" s="3928" t="s">
        <v>6054</v>
      </c>
      <c r="D1746" s="3928" t="s">
        <v>6055</v>
      </c>
      <c r="E1746" s="3928" t="s">
        <v>6056</v>
      </c>
      <c r="F1746" s="3928" t="s">
        <v>3353</v>
      </c>
      <c r="G1746" s="3928" t="s">
        <v>24</v>
      </c>
      <c r="H1746" s="3928" t="s">
        <v>2475</v>
      </c>
      <c r="I1746" s="3928" t="s">
        <v>898</v>
      </c>
    </row>
    <row r="1747" spans="1:9" ht="11.25" customHeight="1">
      <c r="A1747" s="3928" t="s">
        <v>2258</v>
      </c>
      <c r="B1747" s="3928" t="s">
        <v>14</v>
      </c>
      <c r="C1747" s="3928" t="s">
        <v>6060</v>
      </c>
      <c r="D1747" s="3928" t="s">
        <v>6061</v>
      </c>
      <c r="E1747" s="3928" t="s">
        <v>6062</v>
      </c>
      <c r="F1747" s="3928" t="s">
        <v>2522</v>
      </c>
      <c r="G1747" s="3928" t="s">
        <v>24</v>
      </c>
      <c r="H1747" s="3928" t="s">
        <v>24</v>
      </c>
      <c r="I1747" s="3928" t="s">
        <v>898</v>
      </c>
    </row>
    <row r="1748" spans="1:9" ht="11.25" customHeight="1">
      <c r="A1748" s="3928" t="s">
        <v>2258</v>
      </c>
      <c r="B1748" s="3928" t="s">
        <v>14</v>
      </c>
      <c r="C1748" s="3928" t="s">
        <v>6063</v>
      </c>
      <c r="D1748" s="3928" t="s">
        <v>6064</v>
      </c>
      <c r="E1748" s="3928" t="s">
        <v>6065</v>
      </c>
      <c r="F1748" s="3928" t="s">
        <v>2304</v>
      </c>
      <c r="G1748" s="3928" t="s">
        <v>24</v>
      </c>
      <c r="H1748" s="3928" t="s">
        <v>24</v>
      </c>
      <c r="I1748" s="3928" t="s">
        <v>898</v>
      </c>
    </row>
    <row r="1749" spans="1:9" ht="11.25" customHeight="1">
      <c r="A1749" s="3928" t="s">
        <v>2258</v>
      </c>
      <c r="B1749" s="3928" t="s">
        <v>14</v>
      </c>
      <c r="C1749" s="3928" t="s">
        <v>6066</v>
      </c>
      <c r="D1749" s="3928" t="s">
        <v>6067</v>
      </c>
      <c r="E1749" s="3928" t="s">
        <v>6068</v>
      </c>
      <c r="F1749" s="3928" t="s">
        <v>2419</v>
      </c>
      <c r="G1749" s="3928" t="s">
        <v>6069</v>
      </c>
      <c r="H1749" s="3928" t="s">
        <v>24</v>
      </c>
      <c r="I1749" s="3928" t="s">
        <v>898</v>
      </c>
    </row>
    <row r="1750" spans="1:9" ht="11.25" customHeight="1">
      <c r="A1750" s="3928" t="s">
        <v>2258</v>
      </c>
      <c r="B1750" s="3928" t="s">
        <v>14</v>
      </c>
      <c r="C1750" s="3928" t="s">
        <v>6070</v>
      </c>
      <c r="D1750" s="3928" t="s">
        <v>6071</v>
      </c>
      <c r="E1750" s="3928" t="s">
        <v>6072</v>
      </c>
      <c r="F1750" s="3928" t="s">
        <v>2701</v>
      </c>
      <c r="G1750" s="3928" t="s">
        <v>24</v>
      </c>
      <c r="H1750" s="3928" t="s">
        <v>24</v>
      </c>
      <c r="I1750" s="3928" t="s">
        <v>898</v>
      </c>
    </row>
    <row r="1751" spans="1:9" ht="11.25" customHeight="1">
      <c r="A1751" s="3928" t="s">
        <v>2258</v>
      </c>
      <c r="B1751" s="3928" t="s">
        <v>14</v>
      </c>
      <c r="C1751" s="3928" t="s">
        <v>6073</v>
      </c>
      <c r="D1751" s="3928" t="s">
        <v>6074</v>
      </c>
      <c r="E1751" s="3928" t="s">
        <v>6075</v>
      </c>
      <c r="F1751" s="3928" t="s">
        <v>2309</v>
      </c>
      <c r="G1751" s="3928" t="s">
        <v>24</v>
      </c>
      <c r="H1751" s="3928" t="s">
        <v>24</v>
      </c>
      <c r="I1751" s="3928" t="s">
        <v>898</v>
      </c>
    </row>
    <row r="1752" spans="1:9" ht="11.25" customHeight="1">
      <c r="A1752" s="3928" t="s">
        <v>2258</v>
      </c>
      <c r="B1752" s="3928" t="s">
        <v>14</v>
      </c>
      <c r="C1752" s="3928" t="s">
        <v>6076</v>
      </c>
      <c r="D1752" s="3928" t="s">
        <v>6077</v>
      </c>
      <c r="E1752" s="3928" t="s">
        <v>6078</v>
      </c>
      <c r="F1752" s="3928" t="s">
        <v>2289</v>
      </c>
      <c r="G1752" s="3928" t="s">
        <v>24</v>
      </c>
      <c r="H1752" s="3928" t="s">
        <v>24</v>
      </c>
      <c r="I1752" s="3928" t="s">
        <v>898</v>
      </c>
    </row>
    <row r="1753" spans="1:9" ht="11.25" customHeight="1">
      <c r="A1753" s="3928" t="s">
        <v>2258</v>
      </c>
      <c r="B1753" s="3928" t="s">
        <v>14</v>
      </c>
      <c r="C1753" s="3928" t="s">
        <v>6079</v>
      </c>
      <c r="D1753" s="3928" t="s">
        <v>6080</v>
      </c>
      <c r="E1753" s="3928" t="s">
        <v>6081</v>
      </c>
      <c r="F1753" s="3928" t="s">
        <v>2414</v>
      </c>
      <c r="G1753" s="3928" t="s">
        <v>24</v>
      </c>
      <c r="H1753" s="3928" t="s">
        <v>24</v>
      </c>
      <c r="I1753" s="3928" t="s">
        <v>898</v>
      </c>
    </row>
    <row r="1754" spans="1:9" ht="11.25" customHeight="1">
      <c r="A1754" s="3928" t="s">
        <v>2258</v>
      </c>
      <c r="B1754" s="3928" t="s">
        <v>14</v>
      </c>
      <c r="C1754" s="3928" t="s">
        <v>6082</v>
      </c>
      <c r="D1754" s="3928" t="s">
        <v>6083</v>
      </c>
      <c r="E1754" s="3928" t="s">
        <v>6084</v>
      </c>
      <c r="F1754" s="3928" t="s">
        <v>2965</v>
      </c>
      <c r="G1754" s="3928" t="s">
        <v>24</v>
      </c>
      <c r="H1754" s="3928" t="s">
        <v>24</v>
      </c>
      <c r="I1754" s="3928" t="s">
        <v>898</v>
      </c>
    </row>
    <row r="1755" spans="1:9" ht="11.25" customHeight="1">
      <c r="A1755" s="3928" t="s">
        <v>2258</v>
      </c>
      <c r="B1755" s="3928" t="s">
        <v>14</v>
      </c>
      <c r="C1755" s="3928" t="s">
        <v>6104</v>
      </c>
      <c r="D1755" s="3928" t="s">
        <v>6105</v>
      </c>
      <c r="E1755" s="3928" t="s">
        <v>6106</v>
      </c>
      <c r="F1755" s="3928" t="s">
        <v>2289</v>
      </c>
      <c r="G1755" s="3928" t="s">
        <v>24</v>
      </c>
      <c r="H1755" s="3928" t="s">
        <v>24</v>
      </c>
      <c r="I1755" s="3928" t="s">
        <v>898</v>
      </c>
    </row>
    <row r="1756" spans="1:9" ht="11.25" customHeight="1">
      <c r="A1756" s="3928" t="s">
        <v>2258</v>
      </c>
      <c r="B1756" s="3928" t="s">
        <v>14</v>
      </c>
      <c r="C1756" s="3928" t="s">
        <v>6117</v>
      </c>
      <c r="D1756" s="3928" t="s">
        <v>6118</v>
      </c>
      <c r="E1756" s="3928" t="s">
        <v>6119</v>
      </c>
      <c r="F1756" s="3928" t="s">
        <v>2309</v>
      </c>
      <c r="G1756" s="3928" t="s">
        <v>24</v>
      </c>
      <c r="H1756" s="3928" t="s">
        <v>2263</v>
      </c>
      <c r="I1756" s="3928" t="s">
        <v>898</v>
      </c>
    </row>
    <row r="1757" spans="1:9" ht="11.25" customHeight="1">
      <c r="A1757" s="3928" t="s">
        <v>2258</v>
      </c>
      <c r="B1757" s="3928" t="s">
        <v>14</v>
      </c>
      <c r="C1757" s="3928" t="s">
        <v>6123</v>
      </c>
      <c r="D1757" s="3928" t="s">
        <v>6124</v>
      </c>
      <c r="E1757" s="3928" t="s">
        <v>6125</v>
      </c>
      <c r="F1757" s="3928" t="s">
        <v>2294</v>
      </c>
      <c r="G1757" s="3928" t="s">
        <v>24</v>
      </c>
      <c r="H1757" s="3928" t="s">
        <v>2263</v>
      </c>
      <c r="I1757" s="3928" t="s">
        <v>898</v>
      </c>
    </row>
    <row r="1758" spans="1:9" ht="11.25" customHeight="1">
      <c r="A1758" s="3928" t="s">
        <v>2258</v>
      </c>
      <c r="B1758" s="3928" t="s">
        <v>14</v>
      </c>
      <c r="C1758" s="3928" t="s">
        <v>6148</v>
      </c>
      <c r="D1758" s="3928" t="s">
        <v>6149</v>
      </c>
      <c r="E1758" s="3928" t="s">
        <v>6150</v>
      </c>
      <c r="F1758" s="3928" t="s">
        <v>2486</v>
      </c>
      <c r="G1758" s="3928" t="s">
        <v>24</v>
      </c>
      <c r="H1758" s="3928" t="s">
        <v>24</v>
      </c>
      <c r="I1758" s="3928" t="s">
        <v>898</v>
      </c>
    </row>
    <row r="1759" spans="1:9" ht="11.25" customHeight="1">
      <c r="A1759" s="3928" t="s">
        <v>2258</v>
      </c>
      <c r="B1759" s="3928" t="s">
        <v>14</v>
      </c>
      <c r="C1759" s="3928" t="s">
        <v>6151</v>
      </c>
      <c r="D1759" s="3928" t="s">
        <v>6152</v>
      </c>
      <c r="E1759" s="3928" t="s">
        <v>6153</v>
      </c>
      <c r="F1759" s="3928" t="s">
        <v>4428</v>
      </c>
      <c r="G1759" s="3928" t="s">
        <v>24</v>
      </c>
      <c r="H1759" s="3928" t="s">
        <v>2945</v>
      </c>
      <c r="I1759" s="3928" t="s">
        <v>898</v>
      </c>
    </row>
    <row r="1760" spans="1:9" ht="11.25" customHeight="1">
      <c r="A1760" s="3928" t="s">
        <v>2258</v>
      </c>
      <c r="B1760" s="3928" t="s">
        <v>14</v>
      </c>
      <c r="C1760" s="3928" t="s">
        <v>6154</v>
      </c>
      <c r="D1760" s="3928" t="s">
        <v>6155</v>
      </c>
      <c r="E1760" s="3928" t="s">
        <v>6146</v>
      </c>
      <c r="F1760" s="3928" t="s">
        <v>6156</v>
      </c>
      <c r="G1760" s="3928" t="s">
        <v>24</v>
      </c>
      <c r="H1760" s="3928" t="s">
        <v>24</v>
      </c>
      <c r="I1760" s="3928" t="s">
        <v>898</v>
      </c>
    </row>
    <row r="1761" spans="1:9" ht="11.25" customHeight="1">
      <c r="A1761" s="3928" t="s">
        <v>2258</v>
      </c>
      <c r="B1761" s="3928" t="s">
        <v>14</v>
      </c>
      <c r="C1761" s="3928" t="s">
        <v>6163</v>
      </c>
      <c r="D1761" s="3928" t="s">
        <v>6164</v>
      </c>
      <c r="E1761" s="3928" t="s">
        <v>6165</v>
      </c>
      <c r="F1761" s="3928" t="s">
        <v>2393</v>
      </c>
      <c r="G1761" s="3928" t="s">
        <v>6166</v>
      </c>
      <c r="H1761" s="3928" t="s">
        <v>24</v>
      </c>
      <c r="I1761" s="3928" t="s">
        <v>898</v>
      </c>
    </row>
    <row r="1762" spans="1:9" ht="11.25" customHeight="1">
      <c r="A1762" s="3928" t="s">
        <v>2258</v>
      </c>
      <c r="B1762" s="3928" t="s">
        <v>14</v>
      </c>
      <c r="C1762" s="3928" t="s">
        <v>6167</v>
      </c>
      <c r="D1762" s="3928" t="s">
        <v>6168</v>
      </c>
      <c r="E1762" s="3928" t="s">
        <v>6169</v>
      </c>
      <c r="F1762" s="3928" t="s">
        <v>2513</v>
      </c>
      <c r="G1762" s="3928" t="s">
        <v>24</v>
      </c>
      <c r="H1762" s="3928" t="s">
        <v>6170</v>
      </c>
      <c r="I1762" s="3928" t="s">
        <v>898</v>
      </c>
    </row>
    <row r="1763" spans="1:9" ht="11.25" customHeight="1">
      <c r="A1763" s="3928" t="s">
        <v>2258</v>
      </c>
      <c r="B1763" s="3928" t="s">
        <v>14</v>
      </c>
      <c r="C1763" s="3928" t="s">
        <v>6467</v>
      </c>
      <c r="D1763" s="3928" t="s">
        <v>6468</v>
      </c>
      <c r="E1763" s="3928" t="s">
        <v>3720</v>
      </c>
      <c r="F1763" s="3928" t="s">
        <v>6469</v>
      </c>
      <c r="G1763" s="3928" t="s">
        <v>24</v>
      </c>
      <c r="H1763" s="3928" t="s">
        <v>6470</v>
      </c>
      <c r="I1763" s="3928" t="s">
        <v>898</v>
      </c>
    </row>
    <row r="1764" spans="1:9" ht="11.25" customHeight="1">
      <c r="A1764" s="3928" t="s">
        <v>2258</v>
      </c>
      <c r="B1764" s="3928" t="s">
        <v>14</v>
      </c>
      <c r="C1764" s="3928" t="s">
        <v>6177</v>
      </c>
      <c r="D1764" s="3928" t="s">
        <v>6178</v>
      </c>
      <c r="E1764" s="3928" t="s">
        <v>6179</v>
      </c>
      <c r="F1764" s="3928" t="s">
        <v>3023</v>
      </c>
      <c r="G1764" s="3928" t="s">
        <v>24</v>
      </c>
      <c r="H1764" s="3928" t="s">
        <v>6180</v>
      </c>
      <c r="I1764" s="3928" t="s">
        <v>898</v>
      </c>
    </row>
    <row r="1765" spans="1:9" ht="11.25" customHeight="1">
      <c r="A1765" s="3928" t="s">
        <v>2258</v>
      </c>
      <c r="B1765" s="3928" t="s">
        <v>14</v>
      </c>
      <c r="C1765" s="3928" t="s">
        <v>6181</v>
      </c>
      <c r="D1765" s="3928" t="s">
        <v>6182</v>
      </c>
      <c r="E1765" s="3928" t="s">
        <v>6183</v>
      </c>
      <c r="F1765" s="3928" t="s">
        <v>6184</v>
      </c>
      <c r="G1765" s="3928" t="s">
        <v>24</v>
      </c>
      <c r="H1765" s="3928" t="s">
        <v>24</v>
      </c>
      <c r="I1765" s="3928" t="s">
        <v>898</v>
      </c>
    </row>
    <row r="1766" spans="1:9" ht="11.25" customHeight="1">
      <c r="A1766" s="3928" t="s">
        <v>2258</v>
      </c>
      <c r="B1766" s="3928" t="s">
        <v>14</v>
      </c>
      <c r="C1766" s="3928" t="s">
        <v>6188</v>
      </c>
      <c r="D1766" s="3928" t="s">
        <v>6189</v>
      </c>
      <c r="E1766" s="3928" t="s">
        <v>6190</v>
      </c>
      <c r="F1766" s="3928" t="s">
        <v>2397</v>
      </c>
      <c r="G1766" s="3928" t="s">
        <v>24</v>
      </c>
      <c r="H1766" s="3928" t="s">
        <v>24</v>
      </c>
      <c r="I1766" s="3928" t="s">
        <v>898</v>
      </c>
    </row>
    <row r="1767" spans="1:9" ht="11.25" customHeight="1">
      <c r="A1767" s="3928" t="s">
        <v>2258</v>
      </c>
      <c r="B1767" s="3928" t="s">
        <v>14</v>
      </c>
      <c r="C1767" s="3928" t="s">
        <v>6191</v>
      </c>
      <c r="D1767" s="3928" t="s">
        <v>627</v>
      </c>
      <c r="E1767" s="3928" t="s">
        <v>6192</v>
      </c>
      <c r="F1767" s="3928" t="s">
        <v>2675</v>
      </c>
      <c r="G1767" s="3928" t="s">
        <v>6193</v>
      </c>
      <c r="H1767" s="3928" t="s">
        <v>24</v>
      </c>
      <c r="I1767" s="3928" t="s">
        <v>898</v>
      </c>
    </row>
    <row r="1768" spans="1:9" ht="11.25" customHeight="1">
      <c r="A1768" s="3928" t="s">
        <v>2258</v>
      </c>
      <c r="B1768" s="3928" t="s">
        <v>14</v>
      </c>
      <c r="C1768" s="3928" t="s">
        <v>6198</v>
      </c>
      <c r="D1768" s="3928" t="s">
        <v>6199</v>
      </c>
      <c r="E1768" s="3928" t="s">
        <v>6200</v>
      </c>
      <c r="F1768" s="3928" t="s">
        <v>2469</v>
      </c>
      <c r="G1768" s="3928" t="s">
        <v>24</v>
      </c>
      <c r="H1768" s="3928" t="s">
        <v>6201</v>
      </c>
      <c r="I1768" s="3928" t="s">
        <v>898</v>
      </c>
    </row>
    <row r="1769" spans="1:9" ht="11.25" customHeight="1">
      <c r="A1769" s="3928" t="s">
        <v>2258</v>
      </c>
      <c r="B1769" s="3928" t="s">
        <v>14</v>
      </c>
      <c r="C1769" s="3928" t="s">
        <v>6209</v>
      </c>
      <c r="D1769" s="3928" t="s">
        <v>6210</v>
      </c>
      <c r="E1769" s="3928" t="s">
        <v>6211</v>
      </c>
      <c r="F1769" s="3928" t="s">
        <v>2359</v>
      </c>
      <c r="G1769" s="3928" t="s">
        <v>24</v>
      </c>
      <c r="H1769" s="3928" t="s">
        <v>24</v>
      </c>
      <c r="I1769" s="3928" t="s">
        <v>898</v>
      </c>
    </row>
    <row r="1770" spans="1:9" ht="11.25" customHeight="1">
      <c r="A1770" s="3928" t="s">
        <v>2258</v>
      </c>
      <c r="B1770" s="3928" t="s">
        <v>14</v>
      </c>
      <c r="C1770" s="3928" t="s">
        <v>6212</v>
      </c>
      <c r="D1770" s="3928" t="s">
        <v>6213</v>
      </c>
      <c r="E1770" s="3928" t="s">
        <v>6214</v>
      </c>
      <c r="F1770" s="3928" t="s">
        <v>2675</v>
      </c>
      <c r="G1770" s="3928" t="s">
        <v>24</v>
      </c>
      <c r="H1770" s="3928" t="s">
        <v>24</v>
      </c>
      <c r="I1770" s="3928" t="s">
        <v>898</v>
      </c>
    </row>
    <row r="1771" spans="1:9" ht="11.25" customHeight="1">
      <c r="A1771" s="3928" t="s">
        <v>2258</v>
      </c>
      <c r="B1771" s="3928" t="s">
        <v>14</v>
      </c>
      <c r="C1771" s="3928" t="s">
        <v>6215</v>
      </c>
      <c r="D1771" s="3928" t="s">
        <v>6216</v>
      </c>
      <c r="E1771" s="3928" t="s">
        <v>6217</v>
      </c>
      <c r="F1771" s="3928" t="s">
        <v>2965</v>
      </c>
      <c r="G1771" s="3928" t="s">
        <v>24</v>
      </c>
      <c r="H1771" s="3928" t="s">
        <v>24</v>
      </c>
      <c r="I1771" s="3928" t="s">
        <v>898</v>
      </c>
    </row>
    <row r="1772" spans="1:9" ht="11.25" customHeight="1">
      <c r="A1772" s="3928" t="s">
        <v>2258</v>
      </c>
      <c r="B1772" s="3928" t="s">
        <v>14</v>
      </c>
      <c r="C1772" s="3928" t="s">
        <v>6218</v>
      </c>
      <c r="D1772" s="3928" t="s">
        <v>6219</v>
      </c>
      <c r="E1772" s="3928" t="s">
        <v>6220</v>
      </c>
      <c r="F1772" s="3928" t="s">
        <v>2486</v>
      </c>
      <c r="G1772" s="3928" t="s">
        <v>6221</v>
      </c>
      <c r="H1772" s="3928" t="s">
        <v>24</v>
      </c>
      <c r="I1772" s="3928" t="s">
        <v>898</v>
      </c>
    </row>
    <row r="1773" spans="1:9" ht="11.25" customHeight="1">
      <c r="A1773" s="3928" t="s">
        <v>2258</v>
      </c>
      <c r="B1773" s="3928" t="s">
        <v>14</v>
      </c>
      <c r="C1773" s="3928" t="s">
        <v>6226</v>
      </c>
      <c r="D1773" s="3928" t="s">
        <v>6227</v>
      </c>
      <c r="E1773" s="3928" t="s">
        <v>6228</v>
      </c>
      <c r="F1773" s="3928" t="s">
        <v>2309</v>
      </c>
      <c r="G1773" s="3928" t="s">
        <v>24</v>
      </c>
      <c r="H1773" s="3928" t="s">
        <v>24</v>
      </c>
      <c r="I1773" s="3928" t="s">
        <v>898</v>
      </c>
    </row>
    <row r="1774" spans="1:9" ht="11.25" customHeight="1">
      <c r="A1774" s="3928" t="s">
        <v>2258</v>
      </c>
      <c r="B1774" s="3928" t="s">
        <v>14</v>
      </c>
      <c r="C1774" s="3928" t="s">
        <v>6229</v>
      </c>
      <c r="D1774" s="3928" t="s">
        <v>6230</v>
      </c>
      <c r="E1774" s="3928" t="s">
        <v>6231</v>
      </c>
      <c r="F1774" s="3928" t="s">
        <v>2587</v>
      </c>
      <c r="G1774" s="3928" t="s">
        <v>24</v>
      </c>
      <c r="H1774" s="3928" t="s">
        <v>2263</v>
      </c>
      <c r="I1774" s="3928" t="s">
        <v>898</v>
      </c>
    </row>
    <row r="1775" spans="1:9" ht="11.25" customHeight="1">
      <c r="A1775" s="3928" t="s">
        <v>2258</v>
      </c>
      <c r="B1775" s="3928" t="s">
        <v>14</v>
      </c>
      <c r="C1775" s="3928" t="s">
        <v>6232</v>
      </c>
      <c r="D1775" s="3928" t="s">
        <v>6233</v>
      </c>
      <c r="E1775" s="3928" t="s">
        <v>6234</v>
      </c>
      <c r="F1775" s="3928" t="s">
        <v>2469</v>
      </c>
      <c r="G1775" s="3928" t="s">
        <v>24</v>
      </c>
      <c r="H1775" s="3928" t="s">
        <v>24</v>
      </c>
      <c r="I1775" s="3928" t="s">
        <v>898</v>
      </c>
    </row>
    <row r="1776" spans="1:9" ht="11.25" customHeight="1">
      <c r="A1776" s="3928" t="s">
        <v>2258</v>
      </c>
      <c r="B1776" s="3928" t="s">
        <v>14</v>
      </c>
      <c r="C1776" s="3928" t="s">
        <v>6235</v>
      </c>
      <c r="D1776" s="3928" t="s">
        <v>6236</v>
      </c>
      <c r="E1776" s="3928" t="s">
        <v>6237</v>
      </c>
      <c r="F1776" s="3928" t="s">
        <v>2419</v>
      </c>
      <c r="G1776" s="3928" t="s">
        <v>6238</v>
      </c>
      <c r="H1776" s="3928" t="s">
        <v>24</v>
      </c>
      <c r="I1776" s="3928" t="s">
        <v>898</v>
      </c>
    </row>
    <row r="1777" spans="1:9" ht="11.25" customHeight="1">
      <c r="A1777" s="3928" t="s">
        <v>2258</v>
      </c>
      <c r="B1777" s="3928" t="s">
        <v>14</v>
      </c>
      <c r="C1777" s="3928" t="s">
        <v>6239</v>
      </c>
      <c r="D1777" s="3928" t="s">
        <v>6240</v>
      </c>
      <c r="E1777" s="3928" t="s">
        <v>3947</v>
      </c>
      <c r="F1777" s="3928" t="s">
        <v>2847</v>
      </c>
      <c r="G1777" s="3928" t="s">
        <v>5949</v>
      </c>
      <c r="H1777" s="3928" t="s">
        <v>24</v>
      </c>
      <c r="I1777" s="3928" t="s">
        <v>898</v>
      </c>
    </row>
    <row r="1778" spans="1:9" ht="11.25" customHeight="1">
      <c r="A1778" s="3928" t="s">
        <v>2258</v>
      </c>
      <c r="B1778" s="3928" t="s">
        <v>14</v>
      </c>
      <c r="C1778" s="3928" t="s">
        <v>6241</v>
      </c>
      <c r="D1778" s="3928" t="s">
        <v>6242</v>
      </c>
      <c r="E1778" s="3928" t="s">
        <v>6243</v>
      </c>
      <c r="F1778" s="3928" t="s">
        <v>6244</v>
      </c>
      <c r="G1778" s="3928" t="s">
        <v>24</v>
      </c>
      <c r="H1778" s="3928" t="s">
        <v>2263</v>
      </c>
      <c r="I1778" s="3928" t="s">
        <v>898</v>
      </c>
    </row>
    <row r="1779" spans="1:9" ht="11.25" customHeight="1">
      <c r="A1779" s="3928" t="s">
        <v>2258</v>
      </c>
      <c r="B1779" s="3928" t="s">
        <v>14</v>
      </c>
      <c r="C1779" s="3928" t="s">
        <v>6245</v>
      </c>
      <c r="D1779" s="3928" t="s">
        <v>6242</v>
      </c>
      <c r="E1779" s="3928" t="s">
        <v>6243</v>
      </c>
      <c r="F1779" s="3928" t="s">
        <v>2393</v>
      </c>
      <c r="G1779" s="3928" t="s">
        <v>6246</v>
      </c>
      <c r="H1779" s="3928" t="s">
        <v>24</v>
      </c>
      <c r="I1779" s="3928" t="s">
        <v>898</v>
      </c>
    </row>
    <row r="1780" spans="1:9" ht="11.25" customHeight="1">
      <c r="A1780" s="3928" t="s">
        <v>2258</v>
      </c>
      <c r="B1780" s="3928" t="s">
        <v>14</v>
      </c>
      <c r="C1780" s="3928" t="s">
        <v>6259</v>
      </c>
      <c r="D1780" s="3928" t="s">
        <v>6260</v>
      </c>
      <c r="E1780" s="3928" t="s">
        <v>5827</v>
      </c>
      <c r="F1780" s="3928" t="s">
        <v>6261</v>
      </c>
      <c r="G1780" s="3928" t="s">
        <v>6262</v>
      </c>
      <c r="H1780" s="3928" t="s">
        <v>24</v>
      </c>
      <c r="I1780" s="3928" t="s">
        <v>898</v>
      </c>
    </row>
    <row r="1781" spans="1:9" ht="11.25" customHeight="1">
      <c r="A1781" s="3928" t="s">
        <v>2258</v>
      </c>
      <c r="B1781" s="3928" t="s">
        <v>14</v>
      </c>
      <c r="C1781" s="3928" t="s">
        <v>6471</v>
      </c>
      <c r="D1781" s="3928" t="s">
        <v>6472</v>
      </c>
      <c r="E1781" s="3928" t="s">
        <v>5776</v>
      </c>
      <c r="F1781" s="3928" t="s">
        <v>6473</v>
      </c>
      <c r="G1781" s="3928" t="s">
        <v>24</v>
      </c>
      <c r="H1781" s="3928" t="s">
        <v>3297</v>
      </c>
      <c r="I1781" s="3928" t="s">
        <v>898</v>
      </c>
    </row>
    <row r="1782" spans="1:9" ht="11.25" customHeight="1">
      <c r="A1782" s="3928" t="s">
        <v>2258</v>
      </c>
      <c r="B1782" s="3928" t="s">
        <v>14</v>
      </c>
      <c r="C1782" s="3928" t="s">
        <v>6271</v>
      </c>
      <c r="D1782" s="3928" t="s">
        <v>6272</v>
      </c>
      <c r="E1782" s="3928" t="s">
        <v>6273</v>
      </c>
      <c r="F1782" s="3928" t="s">
        <v>6274</v>
      </c>
      <c r="G1782" s="3928" t="s">
        <v>6275</v>
      </c>
      <c r="H1782" s="3928" t="s">
        <v>24</v>
      </c>
      <c r="I1782" s="3928" t="s">
        <v>898</v>
      </c>
    </row>
    <row r="1783" spans="1:9" ht="11.25" customHeight="1">
      <c r="A1783" s="3928" t="s">
        <v>2258</v>
      </c>
      <c r="B1783" s="3928" t="s">
        <v>14</v>
      </c>
      <c r="C1783" s="3928" t="s">
        <v>6276</v>
      </c>
      <c r="D1783" s="3928" t="s">
        <v>6277</v>
      </c>
      <c r="E1783" s="3928" t="s">
        <v>6278</v>
      </c>
      <c r="F1783" s="3928" t="s">
        <v>6279</v>
      </c>
      <c r="G1783" s="3928" t="s">
        <v>6280</v>
      </c>
      <c r="H1783" s="3928" t="s">
        <v>24</v>
      </c>
      <c r="I1783" s="3928" t="s">
        <v>898</v>
      </c>
    </row>
    <row r="1784" spans="1:9" ht="11.25" customHeight="1">
      <c r="A1784" s="3928" t="s">
        <v>2258</v>
      </c>
      <c r="B1784" s="3928" t="s">
        <v>14</v>
      </c>
      <c r="C1784" s="3928" t="s">
        <v>6281</v>
      </c>
      <c r="D1784" s="3928" t="s">
        <v>6282</v>
      </c>
      <c r="E1784" s="3928" t="s">
        <v>3095</v>
      </c>
      <c r="F1784" s="3928" t="s">
        <v>6283</v>
      </c>
      <c r="G1784" s="3928" t="s">
        <v>6284</v>
      </c>
      <c r="H1784" s="3928" t="s">
        <v>2263</v>
      </c>
      <c r="I1784" s="3928" t="s">
        <v>898</v>
      </c>
    </row>
    <row r="1785" spans="1:9" ht="11.25" customHeight="1">
      <c r="A1785" s="3928" t="s">
        <v>2258</v>
      </c>
      <c r="B1785" s="3928" t="s">
        <v>14</v>
      </c>
      <c r="C1785" s="3928" t="s">
        <v>6290</v>
      </c>
      <c r="D1785" s="3928" t="s">
        <v>6291</v>
      </c>
      <c r="E1785" s="3928" t="s">
        <v>6292</v>
      </c>
      <c r="F1785" s="3928" t="s">
        <v>6293</v>
      </c>
      <c r="G1785" s="3928" t="s">
        <v>24</v>
      </c>
      <c r="H1785" s="3928" t="s">
        <v>24</v>
      </c>
      <c r="I1785" s="3928" t="s">
        <v>898</v>
      </c>
    </row>
    <row r="1786" spans="1:9" ht="11.25" customHeight="1">
      <c r="A1786" s="3928" t="s">
        <v>2258</v>
      </c>
      <c r="B1786" s="3928" t="s">
        <v>14</v>
      </c>
      <c r="C1786" s="3928" t="s">
        <v>6474</v>
      </c>
      <c r="D1786" s="3928" t="s">
        <v>6475</v>
      </c>
      <c r="E1786" s="3928" t="s">
        <v>2660</v>
      </c>
      <c r="F1786" s="3928" t="s">
        <v>6476</v>
      </c>
      <c r="G1786" s="3928" t="s">
        <v>24</v>
      </c>
      <c r="H1786" s="3928" t="s">
        <v>2263</v>
      </c>
      <c r="I1786" s="3928" t="s">
        <v>898</v>
      </c>
    </row>
    <row r="1787" spans="1:9" ht="11.25" customHeight="1">
      <c r="A1787" s="3928" t="s">
        <v>2258</v>
      </c>
      <c r="B1787" s="3928" t="s">
        <v>14</v>
      </c>
      <c r="C1787" s="3928" t="s">
        <v>6294</v>
      </c>
      <c r="D1787" s="3928" t="s">
        <v>6295</v>
      </c>
      <c r="E1787" s="3928" t="s">
        <v>6296</v>
      </c>
      <c r="F1787" s="3928" t="s">
        <v>2397</v>
      </c>
      <c r="G1787" s="3928" t="s">
        <v>24</v>
      </c>
      <c r="H1787" s="3928" t="s">
        <v>24</v>
      </c>
      <c r="I1787" s="3928" t="s">
        <v>898</v>
      </c>
    </row>
    <row r="1788" spans="1:9" ht="11.25" customHeight="1">
      <c r="A1788" s="3928" t="s">
        <v>2258</v>
      </c>
      <c r="B1788" s="3928" t="s">
        <v>14</v>
      </c>
      <c r="C1788" s="3928" t="s">
        <v>6297</v>
      </c>
      <c r="D1788" s="3928" t="s">
        <v>6298</v>
      </c>
      <c r="E1788" s="3928" t="s">
        <v>5246</v>
      </c>
      <c r="F1788" s="3928" t="s">
        <v>6299</v>
      </c>
      <c r="G1788" s="3928" t="s">
        <v>24</v>
      </c>
      <c r="H1788" s="3928" t="s">
        <v>24</v>
      </c>
      <c r="I1788" s="3928" t="s">
        <v>898</v>
      </c>
    </row>
    <row r="1789" spans="1:9" ht="11.25" customHeight="1">
      <c r="A1789" s="3928" t="s">
        <v>2258</v>
      </c>
      <c r="B1789" s="3928" t="s">
        <v>14</v>
      </c>
      <c r="C1789" s="3928" t="s">
        <v>6300</v>
      </c>
      <c r="D1789" s="3928" t="s">
        <v>6301</v>
      </c>
      <c r="E1789" s="3928" t="s">
        <v>5771</v>
      </c>
      <c r="F1789" s="3928" t="s">
        <v>6302</v>
      </c>
      <c r="G1789" s="3928" t="s">
        <v>24</v>
      </c>
      <c r="H1789" s="3928" t="s">
        <v>24</v>
      </c>
      <c r="I1789" s="3928" t="s">
        <v>898</v>
      </c>
    </row>
    <row r="1790" spans="1:9" ht="11.25" customHeight="1">
      <c r="A1790" s="3928" t="s">
        <v>2258</v>
      </c>
      <c r="B1790" s="3928" t="s">
        <v>14</v>
      </c>
      <c r="C1790" s="3928" t="s">
        <v>6311</v>
      </c>
      <c r="D1790" s="3928" t="s">
        <v>6312</v>
      </c>
      <c r="E1790" s="3928" t="s">
        <v>6313</v>
      </c>
      <c r="F1790" s="3928" t="s">
        <v>2796</v>
      </c>
      <c r="G1790" s="3928" t="s">
        <v>6314</v>
      </c>
      <c r="H1790" s="3928" t="s">
        <v>24</v>
      </c>
      <c r="I1790" s="3928" t="s">
        <v>898</v>
      </c>
    </row>
    <row r="1791" spans="1:9" ht="11.25" customHeight="1">
      <c r="A1791" s="3928" t="s">
        <v>2258</v>
      </c>
      <c r="B1791" s="3928" t="s">
        <v>14</v>
      </c>
      <c r="C1791" s="3928" t="s">
        <v>6315</v>
      </c>
      <c r="D1791" s="3928" t="s">
        <v>6316</v>
      </c>
      <c r="E1791" s="3928" t="s">
        <v>5246</v>
      </c>
      <c r="F1791" s="3928" t="s">
        <v>6317</v>
      </c>
      <c r="G1791" s="3928" t="s">
        <v>24</v>
      </c>
      <c r="H1791" s="3928" t="s">
        <v>24</v>
      </c>
      <c r="I1791" s="3928" t="s">
        <v>898</v>
      </c>
    </row>
    <row r="1792" spans="1:9" ht="11.25" customHeight="1">
      <c r="A1792" s="3928" t="s">
        <v>2258</v>
      </c>
      <c r="B1792" s="3928" t="s">
        <v>14</v>
      </c>
      <c r="C1792" s="3928" t="s">
        <v>6326</v>
      </c>
      <c r="D1792" s="3928" t="s">
        <v>6327</v>
      </c>
      <c r="E1792" s="3928" t="s">
        <v>5851</v>
      </c>
      <c r="F1792" s="3928" t="s">
        <v>6328</v>
      </c>
      <c r="G1792" s="3928" t="s">
        <v>24</v>
      </c>
      <c r="H1792" s="3928" t="s">
        <v>24</v>
      </c>
      <c r="I1792" s="3928" t="s">
        <v>898</v>
      </c>
    </row>
    <row r="1793" spans="1:9" ht="11.25" customHeight="1">
      <c r="A1793" s="3928" t="s">
        <v>2258</v>
      </c>
      <c r="B1793" s="3928" t="s">
        <v>14</v>
      </c>
      <c r="C1793" s="3928" t="s">
        <v>6329</v>
      </c>
      <c r="D1793" s="3928" t="s">
        <v>6330</v>
      </c>
      <c r="E1793" s="3928" t="s">
        <v>2400</v>
      </c>
      <c r="F1793" s="3928" t="s">
        <v>2763</v>
      </c>
      <c r="G1793" s="3928" t="s">
        <v>24</v>
      </c>
      <c r="H1793" s="3928" t="s">
        <v>24</v>
      </c>
      <c r="I1793" s="3928" t="s">
        <v>857</v>
      </c>
    </row>
    <row r="1794" spans="1:9" ht="11.25" customHeight="1">
      <c r="A1794" s="3928" t="s">
        <v>2258</v>
      </c>
      <c r="B1794" s="3928" t="s">
        <v>14</v>
      </c>
      <c r="C1794" s="3928" t="s">
        <v>6477</v>
      </c>
      <c r="D1794" s="3928" t="s">
        <v>6478</v>
      </c>
      <c r="E1794" s="3928" t="s">
        <v>6479</v>
      </c>
      <c r="F1794" s="3928" t="s">
        <v>2469</v>
      </c>
      <c r="G1794" s="3928" t="s">
        <v>24</v>
      </c>
      <c r="H1794" s="3928" t="s">
        <v>24</v>
      </c>
      <c r="I1794" s="3928" t="s">
        <v>857</v>
      </c>
    </row>
    <row r="1795" spans="1:9" ht="11.25" customHeight="1">
      <c r="A1795" s="3928" t="s">
        <v>2258</v>
      </c>
      <c r="B1795" s="3928" t="s">
        <v>14</v>
      </c>
      <c r="C1795" s="3928" t="s">
        <v>6480</v>
      </c>
      <c r="D1795" s="3928" t="s">
        <v>6481</v>
      </c>
      <c r="E1795" s="3928" t="s">
        <v>6482</v>
      </c>
      <c r="F1795" s="3928" t="s">
        <v>2907</v>
      </c>
      <c r="G1795" s="3928" t="s">
        <v>24</v>
      </c>
      <c r="H1795" s="3928" t="s">
        <v>24</v>
      </c>
      <c r="I1795" s="3928" t="s">
        <v>857</v>
      </c>
    </row>
    <row r="1796" spans="1:9" ht="11.25" customHeight="1">
      <c r="A1796" s="3928" t="s">
        <v>2258</v>
      </c>
      <c r="B1796" s="3928" t="s">
        <v>14</v>
      </c>
      <c r="C1796" s="3928" t="s">
        <v>6483</v>
      </c>
      <c r="D1796" s="3928" t="s">
        <v>6484</v>
      </c>
      <c r="E1796" s="3928" t="s">
        <v>6485</v>
      </c>
      <c r="F1796" s="3928" t="s">
        <v>49</v>
      </c>
      <c r="G1796" s="3928" t="s">
        <v>24</v>
      </c>
      <c r="H1796" s="3928" t="s">
        <v>2848</v>
      </c>
      <c r="I1796" s="3928" t="s">
        <v>857</v>
      </c>
    </row>
    <row r="1797" spans="1:9" ht="11.25" customHeight="1">
      <c r="A1797" s="3928" t="s">
        <v>2258</v>
      </c>
      <c r="B1797" s="3928" t="s">
        <v>14</v>
      </c>
      <c r="C1797" s="3928" t="s">
        <v>6486</v>
      </c>
      <c r="D1797" s="3928" t="s">
        <v>6487</v>
      </c>
      <c r="E1797" s="3928" t="s">
        <v>6488</v>
      </c>
      <c r="F1797" s="3928" t="s">
        <v>2349</v>
      </c>
      <c r="G1797" s="3928" t="s">
        <v>6489</v>
      </c>
      <c r="H1797" s="3928" t="s">
        <v>3783</v>
      </c>
      <c r="I1797" s="3928" t="s">
        <v>857</v>
      </c>
    </row>
    <row r="1798" spans="1:9" ht="11.25" customHeight="1">
      <c r="A1798" s="3928" t="s">
        <v>2258</v>
      </c>
      <c r="B1798" s="3928" t="s">
        <v>14</v>
      </c>
      <c r="C1798" s="3928" t="s">
        <v>6490</v>
      </c>
      <c r="D1798" s="3928" t="s">
        <v>6491</v>
      </c>
      <c r="E1798" s="3928" t="s">
        <v>6492</v>
      </c>
      <c r="F1798" s="3928" t="s">
        <v>2359</v>
      </c>
      <c r="G1798" s="3928" t="s">
        <v>24</v>
      </c>
      <c r="H1798" s="3928" t="s">
        <v>6493</v>
      </c>
      <c r="I1798" s="3928" t="s">
        <v>857</v>
      </c>
    </row>
    <row r="1799" spans="1:9" ht="11.25" customHeight="1">
      <c r="A1799" s="3928" t="s">
        <v>2258</v>
      </c>
      <c r="B1799" s="3928" t="s">
        <v>14</v>
      </c>
      <c r="C1799" s="3928" t="s">
        <v>2296</v>
      </c>
      <c r="D1799" s="3928" t="s">
        <v>2297</v>
      </c>
      <c r="E1799" s="3928" t="s">
        <v>2298</v>
      </c>
      <c r="F1799" s="3928" t="s">
        <v>2299</v>
      </c>
      <c r="G1799" s="3928" t="s">
        <v>2300</v>
      </c>
      <c r="H1799" s="3928" t="s">
        <v>24</v>
      </c>
      <c r="I1799" s="3928" t="s">
        <v>857</v>
      </c>
    </row>
    <row r="1800" spans="1:9" ht="11.25" customHeight="1">
      <c r="A1800" s="3928" t="s">
        <v>2258</v>
      </c>
      <c r="B1800" s="3928" t="s">
        <v>14</v>
      </c>
      <c r="C1800" s="3928" t="s">
        <v>2301</v>
      </c>
      <c r="D1800" s="3928" t="s">
        <v>2302</v>
      </c>
      <c r="E1800" s="3928" t="s">
        <v>2303</v>
      </c>
      <c r="F1800" s="3928" t="s">
        <v>2304</v>
      </c>
      <c r="G1800" s="3928" t="s">
        <v>2305</v>
      </c>
      <c r="H1800" s="3928" t="s">
        <v>24</v>
      </c>
      <c r="I1800" s="3928" t="s">
        <v>857</v>
      </c>
    </row>
    <row r="1801" spans="1:9" ht="11.25" customHeight="1">
      <c r="A1801" s="3928" t="s">
        <v>2258</v>
      </c>
      <c r="B1801" s="3928" t="s">
        <v>14</v>
      </c>
      <c r="C1801" s="3928" t="s">
        <v>2315</v>
      </c>
      <c r="D1801" s="3928" t="s">
        <v>2316</v>
      </c>
      <c r="E1801" s="3928" t="s">
        <v>2317</v>
      </c>
      <c r="F1801" s="3928" t="s">
        <v>2289</v>
      </c>
      <c r="G1801" s="3928" t="s">
        <v>24</v>
      </c>
      <c r="H1801" s="3928" t="s">
        <v>24</v>
      </c>
      <c r="I1801" s="3928" t="s">
        <v>857</v>
      </c>
    </row>
    <row r="1802" spans="1:9" ht="11.25" customHeight="1">
      <c r="A1802" s="3928" t="s">
        <v>2258</v>
      </c>
      <c r="B1802" s="3928" t="s">
        <v>14</v>
      </c>
      <c r="C1802" s="3928" t="s">
        <v>6494</v>
      </c>
      <c r="D1802" s="3928" t="s">
        <v>6495</v>
      </c>
      <c r="E1802" s="3928" t="s">
        <v>6496</v>
      </c>
      <c r="F1802" s="3928" t="s">
        <v>2304</v>
      </c>
      <c r="G1802" s="3928" t="s">
        <v>6497</v>
      </c>
      <c r="H1802" s="3928" t="s">
        <v>24</v>
      </c>
      <c r="I1802" s="3928" t="s">
        <v>857</v>
      </c>
    </row>
    <row r="1803" spans="1:9" ht="11.25" customHeight="1">
      <c r="A1803" s="3928" t="s">
        <v>2258</v>
      </c>
      <c r="B1803" s="3928" t="s">
        <v>14</v>
      </c>
      <c r="C1803" s="3928" t="s">
        <v>2322</v>
      </c>
      <c r="D1803" s="3928" t="s">
        <v>2323</v>
      </c>
      <c r="E1803" s="3928" t="s">
        <v>2324</v>
      </c>
      <c r="F1803" s="3928" t="s">
        <v>2325</v>
      </c>
      <c r="G1803" s="3928" t="s">
        <v>2326</v>
      </c>
      <c r="H1803" s="3928" t="s">
        <v>2327</v>
      </c>
      <c r="I1803" s="3928" t="s">
        <v>857</v>
      </c>
    </row>
    <row r="1804" spans="1:9" ht="11.25" customHeight="1">
      <c r="A1804" s="3928" t="s">
        <v>2258</v>
      </c>
      <c r="B1804" s="3928" t="s">
        <v>14</v>
      </c>
      <c r="C1804" s="3928" t="s">
        <v>2328</v>
      </c>
      <c r="D1804" s="3928" t="s">
        <v>2329</v>
      </c>
      <c r="E1804" s="3928" t="s">
        <v>2330</v>
      </c>
      <c r="F1804" s="3928" t="s">
        <v>2304</v>
      </c>
      <c r="G1804" s="3928" t="s">
        <v>2331</v>
      </c>
      <c r="H1804" s="3928" t="s">
        <v>24</v>
      </c>
      <c r="I1804" s="3928" t="s">
        <v>857</v>
      </c>
    </row>
    <row r="1805" spans="1:9" ht="11.25" customHeight="1">
      <c r="A1805" s="3928" t="s">
        <v>2258</v>
      </c>
      <c r="B1805" s="3928" t="s">
        <v>14</v>
      </c>
      <c r="C1805" s="3928" t="s">
        <v>2332</v>
      </c>
      <c r="D1805" s="3928" t="s">
        <v>2333</v>
      </c>
      <c r="E1805" s="3928" t="s">
        <v>2334</v>
      </c>
      <c r="F1805" s="3928" t="s">
        <v>2294</v>
      </c>
      <c r="G1805" s="3928" t="s">
        <v>2335</v>
      </c>
      <c r="H1805" s="3928" t="s">
        <v>24</v>
      </c>
      <c r="I1805" s="3928" t="s">
        <v>857</v>
      </c>
    </row>
    <row r="1806" spans="1:9" ht="11.25" customHeight="1">
      <c r="A1806" s="3928" t="s">
        <v>2258</v>
      </c>
      <c r="B1806" s="3928" t="s">
        <v>14</v>
      </c>
      <c r="C1806" s="3928" t="s">
        <v>2336</v>
      </c>
      <c r="D1806" s="3928" t="s">
        <v>2337</v>
      </c>
      <c r="E1806" s="3928" t="s">
        <v>2338</v>
      </c>
      <c r="F1806" s="3928" t="s">
        <v>2339</v>
      </c>
      <c r="G1806" s="3928" t="s">
        <v>2340</v>
      </c>
      <c r="H1806" s="3928" t="s">
        <v>24</v>
      </c>
      <c r="I1806" s="3928" t="s">
        <v>857</v>
      </c>
    </row>
    <row r="1807" spans="1:9" ht="11.25" customHeight="1">
      <c r="A1807" s="3928" t="s">
        <v>2258</v>
      </c>
      <c r="B1807" s="3928" t="s">
        <v>14</v>
      </c>
      <c r="C1807" s="3928" t="s">
        <v>6498</v>
      </c>
      <c r="D1807" s="3928" t="s">
        <v>6499</v>
      </c>
      <c r="E1807" s="3928" t="s">
        <v>6500</v>
      </c>
      <c r="F1807" s="3928" t="s">
        <v>2359</v>
      </c>
      <c r="G1807" s="3928" t="s">
        <v>6501</v>
      </c>
      <c r="H1807" s="3928" t="s">
        <v>24</v>
      </c>
      <c r="I1807" s="3928" t="s">
        <v>857</v>
      </c>
    </row>
    <row r="1808" spans="1:9" ht="11.25" customHeight="1">
      <c r="A1808" s="3928" t="s">
        <v>2258</v>
      </c>
      <c r="B1808" s="3928" t="s">
        <v>14</v>
      </c>
      <c r="C1808" s="3928" t="s">
        <v>2341</v>
      </c>
      <c r="D1808" s="3928" t="s">
        <v>2342</v>
      </c>
      <c r="E1808" s="3928" t="s">
        <v>2343</v>
      </c>
      <c r="F1808" s="3928" t="s">
        <v>2344</v>
      </c>
      <c r="G1808" s="3928" t="s">
        <v>2345</v>
      </c>
      <c r="H1808" s="3928" t="s">
        <v>24</v>
      </c>
      <c r="I1808" s="3928" t="s">
        <v>857</v>
      </c>
    </row>
    <row r="1809" spans="1:9" ht="11.25" customHeight="1">
      <c r="A1809" s="3928" t="s">
        <v>2258</v>
      </c>
      <c r="B1809" s="3928" t="s">
        <v>14</v>
      </c>
      <c r="C1809" s="3928" t="s">
        <v>2351</v>
      </c>
      <c r="D1809" s="3928" t="s">
        <v>2352</v>
      </c>
      <c r="E1809" s="3928" t="s">
        <v>2353</v>
      </c>
      <c r="F1809" s="3928" t="s">
        <v>2354</v>
      </c>
      <c r="G1809" s="3928" t="s">
        <v>2355</v>
      </c>
      <c r="H1809" s="3928" t="s">
        <v>24</v>
      </c>
      <c r="I1809" s="3928" t="s">
        <v>857</v>
      </c>
    </row>
    <row r="1810" spans="1:9" ht="11.25" customHeight="1">
      <c r="A1810" s="3928" t="s">
        <v>2258</v>
      </c>
      <c r="B1810" s="3928" t="s">
        <v>14</v>
      </c>
      <c r="C1810" s="3928" t="s">
        <v>2361</v>
      </c>
      <c r="D1810" s="3928" t="s">
        <v>2362</v>
      </c>
      <c r="E1810" s="3928" t="s">
        <v>2363</v>
      </c>
      <c r="F1810" s="3928" t="s">
        <v>2294</v>
      </c>
      <c r="G1810" s="3928" t="s">
        <v>2364</v>
      </c>
      <c r="H1810" s="3928" t="s">
        <v>24</v>
      </c>
      <c r="I1810" s="3928" t="s">
        <v>857</v>
      </c>
    </row>
    <row r="1811" spans="1:9" ht="11.25" customHeight="1">
      <c r="A1811" s="3928" t="s">
        <v>2258</v>
      </c>
      <c r="B1811" s="3928" t="s">
        <v>14</v>
      </c>
      <c r="C1811" s="3928" t="s">
        <v>2365</v>
      </c>
      <c r="D1811" s="3928" t="s">
        <v>2366</v>
      </c>
      <c r="E1811" s="3928" t="s">
        <v>2367</v>
      </c>
      <c r="F1811" s="3928" t="s">
        <v>2368</v>
      </c>
      <c r="G1811" s="3928" t="s">
        <v>24</v>
      </c>
      <c r="H1811" s="3928" t="s">
        <v>24</v>
      </c>
      <c r="I1811" s="3928" t="s">
        <v>857</v>
      </c>
    </row>
    <row r="1812" spans="1:9" ht="11.25" customHeight="1">
      <c r="A1812" s="3928" t="s">
        <v>2258</v>
      </c>
      <c r="B1812" s="3928" t="s">
        <v>14</v>
      </c>
      <c r="C1812" s="3928" t="s">
        <v>6502</v>
      </c>
      <c r="D1812" s="3928" t="s">
        <v>6503</v>
      </c>
      <c r="E1812" s="3928" t="s">
        <v>6504</v>
      </c>
      <c r="F1812" s="3928" t="s">
        <v>2294</v>
      </c>
      <c r="G1812" s="3928" t="s">
        <v>6505</v>
      </c>
      <c r="H1812" s="3928" t="s">
        <v>24</v>
      </c>
      <c r="I1812" s="3928" t="s">
        <v>857</v>
      </c>
    </row>
    <row r="1813" spans="1:9" ht="11.25" customHeight="1">
      <c r="A1813" s="3928" t="s">
        <v>2258</v>
      </c>
      <c r="B1813" s="3928" t="s">
        <v>14</v>
      </c>
      <c r="C1813" s="3928" t="s">
        <v>6506</v>
      </c>
      <c r="D1813" s="3928" t="s">
        <v>6507</v>
      </c>
      <c r="E1813" s="3928" t="s">
        <v>6508</v>
      </c>
      <c r="F1813" s="3928" t="s">
        <v>2587</v>
      </c>
      <c r="G1813" s="3928" t="s">
        <v>6509</v>
      </c>
      <c r="H1813" s="3928" t="s">
        <v>24</v>
      </c>
      <c r="I1813" s="3928" t="s">
        <v>857</v>
      </c>
    </row>
    <row r="1814" spans="1:9" ht="11.25" customHeight="1">
      <c r="A1814" s="3928" t="s">
        <v>2258</v>
      </c>
      <c r="B1814" s="3928" t="s">
        <v>14</v>
      </c>
      <c r="C1814" s="3928" t="s">
        <v>6510</v>
      </c>
      <c r="D1814" s="3928" t="s">
        <v>6507</v>
      </c>
      <c r="E1814" s="3928" t="s">
        <v>6511</v>
      </c>
      <c r="F1814" s="3928" t="s">
        <v>2294</v>
      </c>
      <c r="G1814" s="3928" t="s">
        <v>6512</v>
      </c>
      <c r="H1814" s="3928" t="s">
        <v>24</v>
      </c>
      <c r="I1814" s="3928" t="s">
        <v>857</v>
      </c>
    </row>
    <row r="1815" spans="1:9" ht="11.25" customHeight="1">
      <c r="A1815" s="3928" t="s">
        <v>2258</v>
      </c>
      <c r="B1815" s="3928" t="s">
        <v>14</v>
      </c>
      <c r="C1815" s="3928" t="s">
        <v>6513</v>
      </c>
      <c r="D1815" s="3928" t="s">
        <v>6514</v>
      </c>
      <c r="E1815" s="3928" t="s">
        <v>6515</v>
      </c>
      <c r="F1815" s="3928" t="s">
        <v>2567</v>
      </c>
      <c r="G1815" s="3928" t="s">
        <v>24</v>
      </c>
      <c r="H1815" s="3928" t="s">
        <v>24</v>
      </c>
      <c r="I1815" s="3928" t="s">
        <v>857</v>
      </c>
    </row>
    <row r="1816" spans="1:9" ht="11.25" customHeight="1">
      <c r="A1816" s="3928" t="s">
        <v>2258</v>
      </c>
      <c r="B1816" s="3928" t="s">
        <v>14</v>
      </c>
      <c r="C1816" s="3928" t="s">
        <v>2372</v>
      </c>
      <c r="D1816" s="3928" t="s">
        <v>2373</v>
      </c>
      <c r="E1816" s="3928" t="s">
        <v>2374</v>
      </c>
      <c r="F1816" s="3928" t="s">
        <v>2375</v>
      </c>
      <c r="G1816" s="3928" t="s">
        <v>2376</v>
      </c>
      <c r="H1816" s="3928" t="s">
        <v>24</v>
      </c>
      <c r="I1816" s="3928" t="s">
        <v>857</v>
      </c>
    </row>
    <row r="1817" spans="1:9" ht="11.25" customHeight="1">
      <c r="A1817" s="3928" t="s">
        <v>2258</v>
      </c>
      <c r="B1817" s="3928" t="s">
        <v>14</v>
      </c>
      <c r="C1817" s="3928" t="s">
        <v>6516</v>
      </c>
      <c r="D1817" s="3928" t="s">
        <v>6517</v>
      </c>
      <c r="E1817" s="3928" t="s">
        <v>6492</v>
      </c>
      <c r="F1817" s="3928" t="s">
        <v>6518</v>
      </c>
      <c r="G1817" s="3928" t="s">
        <v>6519</v>
      </c>
      <c r="H1817" s="3928" t="s">
        <v>2263</v>
      </c>
      <c r="I1817" s="3928" t="s">
        <v>857</v>
      </c>
    </row>
    <row r="1818" spans="1:9" ht="11.25" customHeight="1">
      <c r="A1818" s="3928" t="s">
        <v>2258</v>
      </c>
      <c r="B1818" s="3928" t="s">
        <v>14</v>
      </c>
      <c r="C1818" s="3928" t="s">
        <v>6520</v>
      </c>
      <c r="D1818" s="3928" t="s">
        <v>6517</v>
      </c>
      <c r="E1818" s="3928" t="s">
        <v>6521</v>
      </c>
      <c r="F1818" s="3928" t="s">
        <v>6522</v>
      </c>
      <c r="G1818" s="3928" t="s">
        <v>24</v>
      </c>
      <c r="H1818" s="3928" t="s">
        <v>24</v>
      </c>
      <c r="I1818" s="3928" t="s">
        <v>857</v>
      </c>
    </row>
    <row r="1819" spans="1:9" ht="11.25" customHeight="1">
      <c r="A1819" s="3928" t="s">
        <v>2258</v>
      </c>
      <c r="B1819" s="3928" t="s">
        <v>14</v>
      </c>
      <c r="C1819" s="3928" t="s">
        <v>2390</v>
      </c>
      <c r="D1819" s="3928" t="s">
        <v>2391</v>
      </c>
      <c r="E1819" s="3928" t="s">
        <v>2392</v>
      </c>
      <c r="F1819" s="3928" t="s">
        <v>2393</v>
      </c>
      <c r="G1819" s="3928" t="s">
        <v>24</v>
      </c>
      <c r="H1819" s="3928" t="s">
        <v>24</v>
      </c>
      <c r="I1819" s="3928" t="s">
        <v>857</v>
      </c>
    </row>
    <row r="1820" spans="1:9" ht="11.25" customHeight="1">
      <c r="A1820" s="3928" t="s">
        <v>2258</v>
      </c>
      <c r="B1820" s="3928" t="s">
        <v>14</v>
      </c>
      <c r="C1820" s="3928" t="s">
        <v>2398</v>
      </c>
      <c r="D1820" s="3928" t="s">
        <v>2399</v>
      </c>
      <c r="E1820" s="3928" t="s">
        <v>2400</v>
      </c>
      <c r="F1820" s="3928" t="s">
        <v>2393</v>
      </c>
      <c r="G1820" s="3928" t="s">
        <v>2401</v>
      </c>
      <c r="H1820" s="3928" t="s">
        <v>24</v>
      </c>
      <c r="I1820" s="3928" t="s">
        <v>857</v>
      </c>
    </row>
    <row r="1821" spans="1:9" ht="11.25" customHeight="1">
      <c r="A1821" s="3928" t="s">
        <v>2258</v>
      </c>
      <c r="B1821" s="3928" t="s">
        <v>14</v>
      </c>
      <c r="C1821" s="3928" t="s">
        <v>6523</v>
      </c>
      <c r="D1821" s="3928" t="s">
        <v>6524</v>
      </c>
      <c r="E1821" s="3928" t="s">
        <v>6525</v>
      </c>
      <c r="F1821" s="3928" t="s">
        <v>2289</v>
      </c>
      <c r="G1821" s="3928" t="s">
        <v>24</v>
      </c>
      <c r="H1821" s="3928" t="s">
        <v>24</v>
      </c>
      <c r="I1821" s="3928" t="s">
        <v>857</v>
      </c>
    </row>
    <row r="1822" spans="1:9" ht="11.25" customHeight="1">
      <c r="A1822" s="3928" t="s">
        <v>2258</v>
      </c>
      <c r="B1822" s="3928" t="s">
        <v>14</v>
      </c>
      <c r="C1822" s="3928" t="s">
        <v>2402</v>
      </c>
      <c r="D1822" s="3928" t="s">
        <v>2403</v>
      </c>
      <c r="E1822" s="3928" t="s">
        <v>2404</v>
      </c>
      <c r="F1822" s="3928" t="s">
        <v>2405</v>
      </c>
      <c r="G1822" s="3928" t="s">
        <v>24</v>
      </c>
      <c r="H1822" s="3928" t="s">
        <v>24</v>
      </c>
      <c r="I1822" s="3928" t="s">
        <v>857</v>
      </c>
    </row>
    <row r="1823" spans="1:9" ht="11.25" customHeight="1">
      <c r="A1823" s="3928" t="s">
        <v>2258</v>
      </c>
      <c r="B1823" s="3928" t="s">
        <v>14</v>
      </c>
      <c r="C1823" s="3928" t="s">
        <v>2406</v>
      </c>
      <c r="D1823" s="3928" t="s">
        <v>2407</v>
      </c>
      <c r="E1823" s="3928" t="s">
        <v>2408</v>
      </c>
      <c r="F1823" s="3928" t="s">
        <v>2409</v>
      </c>
      <c r="G1823" s="3928" t="s">
        <v>2410</v>
      </c>
      <c r="H1823" s="3928" t="s">
        <v>24</v>
      </c>
      <c r="I1823" s="3928" t="s">
        <v>857</v>
      </c>
    </row>
    <row r="1824" spans="1:9" ht="11.25" customHeight="1">
      <c r="A1824" s="3928" t="s">
        <v>2258</v>
      </c>
      <c r="B1824" s="3928" t="s">
        <v>14</v>
      </c>
      <c r="C1824" s="3928" t="s">
        <v>2426</v>
      </c>
      <c r="D1824" s="3928" t="s">
        <v>2427</v>
      </c>
      <c r="E1824" s="3928" t="s">
        <v>2428</v>
      </c>
      <c r="F1824" s="3928" t="s">
        <v>2429</v>
      </c>
      <c r="G1824" s="3928" t="s">
        <v>2430</v>
      </c>
      <c r="H1824" s="3928" t="s">
        <v>24</v>
      </c>
      <c r="I1824" s="3928" t="s">
        <v>857</v>
      </c>
    </row>
    <row r="1825" spans="1:9" ht="11.25" customHeight="1">
      <c r="A1825" s="3928" t="s">
        <v>2258</v>
      </c>
      <c r="B1825" s="3928" t="s">
        <v>14</v>
      </c>
      <c r="C1825" s="3928" t="s">
        <v>6526</v>
      </c>
      <c r="D1825" s="3928" t="s">
        <v>6527</v>
      </c>
      <c r="E1825" s="3928" t="s">
        <v>6528</v>
      </c>
      <c r="F1825" s="3928" t="s">
        <v>2289</v>
      </c>
      <c r="G1825" s="3928" t="s">
        <v>6529</v>
      </c>
      <c r="H1825" s="3928" t="s">
        <v>24</v>
      </c>
      <c r="I1825" s="3928" t="s">
        <v>857</v>
      </c>
    </row>
    <row r="1826" spans="1:9" ht="11.25" customHeight="1">
      <c r="A1826" s="3928" t="s">
        <v>2258</v>
      </c>
      <c r="B1826" s="3928" t="s">
        <v>14</v>
      </c>
      <c r="C1826" s="3928" t="s">
        <v>2431</v>
      </c>
      <c r="D1826" s="3928" t="s">
        <v>2432</v>
      </c>
      <c r="E1826" s="3928" t="s">
        <v>2433</v>
      </c>
      <c r="F1826" s="3928" t="s">
        <v>2289</v>
      </c>
      <c r="G1826" s="3928" t="s">
        <v>2434</v>
      </c>
      <c r="H1826" s="3928" t="s">
        <v>24</v>
      </c>
      <c r="I1826" s="3928" t="s">
        <v>857</v>
      </c>
    </row>
    <row r="1827" spans="1:9" ht="11.25" customHeight="1">
      <c r="A1827" s="3928" t="s">
        <v>2258</v>
      </c>
      <c r="B1827" s="3928" t="s">
        <v>14</v>
      </c>
      <c r="C1827" s="3928" t="s">
        <v>6530</v>
      </c>
      <c r="D1827" s="3928" t="s">
        <v>6531</v>
      </c>
      <c r="E1827" s="3928" t="s">
        <v>6532</v>
      </c>
      <c r="F1827" s="3928" t="s">
        <v>2587</v>
      </c>
      <c r="G1827" s="3928" t="s">
        <v>6533</v>
      </c>
      <c r="H1827" s="3928" t="s">
        <v>24</v>
      </c>
      <c r="I1827" s="3928" t="s">
        <v>857</v>
      </c>
    </row>
    <row r="1828" spans="1:9" ht="11.25" customHeight="1">
      <c r="A1828" s="3928" t="s">
        <v>2258</v>
      </c>
      <c r="B1828" s="3928" t="s">
        <v>14</v>
      </c>
      <c r="C1828" s="3928" t="s">
        <v>6534</v>
      </c>
      <c r="D1828" s="3928" t="s">
        <v>6535</v>
      </c>
      <c r="E1828" s="3928" t="s">
        <v>6536</v>
      </c>
      <c r="F1828" s="3928" t="s">
        <v>3275</v>
      </c>
      <c r="G1828" s="3928" t="s">
        <v>24</v>
      </c>
      <c r="H1828" s="3928" t="s">
        <v>24</v>
      </c>
      <c r="I1828" s="3928" t="s">
        <v>857</v>
      </c>
    </row>
    <row r="1829" spans="1:9" ht="11.25" customHeight="1">
      <c r="A1829" s="3928" t="s">
        <v>2258</v>
      </c>
      <c r="B1829" s="3928" t="s">
        <v>14</v>
      </c>
      <c r="C1829" s="3928" t="s">
        <v>6537</v>
      </c>
      <c r="D1829" s="3928" t="s">
        <v>6538</v>
      </c>
      <c r="E1829" s="3928" t="s">
        <v>6539</v>
      </c>
      <c r="F1829" s="3928" t="s">
        <v>6253</v>
      </c>
      <c r="G1829" s="3928" t="s">
        <v>24</v>
      </c>
      <c r="H1829" s="3928" t="s">
        <v>24</v>
      </c>
      <c r="I1829" s="3928" t="s">
        <v>857</v>
      </c>
    </row>
    <row r="1830" spans="1:9" ht="11.25" customHeight="1">
      <c r="A1830" s="3928" t="s">
        <v>2258</v>
      </c>
      <c r="B1830" s="3928" t="s">
        <v>14</v>
      </c>
      <c r="C1830" s="3928" t="s">
        <v>2461</v>
      </c>
      <c r="D1830" s="3928" t="s">
        <v>2462</v>
      </c>
      <c r="E1830" s="3928" t="s">
        <v>2463</v>
      </c>
      <c r="F1830" s="3928" t="s">
        <v>2464</v>
      </c>
      <c r="G1830" s="3928" t="s">
        <v>2465</v>
      </c>
      <c r="H1830" s="3928" t="s">
        <v>24</v>
      </c>
      <c r="I1830" s="3928" t="s">
        <v>857</v>
      </c>
    </row>
    <row r="1831" spans="1:9" ht="11.25" customHeight="1">
      <c r="A1831" s="3928" t="s">
        <v>2258</v>
      </c>
      <c r="B1831" s="3928" t="s">
        <v>14</v>
      </c>
      <c r="C1831" s="3928" t="s">
        <v>2466</v>
      </c>
      <c r="D1831" s="3928" t="s">
        <v>2467</v>
      </c>
      <c r="E1831" s="3928" t="s">
        <v>2468</v>
      </c>
      <c r="F1831" s="3928" t="s">
        <v>2469</v>
      </c>
      <c r="G1831" s="3928" t="s">
        <v>24</v>
      </c>
      <c r="H1831" s="3928" t="s">
        <v>24</v>
      </c>
      <c r="I1831" s="3928" t="s">
        <v>857</v>
      </c>
    </row>
    <row r="1832" spans="1:9" ht="11.25" customHeight="1">
      <c r="A1832" s="3928" t="s">
        <v>2258</v>
      </c>
      <c r="B1832" s="3928" t="s">
        <v>14</v>
      </c>
      <c r="C1832" s="3928" t="s">
        <v>6540</v>
      </c>
      <c r="D1832" s="3928" t="s">
        <v>6541</v>
      </c>
      <c r="E1832" s="3928" t="s">
        <v>6542</v>
      </c>
      <c r="F1832" s="3928" t="s">
        <v>2587</v>
      </c>
      <c r="G1832" s="3928" t="s">
        <v>6543</v>
      </c>
      <c r="H1832" s="3928" t="s">
        <v>24</v>
      </c>
      <c r="I1832" s="3928" t="s">
        <v>857</v>
      </c>
    </row>
    <row r="1833" spans="1:9" ht="11.25" customHeight="1">
      <c r="A1833" s="3928" t="s">
        <v>2258</v>
      </c>
      <c r="B1833" s="3928" t="s">
        <v>14</v>
      </c>
      <c r="C1833" s="3928" t="s">
        <v>2470</v>
      </c>
      <c r="D1833" s="3928" t="s">
        <v>2471</v>
      </c>
      <c r="E1833" s="3928" t="s">
        <v>2472</v>
      </c>
      <c r="F1833" s="3928" t="s">
        <v>2473</v>
      </c>
      <c r="G1833" s="3928" t="s">
        <v>2474</v>
      </c>
      <c r="H1833" s="3928" t="s">
        <v>2475</v>
      </c>
      <c r="I1833" s="3928" t="s">
        <v>857</v>
      </c>
    </row>
    <row r="1834" spans="1:9" ht="11.25" customHeight="1">
      <c r="A1834" s="3928" t="s">
        <v>2258</v>
      </c>
      <c r="B1834" s="3928" t="s">
        <v>14</v>
      </c>
      <c r="C1834" s="3928" t="s">
        <v>2476</v>
      </c>
      <c r="D1834" s="3928" t="s">
        <v>2477</v>
      </c>
      <c r="E1834" s="3928" t="s">
        <v>2478</v>
      </c>
      <c r="F1834" s="3928" t="s">
        <v>2479</v>
      </c>
      <c r="G1834" s="3928" t="s">
        <v>24</v>
      </c>
      <c r="H1834" s="3928" t="s">
        <v>24</v>
      </c>
      <c r="I1834" s="3928" t="s">
        <v>857</v>
      </c>
    </row>
    <row r="1835" spans="1:9" ht="11.25" customHeight="1">
      <c r="A1835" s="3928" t="s">
        <v>2258</v>
      </c>
      <c r="B1835" s="3928" t="s">
        <v>14</v>
      </c>
      <c r="C1835" s="3928" t="s">
        <v>6544</v>
      </c>
      <c r="D1835" s="3928" t="s">
        <v>6545</v>
      </c>
      <c r="E1835" s="3928" t="s">
        <v>6546</v>
      </c>
      <c r="F1835" s="3928" t="s">
        <v>2294</v>
      </c>
      <c r="G1835" s="3928" t="s">
        <v>6547</v>
      </c>
      <c r="H1835" s="3928" t="s">
        <v>24</v>
      </c>
      <c r="I1835" s="3928" t="s">
        <v>857</v>
      </c>
    </row>
    <row r="1836" spans="1:9" ht="11.25" customHeight="1">
      <c r="A1836" s="3928" t="s">
        <v>2258</v>
      </c>
      <c r="B1836" s="3928" t="s">
        <v>14</v>
      </c>
      <c r="C1836" s="3928" t="s">
        <v>2492</v>
      </c>
      <c r="D1836" s="3928" t="s">
        <v>2493</v>
      </c>
      <c r="E1836" s="3928" t="s">
        <v>2494</v>
      </c>
      <c r="F1836" s="3928" t="s">
        <v>2304</v>
      </c>
      <c r="G1836" s="3928" t="s">
        <v>2495</v>
      </c>
      <c r="H1836" s="3928" t="s">
        <v>24</v>
      </c>
      <c r="I1836" s="3928" t="s">
        <v>857</v>
      </c>
    </row>
    <row r="1837" spans="1:9" ht="11.25" customHeight="1">
      <c r="A1837" s="3928" t="s">
        <v>2258</v>
      </c>
      <c r="B1837" s="3928" t="s">
        <v>14</v>
      </c>
      <c r="C1837" s="3928" t="s">
        <v>6548</v>
      </c>
      <c r="D1837" s="3928" t="s">
        <v>6549</v>
      </c>
      <c r="E1837" s="3928" t="s">
        <v>6550</v>
      </c>
      <c r="F1837" s="3928" t="s">
        <v>6551</v>
      </c>
      <c r="G1837" s="3928" t="s">
        <v>6552</v>
      </c>
      <c r="H1837" s="3928" t="s">
        <v>24</v>
      </c>
      <c r="I1837" s="3928" t="s">
        <v>857</v>
      </c>
    </row>
    <row r="1838" spans="1:9" ht="11.25" customHeight="1">
      <c r="A1838" s="3928" t="s">
        <v>2258</v>
      </c>
      <c r="B1838" s="3928" t="s">
        <v>14</v>
      </c>
      <c r="C1838" s="3928" t="s">
        <v>6553</v>
      </c>
      <c r="D1838" s="3928" t="s">
        <v>6554</v>
      </c>
      <c r="E1838" s="3928" t="s">
        <v>6555</v>
      </c>
      <c r="F1838" s="3928" t="s">
        <v>2473</v>
      </c>
      <c r="G1838" s="3928" t="s">
        <v>2502</v>
      </c>
      <c r="H1838" s="3928" t="s">
        <v>24</v>
      </c>
      <c r="I1838" s="3928" t="s">
        <v>857</v>
      </c>
    </row>
    <row r="1839" spans="1:9" ht="11.25" customHeight="1">
      <c r="A1839" s="3928" t="s">
        <v>2258</v>
      </c>
      <c r="B1839" s="3928" t="s">
        <v>14</v>
      </c>
      <c r="C1839" s="3928" t="s">
        <v>2503</v>
      </c>
      <c r="D1839" s="3928" t="s">
        <v>2504</v>
      </c>
      <c r="E1839" s="3928" t="s">
        <v>2505</v>
      </c>
      <c r="F1839" s="3928" t="s">
        <v>2469</v>
      </c>
      <c r="G1839" s="3928" t="s">
        <v>24</v>
      </c>
      <c r="H1839" s="3928" t="s">
        <v>24</v>
      </c>
      <c r="I1839" s="3928" t="s">
        <v>857</v>
      </c>
    </row>
    <row r="1840" spans="1:9" ht="11.25" customHeight="1">
      <c r="A1840" s="3928" t="s">
        <v>2258</v>
      </c>
      <c r="B1840" s="3928" t="s">
        <v>14</v>
      </c>
      <c r="C1840" s="3928" t="s">
        <v>2506</v>
      </c>
      <c r="D1840" s="3928" t="s">
        <v>2507</v>
      </c>
      <c r="E1840" s="3928" t="s">
        <v>2508</v>
      </c>
      <c r="F1840" s="3928" t="s">
        <v>2344</v>
      </c>
      <c r="G1840" s="3928" t="s">
        <v>2509</v>
      </c>
      <c r="H1840" s="3928" t="s">
        <v>24</v>
      </c>
      <c r="I1840" s="3928" t="s">
        <v>857</v>
      </c>
    </row>
    <row r="1841" spans="1:9" ht="11.25" customHeight="1">
      <c r="A1841" s="3928" t="s">
        <v>2258</v>
      </c>
      <c r="B1841" s="3928" t="s">
        <v>14</v>
      </c>
      <c r="C1841" s="3928" t="s">
        <v>2515</v>
      </c>
      <c r="D1841" s="3928" t="s">
        <v>2516</v>
      </c>
      <c r="E1841" s="3928" t="s">
        <v>2517</v>
      </c>
      <c r="F1841" s="3928" t="s">
        <v>2262</v>
      </c>
      <c r="G1841" s="3928" t="s">
        <v>2518</v>
      </c>
      <c r="H1841" s="3928" t="s">
        <v>24</v>
      </c>
      <c r="I1841" s="3928" t="s">
        <v>857</v>
      </c>
    </row>
    <row r="1842" spans="1:9" ht="11.25" customHeight="1">
      <c r="A1842" s="3928" t="s">
        <v>2258</v>
      </c>
      <c r="B1842" s="3928" t="s">
        <v>14</v>
      </c>
      <c r="C1842" s="3928" t="s">
        <v>2519</v>
      </c>
      <c r="D1842" s="3928" t="s">
        <v>2520</v>
      </c>
      <c r="E1842" s="3928" t="s">
        <v>2521</v>
      </c>
      <c r="F1842" s="3928" t="s">
        <v>2522</v>
      </c>
      <c r="G1842" s="3928" t="s">
        <v>2523</v>
      </c>
      <c r="H1842" s="3928" t="s">
        <v>24</v>
      </c>
      <c r="I1842" s="3928" t="s">
        <v>857</v>
      </c>
    </row>
    <row r="1843" spans="1:9" ht="11.25" customHeight="1">
      <c r="A1843" s="3928" t="s">
        <v>2258</v>
      </c>
      <c r="B1843" s="3928" t="s">
        <v>14</v>
      </c>
      <c r="C1843" s="3928" t="s">
        <v>2524</v>
      </c>
      <c r="D1843" s="3928" t="s">
        <v>2525</v>
      </c>
      <c r="E1843" s="3928" t="s">
        <v>2526</v>
      </c>
      <c r="F1843" s="3928" t="s">
        <v>2527</v>
      </c>
      <c r="G1843" s="3928" t="s">
        <v>24</v>
      </c>
      <c r="H1843" s="3928" t="s">
        <v>24</v>
      </c>
      <c r="I1843" s="3928" t="s">
        <v>857</v>
      </c>
    </row>
    <row r="1844" spans="1:9" ht="11.25" customHeight="1">
      <c r="A1844" s="3928" t="s">
        <v>2258</v>
      </c>
      <c r="B1844" s="3928" t="s">
        <v>14</v>
      </c>
      <c r="C1844" s="3928" t="s">
        <v>2528</v>
      </c>
      <c r="D1844" s="3928" t="s">
        <v>2529</v>
      </c>
      <c r="E1844" s="3928" t="s">
        <v>2530</v>
      </c>
      <c r="F1844" s="3928" t="s">
        <v>2473</v>
      </c>
      <c r="G1844" s="3928" t="s">
        <v>2531</v>
      </c>
      <c r="H1844" s="3928" t="s">
        <v>24</v>
      </c>
      <c r="I1844" s="3928" t="s">
        <v>857</v>
      </c>
    </row>
    <row r="1845" spans="1:9" ht="11.25" customHeight="1">
      <c r="A1845" s="3928" t="s">
        <v>2258</v>
      </c>
      <c r="B1845" s="3928" t="s">
        <v>14</v>
      </c>
      <c r="C1845" s="3928" t="s">
        <v>2537</v>
      </c>
      <c r="D1845" s="3928" t="s">
        <v>2538</v>
      </c>
      <c r="E1845" s="3928" t="s">
        <v>2539</v>
      </c>
      <c r="F1845" s="3928" t="s">
        <v>2513</v>
      </c>
      <c r="G1845" s="3928" t="s">
        <v>2540</v>
      </c>
      <c r="H1845" s="3928" t="s">
        <v>24</v>
      </c>
      <c r="I1845" s="3928" t="s">
        <v>857</v>
      </c>
    </row>
    <row r="1846" spans="1:9" ht="11.25" customHeight="1">
      <c r="A1846" s="3928" t="s">
        <v>2258</v>
      </c>
      <c r="B1846" s="3928" t="s">
        <v>14</v>
      </c>
      <c r="C1846" s="3928" t="s">
        <v>2541</v>
      </c>
      <c r="D1846" s="3928" t="s">
        <v>2542</v>
      </c>
      <c r="E1846" s="3928" t="s">
        <v>2543</v>
      </c>
      <c r="F1846" s="3928" t="s">
        <v>2544</v>
      </c>
      <c r="G1846" s="3928" t="s">
        <v>24</v>
      </c>
      <c r="H1846" s="3928" t="s">
        <v>24</v>
      </c>
      <c r="I1846" s="3928" t="s">
        <v>857</v>
      </c>
    </row>
    <row r="1847" spans="1:9" ht="11.25" customHeight="1">
      <c r="A1847" s="3928" t="s">
        <v>2258</v>
      </c>
      <c r="B1847" s="3928" t="s">
        <v>14</v>
      </c>
      <c r="C1847" s="3928" t="s">
        <v>2549</v>
      </c>
      <c r="D1847" s="3928" t="s">
        <v>2550</v>
      </c>
      <c r="E1847" s="3928" t="s">
        <v>2551</v>
      </c>
      <c r="F1847" s="3928" t="s">
        <v>2552</v>
      </c>
      <c r="G1847" s="3928" t="s">
        <v>2553</v>
      </c>
      <c r="H1847" s="3928" t="s">
        <v>24</v>
      </c>
      <c r="I1847" s="3928" t="s">
        <v>857</v>
      </c>
    </row>
    <row r="1848" spans="1:9" ht="11.25" customHeight="1">
      <c r="A1848" s="3928" t="s">
        <v>2258</v>
      </c>
      <c r="B1848" s="3928" t="s">
        <v>14</v>
      </c>
      <c r="C1848" s="3928" t="s">
        <v>6556</v>
      </c>
      <c r="D1848" s="3928" t="s">
        <v>6557</v>
      </c>
      <c r="E1848" s="3928" t="s">
        <v>6558</v>
      </c>
      <c r="F1848" s="3928" t="s">
        <v>3370</v>
      </c>
      <c r="G1848" s="3928" t="s">
        <v>24</v>
      </c>
      <c r="H1848" s="3928" t="s">
        <v>24</v>
      </c>
      <c r="I1848" s="3928" t="s">
        <v>857</v>
      </c>
    </row>
    <row r="1849" spans="1:9" ht="11.25" customHeight="1">
      <c r="A1849" s="3928" t="s">
        <v>2258</v>
      </c>
      <c r="B1849" s="3928" t="s">
        <v>14</v>
      </c>
      <c r="C1849" s="3928" t="s">
        <v>2554</v>
      </c>
      <c r="D1849" s="3928" t="s">
        <v>2555</v>
      </c>
      <c r="E1849" s="3928" t="s">
        <v>2556</v>
      </c>
      <c r="F1849" s="3928" t="s">
        <v>2309</v>
      </c>
      <c r="G1849" s="3928" t="s">
        <v>2557</v>
      </c>
      <c r="H1849" s="3928" t="s">
        <v>24</v>
      </c>
      <c r="I1849" s="3928" t="s">
        <v>857</v>
      </c>
    </row>
    <row r="1850" spans="1:9" ht="11.25" customHeight="1">
      <c r="A1850" s="3928" t="s">
        <v>2258</v>
      </c>
      <c r="B1850" s="3928" t="s">
        <v>14</v>
      </c>
      <c r="C1850" s="3928" t="s">
        <v>2558</v>
      </c>
      <c r="D1850" s="3928" t="s">
        <v>2559</v>
      </c>
      <c r="E1850" s="3928" t="s">
        <v>2560</v>
      </c>
      <c r="F1850" s="3928" t="s">
        <v>2262</v>
      </c>
      <c r="G1850" s="3928" t="s">
        <v>2561</v>
      </c>
      <c r="H1850" s="3928" t="s">
        <v>24</v>
      </c>
      <c r="I1850" s="3928" t="s">
        <v>857</v>
      </c>
    </row>
    <row r="1851" spans="1:9" ht="11.25" customHeight="1">
      <c r="A1851" s="3928" t="s">
        <v>2258</v>
      </c>
      <c r="B1851" s="3928" t="s">
        <v>14</v>
      </c>
      <c r="C1851" s="3928" t="s">
        <v>2562</v>
      </c>
      <c r="D1851" s="3928" t="s">
        <v>2563</v>
      </c>
      <c r="E1851" s="3928" t="s">
        <v>2275</v>
      </c>
      <c r="F1851" s="3928" t="s">
        <v>2344</v>
      </c>
      <c r="G1851" s="3928" t="s">
        <v>2277</v>
      </c>
      <c r="H1851" s="3928" t="s">
        <v>24</v>
      </c>
      <c r="I1851" s="3928" t="s">
        <v>857</v>
      </c>
    </row>
    <row r="1852" spans="1:9" ht="11.25" customHeight="1">
      <c r="A1852" s="3928" t="s">
        <v>2258</v>
      </c>
      <c r="B1852" s="3928" t="s">
        <v>14</v>
      </c>
      <c r="C1852" s="3928" t="s">
        <v>6559</v>
      </c>
      <c r="D1852" s="3928" t="s">
        <v>6560</v>
      </c>
      <c r="E1852" s="3928" t="s">
        <v>6561</v>
      </c>
      <c r="F1852" s="3928" t="s">
        <v>2409</v>
      </c>
      <c r="G1852" s="3928" t="s">
        <v>6562</v>
      </c>
      <c r="H1852" s="3928" t="s">
        <v>24</v>
      </c>
      <c r="I1852" s="3928" t="s">
        <v>857</v>
      </c>
    </row>
    <row r="1853" spans="1:9" ht="11.25" customHeight="1">
      <c r="A1853" s="3928" t="s">
        <v>2258</v>
      </c>
      <c r="B1853" s="3928" t="s">
        <v>14</v>
      </c>
      <c r="C1853" s="3928" t="s">
        <v>2589</v>
      </c>
      <c r="D1853" s="3928" t="s">
        <v>2590</v>
      </c>
      <c r="E1853" s="3928" t="s">
        <v>2591</v>
      </c>
      <c r="F1853" s="3928" t="s">
        <v>2486</v>
      </c>
      <c r="G1853" s="3928" t="s">
        <v>2592</v>
      </c>
      <c r="H1853" s="3928" t="s">
        <v>24</v>
      </c>
      <c r="I1853" s="3928" t="s">
        <v>857</v>
      </c>
    </row>
    <row r="1854" spans="1:9" ht="11.25" customHeight="1">
      <c r="A1854" s="3928" t="s">
        <v>2258</v>
      </c>
      <c r="B1854" s="3928" t="s">
        <v>14</v>
      </c>
      <c r="C1854" s="3928" t="s">
        <v>2603</v>
      </c>
      <c r="D1854" s="3928" t="s">
        <v>2604</v>
      </c>
      <c r="E1854" s="3928" t="s">
        <v>2605</v>
      </c>
      <c r="F1854" s="3928" t="s">
        <v>2294</v>
      </c>
      <c r="G1854" s="3928" t="s">
        <v>2606</v>
      </c>
      <c r="H1854" s="3928" t="s">
        <v>24</v>
      </c>
      <c r="I1854" s="3928" t="s">
        <v>857</v>
      </c>
    </row>
    <row r="1855" spans="1:9" ht="11.25" customHeight="1">
      <c r="A1855" s="3928" t="s">
        <v>2258</v>
      </c>
      <c r="B1855" s="3928" t="s">
        <v>14</v>
      </c>
      <c r="C1855" s="3928" t="s">
        <v>6563</v>
      </c>
      <c r="D1855" s="3928" t="s">
        <v>6564</v>
      </c>
      <c r="E1855" s="3928" t="s">
        <v>6565</v>
      </c>
      <c r="F1855" s="3928" t="s">
        <v>2397</v>
      </c>
      <c r="G1855" s="3928" t="s">
        <v>6566</v>
      </c>
      <c r="H1855" s="3928" t="s">
        <v>6567</v>
      </c>
      <c r="I1855" s="3928" t="s">
        <v>857</v>
      </c>
    </row>
    <row r="1856" spans="1:9" ht="11.25" customHeight="1">
      <c r="A1856" s="3928" t="s">
        <v>2258</v>
      </c>
      <c r="B1856" s="3928" t="s">
        <v>14</v>
      </c>
      <c r="C1856" s="3928" t="s">
        <v>6568</v>
      </c>
      <c r="D1856" s="3928" t="s">
        <v>6569</v>
      </c>
      <c r="E1856" s="3928" t="s">
        <v>6570</v>
      </c>
      <c r="F1856" s="3928" t="s">
        <v>2763</v>
      </c>
      <c r="G1856" s="3928" t="s">
        <v>6571</v>
      </c>
      <c r="H1856" s="3928" t="s">
        <v>6572</v>
      </c>
      <c r="I1856" s="3928" t="s">
        <v>857</v>
      </c>
    </row>
    <row r="1857" spans="1:9" ht="11.25" customHeight="1">
      <c r="A1857" s="3928" t="s">
        <v>2258</v>
      </c>
      <c r="B1857" s="3928" t="s">
        <v>14</v>
      </c>
      <c r="C1857" s="3928" t="s">
        <v>2621</v>
      </c>
      <c r="D1857" s="3928" t="s">
        <v>2622</v>
      </c>
      <c r="E1857" s="3928" t="s">
        <v>2623</v>
      </c>
      <c r="F1857" s="3928" t="s">
        <v>2624</v>
      </c>
      <c r="G1857" s="3928" t="s">
        <v>2625</v>
      </c>
      <c r="H1857" s="3928" t="s">
        <v>24</v>
      </c>
      <c r="I1857" s="3928" t="s">
        <v>857</v>
      </c>
    </row>
    <row r="1858" spans="1:9" ht="11.25" customHeight="1">
      <c r="A1858" s="3928" t="s">
        <v>2258</v>
      </c>
      <c r="B1858" s="3928" t="s">
        <v>14</v>
      </c>
      <c r="C1858" s="3928" t="s">
        <v>6331</v>
      </c>
      <c r="D1858" s="3928" t="s">
        <v>6332</v>
      </c>
      <c r="E1858" s="3928" t="s">
        <v>6333</v>
      </c>
      <c r="F1858" s="3928" t="s">
        <v>2405</v>
      </c>
      <c r="G1858" s="3928" t="s">
        <v>4058</v>
      </c>
      <c r="H1858" s="3928" t="s">
        <v>24</v>
      </c>
      <c r="I1858" s="3928" t="s">
        <v>857</v>
      </c>
    </row>
    <row r="1859" spans="1:9" ht="11.25" customHeight="1">
      <c r="A1859" s="3928" t="s">
        <v>2258</v>
      </c>
      <c r="B1859" s="3928" t="s">
        <v>14</v>
      </c>
      <c r="C1859" s="3928" t="s">
        <v>6573</v>
      </c>
      <c r="D1859" s="3928" t="s">
        <v>6574</v>
      </c>
      <c r="E1859" s="3928" t="s">
        <v>6575</v>
      </c>
      <c r="F1859" s="3928" t="s">
        <v>2670</v>
      </c>
      <c r="G1859" s="3928" t="s">
        <v>4998</v>
      </c>
      <c r="H1859" s="3928" t="s">
        <v>24</v>
      </c>
      <c r="I1859" s="3928" t="s">
        <v>857</v>
      </c>
    </row>
    <row r="1860" spans="1:9" ht="11.25" customHeight="1">
      <c r="A1860" s="3928" t="s">
        <v>2258</v>
      </c>
      <c r="B1860" s="3928" t="s">
        <v>14</v>
      </c>
      <c r="C1860" s="3928" t="s">
        <v>2631</v>
      </c>
      <c r="D1860" s="3928" t="s">
        <v>2632</v>
      </c>
      <c r="E1860" s="3928" t="s">
        <v>2633</v>
      </c>
      <c r="F1860" s="3928" t="s">
        <v>2289</v>
      </c>
      <c r="G1860" s="3928" t="s">
        <v>2634</v>
      </c>
      <c r="H1860" s="3928" t="s">
        <v>24</v>
      </c>
      <c r="I1860" s="3928" t="s">
        <v>857</v>
      </c>
    </row>
    <row r="1861" spans="1:9" ht="11.25" customHeight="1">
      <c r="A1861" s="3928" t="s">
        <v>2258</v>
      </c>
      <c r="B1861" s="3928" t="s">
        <v>14</v>
      </c>
      <c r="C1861" s="3928" t="s">
        <v>6576</v>
      </c>
      <c r="D1861" s="3928" t="s">
        <v>6577</v>
      </c>
      <c r="E1861" s="3928" t="s">
        <v>6578</v>
      </c>
      <c r="F1861" s="3928" t="s">
        <v>2289</v>
      </c>
      <c r="G1861" s="3928" t="s">
        <v>6579</v>
      </c>
      <c r="H1861" s="3928" t="s">
        <v>24</v>
      </c>
      <c r="I1861" s="3928" t="s">
        <v>857</v>
      </c>
    </row>
    <row r="1862" spans="1:9" ht="11.25" customHeight="1">
      <c r="A1862" s="3928" t="s">
        <v>2258</v>
      </c>
      <c r="B1862" s="3928" t="s">
        <v>14</v>
      </c>
      <c r="C1862" s="3928" t="s">
        <v>2635</v>
      </c>
      <c r="D1862" s="3928" t="s">
        <v>2636</v>
      </c>
      <c r="E1862" s="3928" t="s">
        <v>2637</v>
      </c>
      <c r="F1862" s="3928" t="s">
        <v>2638</v>
      </c>
      <c r="G1862" s="3928" t="s">
        <v>24</v>
      </c>
      <c r="H1862" s="3928" t="s">
        <v>24</v>
      </c>
      <c r="I1862" s="3928" t="s">
        <v>857</v>
      </c>
    </row>
    <row r="1863" spans="1:9" ht="11.25" customHeight="1">
      <c r="A1863" s="3928" t="s">
        <v>2258</v>
      </c>
      <c r="B1863" s="3928" t="s">
        <v>14</v>
      </c>
      <c r="C1863" s="3928" t="s">
        <v>2643</v>
      </c>
      <c r="D1863" s="3928" t="s">
        <v>2644</v>
      </c>
      <c r="E1863" s="3928" t="s">
        <v>2645</v>
      </c>
      <c r="F1863" s="3928" t="s">
        <v>2289</v>
      </c>
      <c r="G1863" s="3928" t="s">
        <v>2646</v>
      </c>
      <c r="H1863" s="3928" t="s">
        <v>24</v>
      </c>
      <c r="I1863" s="3928" t="s">
        <v>857</v>
      </c>
    </row>
    <row r="1864" spans="1:9" ht="11.25" customHeight="1">
      <c r="A1864" s="3928" t="s">
        <v>2258</v>
      </c>
      <c r="B1864" s="3928" t="s">
        <v>14</v>
      </c>
      <c r="C1864" s="3928" t="s">
        <v>2663</v>
      </c>
      <c r="D1864" s="3928" t="s">
        <v>2664</v>
      </c>
      <c r="E1864" s="3928" t="s">
        <v>2665</v>
      </c>
      <c r="F1864" s="3928" t="s">
        <v>2638</v>
      </c>
      <c r="G1864" s="3928" t="s">
        <v>2666</v>
      </c>
      <c r="H1864" s="3928" t="s">
        <v>24</v>
      </c>
      <c r="I1864" s="3928" t="s">
        <v>857</v>
      </c>
    </row>
    <row r="1865" spans="1:9" ht="11.25" customHeight="1">
      <c r="A1865" s="3928" t="s">
        <v>2258</v>
      </c>
      <c r="B1865" s="3928" t="s">
        <v>14</v>
      </c>
      <c r="C1865" s="3928" t="s">
        <v>6580</v>
      </c>
      <c r="D1865" s="3928" t="s">
        <v>6581</v>
      </c>
      <c r="E1865" s="3928" t="s">
        <v>6582</v>
      </c>
      <c r="F1865" s="3928" t="s">
        <v>2638</v>
      </c>
      <c r="G1865" s="3928" t="s">
        <v>6583</v>
      </c>
      <c r="H1865" s="3928" t="s">
        <v>24</v>
      </c>
      <c r="I1865" s="3928" t="s">
        <v>857</v>
      </c>
    </row>
    <row r="1866" spans="1:9" ht="11.25" customHeight="1">
      <c r="A1866" s="3928" t="s">
        <v>2258</v>
      </c>
      <c r="B1866" s="3928" t="s">
        <v>14</v>
      </c>
      <c r="C1866" s="3928" t="s">
        <v>2672</v>
      </c>
      <c r="D1866" s="3928" t="s">
        <v>2673</v>
      </c>
      <c r="E1866" s="3928" t="s">
        <v>2674</v>
      </c>
      <c r="F1866" s="3928" t="s">
        <v>2675</v>
      </c>
      <c r="G1866" s="3928" t="s">
        <v>2676</v>
      </c>
      <c r="H1866" s="3928" t="s">
        <v>24</v>
      </c>
      <c r="I1866" s="3928" t="s">
        <v>857</v>
      </c>
    </row>
    <row r="1867" spans="1:9" ht="11.25" customHeight="1">
      <c r="A1867" s="3928" t="s">
        <v>2258</v>
      </c>
      <c r="B1867" s="3928" t="s">
        <v>14</v>
      </c>
      <c r="C1867" s="3928" t="s">
        <v>2677</v>
      </c>
      <c r="D1867" s="3928" t="s">
        <v>2678</v>
      </c>
      <c r="E1867" s="3928" t="s">
        <v>2679</v>
      </c>
      <c r="F1867" s="3928" t="s">
        <v>2414</v>
      </c>
      <c r="G1867" s="3928" t="s">
        <v>2680</v>
      </c>
      <c r="H1867" s="3928" t="s">
        <v>24</v>
      </c>
      <c r="I1867" s="3928" t="s">
        <v>857</v>
      </c>
    </row>
    <row r="1868" spans="1:9" ht="11.25" customHeight="1">
      <c r="A1868" s="3928" t="s">
        <v>2258</v>
      </c>
      <c r="B1868" s="3928" t="s">
        <v>14</v>
      </c>
      <c r="C1868" s="3928" t="s">
        <v>2681</v>
      </c>
      <c r="D1868" s="3928" t="s">
        <v>2682</v>
      </c>
      <c r="E1868" s="3928" t="s">
        <v>2683</v>
      </c>
      <c r="F1868" s="3928" t="s">
        <v>2409</v>
      </c>
      <c r="G1868" s="3928" t="s">
        <v>2684</v>
      </c>
      <c r="H1868" s="3928" t="s">
        <v>24</v>
      </c>
      <c r="I1868" s="3928" t="s">
        <v>857</v>
      </c>
    </row>
    <row r="1869" spans="1:9" ht="11.25" customHeight="1">
      <c r="A1869" s="3928" t="s">
        <v>2258</v>
      </c>
      <c r="B1869" s="3928" t="s">
        <v>14</v>
      </c>
      <c r="C1869" s="3928" t="s">
        <v>6584</v>
      </c>
      <c r="D1869" s="3928" t="s">
        <v>6585</v>
      </c>
      <c r="E1869" s="3928" t="s">
        <v>6586</v>
      </c>
      <c r="F1869" s="3928" t="s">
        <v>6587</v>
      </c>
      <c r="G1869" s="3928" t="s">
        <v>6588</v>
      </c>
      <c r="H1869" s="3928" t="s">
        <v>6589</v>
      </c>
      <c r="I1869" s="3928" t="s">
        <v>857</v>
      </c>
    </row>
    <row r="1870" spans="1:9" ht="11.25" customHeight="1">
      <c r="A1870" s="3928" t="s">
        <v>2258</v>
      </c>
      <c r="B1870" s="3928" t="s">
        <v>14</v>
      </c>
      <c r="C1870" s="3928" t="s">
        <v>6590</v>
      </c>
      <c r="D1870" s="3928" t="s">
        <v>6591</v>
      </c>
      <c r="E1870" s="3928" t="s">
        <v>6592</v>
      </c>
      <c r="F1870" s="3928" t="s">
        <v>2289</v>
      </c>
      <c r="G1870" s="3928" t="s">
        <v>6593</v>
      </c>
      <c r="H1870" s="3928" t="s">
        <v>24</v>
      </c>
      <c r="I1870" s="3928" t="s">
        <v>857</v>
      </c>
    </row>
    <row r="1871" spans="1:9" ht="11.25" customHeight="1">
      <c r="A1871" s="3928" t="s">
        <v>2258</v>
      </c>
      <c r="B1871" s="3928" t="s">
        <v>14</v>
      </c>
      <c r="C1871" s="3928" t="s">
        <v>2690</v>
      </c>
      <c r="D1871" s="3928" t="s">
        <v>2691</v>
      </c>
      <c r="E1871" s="3928" t="s">
        <v>2692</v>
      </c>
      <c r="F1871" s="3928" t="s">
        <v>2409</v>
      </c>
      <c r="G1871" s="3928" t="s">
        <v>2693</v>
      </c>
      <c r="H1871" s="3928" t="s">
        <v>24</v>
      </c>
      <c r="I1871" s="3928" t="s">
        <v>857</v>
      </c>
    </row>
    <row r="1872" spans="1:9" ht="11.25" customHeight="1">
      <c r="A1872" s="3928" t="s">
        <v>2258</v>
      </c>
      <c r="B1872" s="3928" t="s">
        <v>14</v>
      </c>
      <c r="C1872" s="3928" t="s">
        <v>2694</v>
      </c>
      <c r="D1872" s="3928" t="s">
        <v>2695</v>
      </c>
      <c r="E1872" s="3928" t="s">
        <v>2696</v>
      </c>
      <c r="F1872" s="3928" t="s">
        <v>2289</v>
      </c>
      <c r="G1872" s="3928" t="s">
        <v>2697</v>
      </c>
      <c r="H1872" s="3928" t="s">
        <v>24</v>
      </c>
      <c r="I1872" s="3928" t="s">
        <v>857</v>
      </c>
    </row>
    <row r="1873" spans="1:9" ht="11.25" customHeight="1">
      <c r="A1873" s="3928" t="s">
        <v>2258</v>
      </c>
      <c r="B1873" s="3928" t="s">
        <v>14</v>
      </c>
      <c r="C1873" s="3928" t="s">
        <v>2698</v>
      </c>
      <c r="D1873" s="3928" t="s">
        <v>2699</v>
      </c>
      <c r="E1873" s="3928" t="s">
        <v>2700</v>
      </c>
      <c r="F1873" s="3928" t="s">
        <v>2701</v>
      </c>
      <c r="G1873" s="3928" t="s">
        <v>24</v>
      </c>
      <c r="H1873" s="3928" t="s">
        <v>24</v>
      </c>
      <c r="I1873" s="3928" t="s">
        <v>857</v>
      </c>
    </row>
    <row r="1874" spans="1:9" ht="11.25" customHeight="1">
      <c r="A1874" s="3928" t="s">
        <v>2258</v>
      </c>
      <c r="B1874" s="3928" t="s">
        <v>14</v>
      </c>
      <c r="C1874" s="3928" t="s">
        <v>2710</v>
      </c>
      <c r="D1874" s="3928" t="s">
        <v>2711</v>
      </c>
      <c r="E1874" s="3928" t="s">
        <v>2712</v>
      </c>
      <c r="F1874" s="3928" t="s">
        <v>2587</v>
      </c>
      <c r="G1874" s="3928" t="s">
        <v>2713</v>
      </c>
      <c r="H1874" s="3928" t="s">
        <v>2263</v>
      </c>
      <c r="I1874" s="3928" t="s">
        <v>857</v>
      </c>
    </row>
    <row r="1875" spans="1:9" ht="11.25" customHeight="1">
      <c r="A1875" s="3928" t="s">
        <v>2258</v>
      </c>
      <c r="B1875" s="3928" t="s">
        <v>14</v>
      </c>
      <c r="C1875" s="3928" t="s">
        <v>6594</v>
      </c>
      <c r="D1875" s="3928" t="s">
        <v>6595</v>
      </c>
      <c r="E1875" s="3928" t="s">
        <v>6596</v>
      </c>
      <c r="F1875" s="3928" t="s">
        <v>2397</v>
      </c>
      <c r="G1875" s="3928" t="s">
        <v>6597</v>
      </c>
      <c r="H1875" s="3928" t="s">
        <v>24</v>
      </c>
      <c r="I1875" s="3928" t="s">
        <v>857</v>
      </c>
    </row>
    <row r="1876" spans="1:9" ht="11.25" customHeight="1">
      <c r="A1876" s="3928" t="s">
        <v>2258</v>
      </c>
      <c r="B1876" s="3928" t="s">
        <v>14</v>
      </c>
      <c r="C1876" s="3928" t="s">
        <v>6598</v>
      </c>
      <c r="D1876" s="3928" t="s">
        <v>6599</v>
      </c>
      <c r="E1876" s="3928" t="s">
        <v>6600</v>
      </c>
      <c r="F1876" s="3928" t="s">
        <v>2289</v>
      </c>
      <c r="G1876" s="3928" t="s">
        <v>6601</v>
      </c>
      <c r="H1876" s="3928" t="s">
        <v>24</v>
      </c>
      <c r="I1876" s="3928" t="s">
        <v>857</v>
      </c>
    </row>
    <row r="1877" spans="1:9" ht="11.25" customHeight="1">
      <c r="A1877" s="3928" t="s">
        <v>2258</v>
      </c>
      <c r="B1877" s="3928" t="s">
        <v>14</v>
      </c>
      <c r="C1877" s="3928" t="s">
        <v>2727</v>
      </c>
      <c r="D1877" s="3928" t="s">
        <v>2728</v>
      </c>
      <c r="E1877" s="3928" t="s">
        <v>2729</v>
      </c>
      <c r="F1877" s="3928" t="s">
        <v>2299</v>
      </c>
      <c r="G1877" s="3928" t="s">
        <v>2730</v>
      </c>
      <c r="H1877" s="3928" t="s">
        <v>24</v>
      </c>
      <c r="I1877" s="3928" t="s">
        <v>857</v>
      </c>
    </row>
    <row r="1878" spans="1:9" ht="11.25" customHeight="1">
      <c r="A1878" s="3928" t="s">
        <v>2258</v>
      </c>
      <c r="B1878" s="3928" t="s">
        <v>14</v>
      </c>
      <c r="C1878" s="3928" t="s">
        <v>2735</v>
      </c>
      <c r="D1878" s="3928" t="s">
        <v>2736</v>
      </c>
      <c r="E1878" s="3928" t="s">
        <v>2737</v>
      </c>
      <c r="F1878" s="3928" t="s">
        <v>2675</v>
      </c>
      <c r="G1878" s="3928" t="s">
        <v>2738</v>
      </c>
      <c r="H1878" s="3928" t="s">
        <v>24</v>
      </c>
      <c r="I1878" s="3928" t="s">
        <v>857</v>
      </c>
    </row>
    <row r="1879" spans="1:9" ht="11.25" customHeight="1">
      <c r="A1879" s="3928" t="s">
        <v>2258</v>
      </c>
      <c r="B1879" s="3928" t="s">
        <v>14</v>
      </c>
      <c r="C1879" s="3928" t="s">
        <v>2739</v>
      </c>
      <c r="D1879" s="3928" t="s">
        <v>2740</v>
      </c>
      <c r="E1879" s="3928" t="s">
        <v>2741</v>
      </c>
      <c r="F1879" s="3928" t="s">
        <v>2587</v>
      </c>
      <c r="G1879" s="3928" t="s">
        <v>2742</v>
      </c>
      <c r="H1879" s="3928" t="s">
        <v>24</v>
      </c>
      <c r="I1879" s="3928" t="s">
        <v>857</v>
      </c>
    </row>
    <row r="1880" spans="1:9" ht="11.25" customHeight="1">
      <c r="A1880" s="3928" t="s">
        <v>2258</v>
      </c>
      <c r="B1880" s="3928" t="s">
        <v>14</v>
      </c>
      <c r="C1880" s="3928" t="s">
        <v>2748</v>
      </c>
      <c r="D1880" s="3928" t="s">
        <v>2749</v>
      </c>
      <c r="E1880" s="3928" t="s">
        <v>2750</v>
      </c>
      <c r="F1880" s="3928" t="s">
        <v>2294</v>
      </c>
      <c r="G1880" s="3928" t="s">
        <v>2751</v>
      </c>
      <c r="H1880" s="3928" t="s">
        <v>24</v>
      </c>
      <c r="I1880" s="3928" t="s">
        <v>857</v>
      </c>
    </row>
    <row r="1881" spans="1:9" ht="11.25" customHeight="1">
      <c r="A1881" s="3928" t="s">
        <v>2258</v>
      </c>
      <c r="B1881" s="3928" t="s">
        <v>14</v>
      </c>
      <c r="C1881" s="3928" t="s">
        <v>2752</v>
      </c>
      <c r="D1881" s="3928" t="s">
        <v>2753</v>
      </c>
      <c r="E1881" s="3928" t="s">
        <v>2754</v>
      </c>
      <c r="F1881" s="3928" t="s">
        <v>2638</v>
      </c>
      <c r="G1881" s="3928" t="s">
        <v>2755</v>
      </c>
      <c r="H1881" s="3928" t="s">
        <v>2756</v>
      </c>
      <c r="I1881" s="3928" t="s">
        <v>857</v>
      </c>
    </row>
    <row r="1882" spans="1:9" ht="11.25" customHeight="1">
      <c r="A1882" s="3928" t="s">
        <v>2258</v>
      </c>
      <c r="B1882" s="3928" t="s">
        <v>14</v>
      </c>
      <c r="C1882" s="3928" t="s">
        <v>6602</v>
      </c>
      <c r="D1882" s="3928" t="s">
        <v>6603</v>
      </c>
      <c r="E1882" s="3928" t="s">
        <v>6604</v>
      </c>
      <c r="F1882" s="3928" t="s">
        <v>2473</v>
      </c>
      <c r="G1882" s="3928" t="s">
        <v>6605</v>
      </c>
      <c r="H1882" s="3928" t="s">
        <v>24</v>
      </c>
      <c r="I1882" s="3928" t="s">
        <v>857</v>
      </c>
    </row>
    <row r="1883" spans="1:9" ht="11.25" customHeight="1">
      <c r="A1883" s="3928" t="s">
        <v>2258</v>
      </c>
      <c r="B1883" s="3928" t="s">
        <v>14</v>
      </c>
      <c r="C1883" s="3928" t="s">
        <v>6606</v>
      </c>
      <c r="D1883" s="3928" t="s">
        <v>6607</v>
      </c>
      <c r="E1883" s="3928" t="s">
        <v>6608</v>
      </c>
      <c r="F1883" s="3928" t="s">
        <v>2473</v>
      </c>
      <c r="G1883" s="3928" t="s">
        <v>6609</v>
      </c>
      <c r="H1883" s="3928" t="s">
        <v>6610</v>
      </c>
      <c r="I1883" s="3928" t="s">
        <v>857</v>
      </c>
    </row>
    <row r="1884" spans="1:9" ht="11.25" customHeight="1">
      <c r="A1884" s="3928" t="s">
        <v>2258</v>
      </c>
      <c r="B1884" s="3928" t="s">
        <v>14</v>
      </c>
      <c r="C1884" s="3928" t="s">
        <v>6611</v>
      </c>
      <c r="D1884" s="3928" t="s">
        <v>6612</v>
      </c>
      <c r="E1884" s="3928" t="s">
        <v>6613</v>
      </c>
      <c r="F1884" s="3928" t="s">
        <v>3039</v>
      </c>
      <c r="G1884" s="3928" t="s">
        <v>24</v>
      </c>
      <c r="H1884" s="3928" t="s">
        <v>24</v>
      </c>
      <c r="I1884" s="3928" t="s">
        <v>857</v>
      </c>
    </row>
    <row r="1885" spans="1:9" ht="11.25" customHeight="1">
      <c r="A1885" s="3928" t="s">
        <v>2258</v>
      </c>
      <c r="B1885" s="3928" t="s">
        <v>14</v>
      </c>
      <c r="C1885" s="3928" t="s">
        <v>6614</v>
      </c>
      <c r="D1885" s="3928" t="s">
        <v>6615</v>
      </c>
      <c r="E1885" s="3928" t="s">
        <v>6616</v>
      </c>
      <c r="F1885" s="3928" t="s">
        <v>2409</v>
      </c>
      <c r="G1885" s="3928" t="s">
        <v>24</v>
      </c>
      <c r="H1885" s="3928" t="s">
        <v>24</v>
      </c>
      <c r="I1885" s="3928" t="s">
        <v>857</v>
      </c>
    </row>
    <row r="1886" spans="1:9" ht="11.25" customHeight="1">
      <c r="A1886" s="3928" t="s">
        <v>2258</v>
      </c>
      <c r="B1886" s="3928" t="s">
        <v>14</v>
      </c>
      <c r="C1886" s="3928" t="s">
        <v>6617</v>
      </c>
      <c r="D1886" s="3928" t="s">
        <v>6618</v>
      </c>
      <c r="E1886" s="3928" t="s">
        <v>6619</v>
      </c>
      <c r="F1886" s="3928" t="s">
        <v>3287</v>
      </c>
      <c r="G1886" s="3928" t="s">
        <v>24</v>
      </c>
      <c r="H1886" s="3928" t="s">
        <v>2475</v>
      </c>
      <c r="I1886" s="3928" t="s">
        <v>857</v>
      </c>
    </row>
    <row r="1887" spans="1:9" ht="11.25" customHeight="1">
      <c r="A1887" s="3928" t="s">
        <v>2258</v>
      </c>
      <c r="B1887" s="3928" t="s">
        <v>14</v>
      </c>
      <c r="C1887" s="3928" t="s">
        <v>2768</v>
      </c>
      <c r="D1887" s="3928" t="s">
        <v>2769</v>
      </c>
      <c r="E1887" s="3928" t="s">
        <v>2770</v>
      </c>
      <c r="F1887" s="3928" t="s">
        <v>2771</v>
      </c>
      <c r="G1887" s="3928" t="s">
        <v>2630</v>
      </c>
      <c r="H1887" s="3928" t="s">
        <v>2772</v>
      </c>
      <c r="I1887" s="3928" t="s">
        <v>857</v>
      </c>
    </row>
    <row r="1888" spans="1:9" ht="11.25" customHeight="1">
      <c r="A1888" s="3928" t="s">
        <v>2258</v>
      </c>
      <c r="B1888" s="3928" t="s">
        <v>14</v>
      </c>
      <c r="C1888" s="3928" t="s">
        <v>2773</v>
      </c>
      <c r="D1888" s="3928" t="s">
        <v>2774</v>
      </c>
      <c r="E1888" s="3928" t="s">
        <v>2775</v>
      </c>
      <c r="F1888" s="3928" t="s">
        <v>2638</v>
      </c>
      <c r="G1888" s="3928" t="s">
        <v>2776</v>
      </c>
      <c r="H1888" s="3928" t="s">
        <v>24</v>
      </c>
      <c r="I1888" s="3928" t="s">
        <v>857</v>
      </c>
    </row>
    <row r="1889" spans="1:9" ht="11.25" customHeight="1">
      <c r="A1889" s="3928" t="s">
        <v>2258</v>
      </c>
      <c r="B1889" s="3928" t="s">
        <v>14</v>
      </c>
      <c r="C1889" s="3928" t="s">
        <v>2777</v>
      </c>
      <c r="D1889" s="3928" t="s">
        <v>2778</v>
      </c>
      <c r="E1889" s="3928" t="s">
        <v>2779</v>
      </c>
      <c r="F1889" s="3928" t="s">
        <v>2780</v>
      </c>
      <c r="G1889" s="3928" t="s">
        <v>2781</v>
      </c>
      <c r="H1889" s="3928" t="s">
        <v>24</v>
      </c>
      <c r="I1889" s="3928" t="s">
        <v>857</v>
      </c>
    </row>
    <row r="1890" spans="1:9" ht="11.25" customHeight="1">
      <c r="A1890" s="3928" t="s">
        <v>2258</v>
      </c>
      <c r="B1890" s="3928" t="s">
        <v>14</v>
      </c>
      <c r="C1890" s="3928" t="s">
        <v>2782</v>
      </c>
      <c r="D1890" s="3928" t="s">
        <v>2783</v>
      </c>
      <c r="E1890" s="3928" t="s">
        <v>2784</v>
      </c>
      <c r="F1890" s="3928" t="s">
        <v>2405</v>
      </c>
      <c r="G1890" s="3928" t="s">
        <v>2785</v>
      </c>
      <c r="H1890" s="3928" t="s">
        <v>24</v>
      </c>
      <c r="I1890" s="3928" t="s">
        <v>857</v>
      </c>
    </row>
    <row r="1891" spans="1:9" ht="11.25" customHeight="1">
      <c r="A1891" s="3928" t="s">
        <v>2258</v>
      </c>
      <c r="B1891" s="3928" t="s">
        <v>14</v>
      </c>
      <c r="C1891" s="3928" t="s">
        <v>2786</v>
      </c>
      <c r="D1891" s="3928" t="s">
        <v>2787</v>
      </c>
      <c r="E1891" s="3928" t="s">
        <v>2788</v>
      </c>
      <c r="F1891" s="3928" t="s">
        <v>2289</v>
      </c>
      <c r="G1891" s="3928" t="s">
        <v>2789</v>
      </c>
      <c r="H1891" s="3928" t="s">
        <v>24</v>
      </c>
      <c r="I1891" s="3928" t="s">
        <v>857</v>
      </c>
    </row>
    <row r="1892" spans="1:9" ht="11.25" customHeight="1">
      <c r="A1892" s="3928" t="s">
        <v>2258</v>
      </c>
      <c r="B1892" s="3928" t="s">
        <v>14</v>
      </c>
      <c r="C1892" s="3928" t="s">
        <v>6620</v>
      </c>
      <c r="D1892" s="3928" t="s">
        <v>6621</v>
      </c>
      <c r="E1892" s="3928" t="s">
        <v>6622</v>
      </c>
      <c r="F1892" s="3928" t="s">
        <v>2344</v>
      </c>
      <c r="G1892" s="3928" t="s">
        <v>24</v>
      </c>
      <c r="H1892" s="3928" t="s">
        <v>24</v>
      </c>
      <c r="I1892" s="3928" t="s">
        <v>857</v>
      </c>
    </row>
    <row r="1893" spans="1:9" ht="11.25" customHeight="1">
      <c r="A1893" s="3928" t="s">
        <v>2258</v>
      </c>
      <c r="B1893" s="3928" t="s">
        <v>14</v>
      </c>
      <c r="C1893" s="3928" t="s">
        <v>6338</v>
      </c>
      <c r="D1893" s="3928" t="s">
        <v>6339</v>
      </c>
      <c r="E1893" s="3928" t="s">
        <v>6340</v>
      </c>
      <c r="F1893" s="3928" t="s">
        <v>2796</v>
      </c>
      <c r="G1893" s="3928" t="s">
        <v>6341</v>
      </c>
      <c r="H1893" s="3928" t="s">
        <v>24</v>
      </c>
      <c r="I1893" s="3928" t="s">
        <v>857</v>
      </c>
    </row>
    <row r="1894" spans="1:9" ht="11.25" customHeight="1">
      <c r="A1894" s="3928" t="s">
        <v>2258</v>
      </c>
      <c r="B1894" s="3928" t="s">
        <v>14</v>
      </c>
      <c r="C1894" s="3928" t="s">
        <v>6623</v>
      </c>
      <c r="D1894" s="3928" t="s">
        <v>6624</v>
      </c>
      <c r="E1894" s="3928" t="s">
        <v>6625</v>
      </c>
      <c r="F1894" s="3928" t="s">
        <v>2289</v>
      </c>
      <c r="G1894" s="3928" t="s">
        <v>6626</v>
      </c>
      <c r="H1894" s="3928" t="s">
        <v>24</v>
      </c>
      <c r="I1894" s="3928" t="s">
        <v>857</v>
      </c>
    </row>
    <row r="1895" spans="1:9" ht="11.25" customHeight="1">
      <c r="A1895" s="3928" t="s">
        <v>2258</v>
      </c>
      <c r="B1895" s="3928" t="s">
        <v>14</v>
      </c>
      <c r="C1895" s="3928" t="s">
        <v>2803</v>
      </c>
      <c r="D1895" s="3928" t="s">
        <v>2804</v>
      </c>
      <c r="E1895" s="3928" t="s">
        <v>2805</v>
      </c>
      <c r="F1895" s="3928" t="s">
        <v>2675</v>
      </c>
      <c r="G1895" s="3928" t="s">
        <v>2806</v>
      </c>
      <c r="H1895" s="3928" t="s">
        <v>24</v>
      </c>
      <c r="I1895" s="3928" t="s">
        <v>857</v>
      </c>
    </row>
    <row r="1896" spans="1:9" ht="11.25" customHeight="1">
      <c r="A1896" s="3928" t="s">
        <v>2258</v>
      </c>
      <c r="B1896" s="3928" t="s">
        <v>14</v>
      </c>
      <c r="C1896" s="3928" t="s">
        <v>6627</v>
      </c>
      <c r="D1896" s="3928" t="s">
        <v>6628</v>
      </c>
      <c r="E1896" s="3928" t="s">
        <v>6629</v>
      </c>
      <c r="F1896" s="3928" t="s">
        <v>2304</v>
      </c>
      <c r="G1896" s="3928" t="s">
        <v>24</v>
      </c>
      <c r="H1896" s="3928" t="s">
        <v>2848</v>
      </c>
      <c r="I1896" s="3928" t="s">
        <v>857</v>
      </c>
    </row>
    <row r="1897" spans="1:9" ht="11.25" customHeight="1">
      <c r="A1897" s="3928" t="s">
        <v>2258</v>
      </c>
      <c r="B1897" s="3928" t="s">
        <v>14</v>
      </c>
      <c r="C1897" s="3928" t="s">
        <v>2814</v>
      </c>
      <c r="D1897" s="3928" t="s">
        <v>2815</v>
      </c>
      <c r="E1897" s="3928" t="s">
        <v>2816</v>
      </c>
      <c r="F1897" s="3928" t="s">
        <v>2817</v>
      </c>
      <c r="G1897" s="3928" t="s">
        <v>2818</v>
      </c>
      <c r="H1897" s="3928" t="s">
        <v>24</v>
      </c>
      <c r="I1897" s="3928" t="s">
        <v>857</v>
      </c>
    </row>
    <row r="1898" spans="1:9" ht="11.25" customHeight="1">
      <c r="A1898" s="3928" t="s">
        <v>2258</v>
      </c>
      <c r="B1898" s="3928" t="s">
        <v>14</v>
      </c>
      <c r="C1898" s="3928" t="s">
        <v>6630</v>
      </c>
      <c r="D1898" s="3928" t="s">
        <v>6631</v>
      </c>
      <c r="E1898" s="3928" t="s">
        <v>6632</v>
      </c>
      <c r="F1898" s="3928" t="s">
        <v>2294</v>
      </c>
      <c r="G1898" s="3928" t="s">
        <v>24</v>
      </c>
      <c r="H1898" s="3928" t="s">
        <v>2848</v>
      </c>
      <c r="I1898" s="3928" t="s">
        <v>857</v>
      </c>
    </row>
    <row r="1899" spans="1:9" ht="11.25" customHeight="1">
      <c r="A1899" s="3928" t="s">
        <v>2258</v>
      </c>
      <c r="B1899" s="3928" t="s">
        <v>14</v>
      </c>
      <c r="C1899" s="3928" t="s">
        <v>6633</v>
      </c>
      <c r="D1899" s="3928" t="s">
        <v>6634</v>
      </c>
      <c r="E1899" s="3928" t="s">
        <v>6635</v>
      </c>
      <c r="F1899" s="3928" t="s">
        <v>6636</v>
      </c>
      <c r="G1899" s="3928" t="s">
        <v>6637</v>
      </c>
      <c r="H1899" s="3928" t="s">
        <v>2945</v>
      </c>
      <c r="I1899" s="3928" t="s">
        <v>857</v>
      </c>
    </row>
    <row r="1900" spans="1:9" ht="11.25" customHeight="1">
      <c r="A1900" s="3928" t="s">
        <v>2258</v>
      </c>
      <c r="B1900" s="3928" t="s">
        <v>14</v>
      </c>
      <c r="C1900" s="3928" t="s">
        <v>6638</v>
      </c>
      <c r="D1900" s="3928" t="s">
        <v>6639</v>
      </c>
      <c r="E1900" s="3928" t="s">
        <v>5771</v>
      </c>
      <c r="F1900" s="3928" t="s">
        <v>5657</v>
      </c>
      <c r="G1900" s="3928" t="s">
        <v>6640</v>
      </c>
      <c r="H1900" s="3928" t="s">
        <v>24</v>
      </c>
      <c r="I1900" s="3928" t="s">
        <v>857</v>
      </c>
    </row>
    <row r="1901" spans="1:9" ht="11.25" customHeight="1">
      <c r="A1901" s="3928" t="s">
        <v>2258</v>
      </c>
      <c r="B1901" s="3928" t="s">
        <v>14</v>
      </c>
      <c r="C1901" s="3928" t="s">
        <v>2832</v>
      </c>
      <c r="D1901" s="3928" t="s">
        <v>2833</v>
      </c>
      <c r="E1901" s="3928" t="s">
        <v>2834</v>
      </c>
      <c r="F1901" s="3928" t="s">
        <v>2339</v>
      </c>
      <c r="G1901" s="3928" t="s">
        <v>24</v>
      </c>
      <c r="H1901" s="3928" t="s">
        <v>2263</v>
      </c>
      <c r="I1901" s="3928" t="s">
        <v>857</v>
      </c>
    </row>
    <row r="1902" spans="1:9" ht="11.25" customHeight="1">
      <c r="A1902" s="3928" t="s">
        <v>2258</v>
      </c>
      <c r="B1902" s="3928" t="s">
        <v>14</v>
      </c>
      <c r="C1902" s="3928" t="s">
        <v>6641</v>
      </c>
      <c r="D1902" s="3928" t="s">
        <v>6642</v>
      </c>
      <c r="E1902" s="3928" t="s">
        <v>6643</v>
      </c>
      <c r="F1902" s="3928" t="s">
        <v>2289</v>
      </c>
      <c r="G1902" s="3928" t="s">
        <v>24</v>
      </c>
      <c r="H1902" s="3928" t="s">
        <v>2848</v>
      </c>
      <c r="I1902" s="3928" t="s">
        <v>857</v>
      </c>
    </row>
    <row r="1903" spans="1:9" ht="11.25" customHeight="1">
      <c r="A1903" s="3928" t="s">
        <v>2258</v>
      </c>
      <c r="B1903" s="3928" t="s">
        <v>14</v>
      </c>
      <c r="C1903" s="3928" t="s">
        <v>6346</v>
      </c>
      <c r="D1903" s="3928" t="s">
        <v>6347</v>
      </c>
      <c r="E1903" s="3928" t="s">
        <v>6348</v>
      </c>
      <c r="F1903" s="3928" t="s">
        <v>2522</v>
      </c>
      <c r="G1903" s="3928" t="s">
        <v>24</v>
      </c>
      <c r="H1903" s="3928" t="s">
        <v>2263</v>
      </c>
      <c r="I1903" s="3928" t="s">
        <v>857</v>
      </c>
    </row>
    <row r="1904" spans="1:9" ht="11.25" customHeight="1">
      <c r="A1904" s="3928" t="s">
        <v>2258</v>
      </c>
      <c r="B1904" s="3928" t="s">
        <v>14</v>
      </c>
      <c r="C1904" s="3928" t="s">
        <v>6644</v>
      </c>
      <c r="D1904" s="3928" t="s">
        <v>6645</v>
      </c>
      <c r="E1904" s="3928" t="s">
        <v>6646</v>
      </c>
      <c r="F1904" s="3928" t="s">
        <v>2414</v>
      </c>
      <c r="G1904" s="3928" t="s">
        <v>24</v>
      </c>
      <c r="H1904" s="3928" t="s">
        <v>2848</v>
      </c>
      <c r="I1904" s="3928" t="s">
        <v>857</v>
      </c>
    </row>
    <row r="1905" spans="1:9" ht="11.25" customHeight="1">
      <c r="A1905" s="3928" t="s">
        <v>2258</v>
      </c>
      <c r="B1905" s="3928" t="s">
        <v>14</v>
      </c>
      <c r="C1905" s="3928" t="s">
        <v>6647</v>
      </c>
      <c r="D1905" s="3928" t="s">
        <v>6648</v>
      </c>
      <c r="E1905" s="3928" t="s">
        <v>6649</v>
      </c>
      <c r="F1905" s="3928" t="s">
        <v>6328</v>
      </c>
      <c r="G1905" s="3928" t="s">
        <v>6650</v>
      </c>
      <c r="H1905" s="3928" t="s">
        <v>6651</v>
      </c>
      <c r="I1905" s="3928" t="s">
        <v>857</v>
      </c>
    </row>
    <row r="1906" spans="1:9" ht="11.25" customHeight="1">
      <c r="A1906" s="3928" t="s">
        <v>2258</v>
      </c>
      <c r="B1906" s="3928" t="s">
        <v>14</v>
      </c>
      <c r="C1906" s="3928" t="s">
        <v>6652</v>
      </c>
      <c r="D1906" s="3928" t="s">
        <v>6653</v>
      </c>
      <c r="E1906" s="3928" t="s">
        <v>6654</v>
      </c>
      <c r="F1906" s="3928" t="s">
        <v>6655</v>
      </c>
      <c r="G1906" s="3928" t="s">
        <v>24</v>
      </c>
      <c r="H1906" s="3928" t="s">
        <v>6656</v>
      </c>
      <c r="I1906" s="3928" t="s">
        <v>857</v>
      </c>
    </row>
    <row r="1907" spans="1:9" ht="11.25" customHeight="1">
      <c r="A1907" s="3928" t="s">
        <v>2258</v>
      </c>
      <c r="B1907" s="3928" t="s">
        <v>14</v>
      </c>
      <c r="C1907" s="3928" t="s">
        <v>6657</v>
      </c>
      <c r="D1907" s="3928" t="s">
        <v>6658</v>
      </c>
      <c r="E1907" s="3928" t="s">
        <v>6659</v>
      </c>
      <c r="F1907" s="3928" t="s">
        <v>6660</v>
      </c>
      <c r="G1907" s="3928" t="s">
        <v>24</v>
      </c>
      <c r="H1907" s="3928" t="s">
        <v>24</v>
      </c>
      <c r="I1907" s="3928" t="s">
        <v>857</v>
      </c>
    </row>
    <row r="1908" spans="1:9" ht="11.25" customHeight="1">
      <c r="A1908" s="3928" t="s">
        <v>2258</v>
      </c>
      <c r="B1908" s="3928" t="s">
        <v>14</v>
      </c>
      <c r="C1908" s="3928" t="s">
        <v>2868</v>
      </c>
      <c r="D1908" s="3928" t="s">
        <v>2869</v>
      </c>
      <c r="E1908" s="3928" t="s">
        <v>2870</v>
      </c>
      <c r="F1908" s="3928" t="s">
        <v>2587</v>
      </c>
      <c r="G1908" s="3928" t="s">
        <v>2871</v>
      </c>
      <c r="H1908" s="3928" t="s">
        <v>24</v>
      </c>
      <c r="I1908" s="3928" t="s">
        <v>857</v>
      </c>
    </row>
    <row r="1909" spans="1:9" ht="11.25" customHeight="1">
      <c r="A1909" s="3928" t="s">
        <v>2258</v>
      </c>
      <c r="B1909" s="3928" t="s">
        <v>14</v>
      </c>
      <c r="C1909" s="3928" t="s">
        <v>2891</v>
      </c>
      <c r="D1909" s="3928" t="s">
        <v>2892</v>
      </c>
      <c r="E1909" s="3928" t="s">
        <v>2893</v>
      </c>
      <c r="F1909" s="3928" t="s">
        <v>2535</v>
      </c>
      <c r="G1909" s="3928" t="s">
        <v>2894</v>
      </c>
      <c r="H1909" s="3928" t="s">
        <v>24</v>
      </c>
      <c r="I1909" s="3928" t="s">
        <v>857</v>
      </c>
    </row>
    <row r="1910" spans="1:9" ht="11.25" customHeight="1">
      <c r="A1910" s="3928" t="s">
        <v>2258</v>
      </c>
      <c r="B1910" s="3928" t="s">
        <v>14</v>
      </c>
      <c r="C1910" s="3928" t="s">
        <v>2904</v>
      </c>
      <c r="D1910" s="3928" t="s">
        <v>2905</v>
      </c>
      <c r="E1910" s="3928" t="s">
        <v>2906</v>
      </c>
      <c r="F1910" s="3928" t="s">
        <v>2907</v>
      </c>
      <c r="G1910" s="3928" t="s">
        <v>2908</v>
      </c>
      <c r="H1910" s="3928" t="s">
        <v>2909</v>
      </c>
      <c r="I1910" s="3928" t="s">
        <v>857</v>
      </c>
    </row>
    <row r="1911" spans="1:9" ht="11.25" customHeight="1">
      <c r="A1911" s="3928" t="s">
        <v>2258</v>
      </c>
      <c r="B1911" s="3928" t="s">
        <v>14</v>
      </c>
      <c r="C1911" s="3928" t="s">
        <v>2914</v>
      </c>
      <c r="D1911" s="3928" t="s">
        <v>2915</v>
      </c>
      <c r="E1911" s="3928" t="s">
        <v>2916</v>
      </c>
      <c r="F1911" s="3928" t="s">
        <v>2424</v>
      </c>
      <c r="G1911" s="3928" t="s">
        <v>24</v>
      </c>
      <c r="H1911" s="3928" t="s">
        <v>2917</v>
      </c>
      <c r="I1911" s="3928" t="s">
        <v>857</v>
      </c>
    </row>
    <row r="1912" spans="1:9" ht="11.25" customHeight="1">
      <c r="A1912" s="3928" t="s">
        <v>2258</v>
      </c>
      <c r="B1912" s="3928" t="s">
        <v>14</v>
      </c>
      <c r="C1912" s="3928" t="s">
        <v>2918</v>
      </c>
      <c r="D1912" s="3928" t="s">
        <v>2919</v>
      </c>
      <c r="E1912" s="3928" t="s">
        <v>2920</v>
      </c>
      <c r="F1912" s="3928" t="s">
        <v>2375</v>
      </c>
      <c r="G1912" s="3928" t="s">
        <v>2921</v>
      </c>
      <c r="H1912" s="3928" t="s">
        <v>24</v>
      </c>
      <c r="I1912" s="3928" t="s">
        <v>857</v>
      </c>
    </row>
    <row r="1913" spans="1:9" ht="11.25" customHeight="1">
      <c r="A1913" s="3928" t="s">
        <v>2258</v>
      </c>
      <c r="B1913" s="3928" t="s">
        <v>14</v>
      </c>
      <c r="C1913" s="3928" t="s">
        <v>2922</v>
      </c>
      <c r="D1913" s="3928" t="s">
        <v>2923</v>
      </c>
      <c r="E1913" s="3928" t="s">
        <v>2924</v>
      </c>
      <c r="F1913" s="3928" t="s">
        <v>2535</v>
      </c>
      <c r="G1913" s="3928" t="s">
        <v>2925</v>
      </c>
      <c r="H1913" s="3928" t="s">
        <v>24</v>
      </c>
      <c r="I1913" s="3928" t="s">
        <v>857</v>
      </c>
    </row>
    <row r="1914" spans="1:9" ht="11.25" customHeight="1">
      <c r="A1914" s="3928" t="s">
        <v>2258</v>
      </c>
      <c r="B1914" s="3928" t="s">
        <v>14</v>
      </c>
      <c r="C1914" s="3928" t="s">
        <v>2926</v>
      </c>
      <c r="D1914" s="3928" t="s">
        <v>2927</v>
      </c>
      <c r="E1914" s="3928" t="s">
        <v>2928</v>
      </c>
      <c r="F1914" s="3928" t="s">
        <v>2929</v>
      </c>
      <c r="G1914" s="3928" t="s">
        <v>24</v>
      </c>
      <c r="H1914" s="3928" t="s">
        <v>24</v>
      </c>
      <c r="I1914" s="3928" t="s">
        <v>857</v>
      </c>
    </row>
    <row r="1915" spans="1:9" ht="11.25" customHeight="1">
      <c r="A1915" s="3928" t="s">
        <v>2258</v>
      </c>
      <c r="B1915" s="3928" t="s">
        <v>14</v>
      </c>
      <c r="C1915" s="3928" t="s">
        <v>2930</v>
      </c>
      <c r="D1915" s="3928" t="s">
        <v>2931</v>
      </c>
      <c r="E1915" s="3928" t="s">
        <v>2932</v>
      </c>
      <c r="F1915" s="3928" t="s">
        <v>2796</v>
      </c>
      <c r="G1915" s="3928" t="s">
        <v>2933</v>
      </c>
      <c r="H1915" s="3928" t="s">
        <v>2263</v>
      </c>
      <c r="I1915" s="3928" t="s">
        <v>857</v>
      </c>
    </row>
    <row r="1916" spans="1:9" ht="11.25" customHeight="1">
      <c r="A1916" s="3928" t="s">
        <v>2258</v>
      </c>
      <c r="B1916" s="3928" t="s">
        <v>14</v>
      </c>
      <c r="C1916" s="3928" t="s">
        <v>2934</v>
      </c>
      <c r="D1916" s="3928" t="s">
        <v>2931</v>
      </c>
      <c r="E1916" s="3928" t="s">
        <v>2935</v>
      </c>
      <c r="F1916" s="3928" t="s">
        <v>2796</v>
      </c>
      <c r="G1916" s="3928" t="s">
        <v>2936</v>
      </c>
      <c r="H1916" s="3928" t="s">
        <v>24</v>
      </c>
      <c r="I1916" s="3928" t="s">
        <v>857</v>
      </c>
    </row>
    <row r="1917" spans="1:9" ht="11.25" customHeight="1">
      <c r="A1917" s="3928" t="s">
        <v>2258</v>
      </c>
      <c r="B1917" s="3928" t="s">
        <v>14</v>
      </c>
      <c r="C1917" s="3928" t="s">
        <v>2942</v>
      </c>
      <c r="D1917" s="3928" t="s">
        <v>2943</v>
      </c>
      <c r="E1917" s="3928" t="s">
        <v>2944</v>
      </c>
      <c r="F1917" s="3928" t="s">
        <v>2929</v>
      </c>
      <c r="G1917" s="3928" t="s">
        <v>24</v>
      </c>
      <c r="H1917" s="3928" t="s">
        <v>2945</v>
      </c>
      <c r="I1917" s="3928" t="s">
        <v>857</v>
      </c>
    </row>
    <row r="1918" spans="1:9" ht="11.25" customHeight="1">
      <c r="A1918" s="3928" t="s">
        <v>2258</v>
      </c>
      <c r="B1918" s="3928" t="s">
        <v>14</v>
      </c>
      <c r="C1918" s="3928" t="s">
        <v>2946</v>
      </c>
      <c r="D1918" s="3928" t="s">
        <v>2947</v>
      </c>
      <c r="E1918" s="3928" t="s">
        <v>2948</v>
      </c>
      <c r="F1918" s="3928" t="s">
        <v>2464</v>
      </c>
      <c r="G1918" s="3928" t="s">
        <v>2949</v>
      </c>
      <c r="H1918" s="3928" t="s">
        <v>24</v>
      </c>
      <c r="I1918" s="3928" t="s">
        <v>857</v>
      </c>
    </row>
    <row r="1919" spans="1:9" ht="11.25" customHeight="1">
      <c r="A1919" s="3928" t="s">
        <v>2258</v>
      </c>
      <c r="B1919" s="3928" t="s">
        <v>14</v>
      </c>
      <c r="C1919" s="3928" t="s">
        <v>2958</v>
      </c>
      <c r="D1919" s="3928" t="s">
        <v>2959</v>
      </c>
      <c r="E1919" s="3928" t="s">
        <v>2960</v>
      </c>
      <c r="F1919" s="3928" t="s">
        <v>2424</v>
      </c>
      <c r="G1919" s="3928" t="s">
        <v>2961</v>
      </c>
      <c r="H1919" s="3928" t="s">
        <v>24</v>
      </c>
      <c r="I1919" s="3928" t="s">
        <v>857</v>
      </c>
    </row>
    <row r="1920" spans="1:9" ht="11.25" customHeight="1">
      <c r="A1920" s="3928" t="s">
        <v>2258</v>
      </c>
      <c r="B1920" s="3928" t="s">
        <v>14</v>
      </c>
      <c r="C1920" s="3928" t="s">
        <v>2962</v>
      </c>
      <c r="D1920" s="3928" t="s">
        <v>2963</v>
      </c>
      <c r="E1920" s="3928" t="s">
        <v>2964</v>
      </c>
      <c r="F1920" s="3928" t="s">
        <v>2965</v>
      </c>
      <c r="G1920" s="3928" t="s">
        <v>2966</v>
      </c>
      <c r="H1920" s="3928" t="s">
        <v>24</v>
      </c>
      <c r="I1920" s="3928" t="s">
        <v>857</v>
      </c>
    </row>
    <row r="1921" spans="1:9" ht="11.25" customHeight="1">
      <c r="A1921" s="3928" t="s">
        <v>2258</v>
      </c>
      <c r="B1921" s="3928" t="s">
        <v>14</v>
      </c>
      <c r="C1921" s="3928" t="s">
        <v>6661</v>
      </c>
      <c r="D1921" s="3928" t="s">
        <v>6662</v>
      </c>
      <c r="E1921" s="3928" t="s">
        <v>6663</v>
      </c>
      <c r="F1921" s="3928" t="s">
        <v>2424</v>
      </c>
      <c r="G1921" s="3928" t="s">
        <v>24</v>
      </c>
      <c r="H1921" s="3928" t="s">
        <v>6664</v>
      </c>
      <c r="I1921" s="3928" t="s">
        <v>857</v>
      </c>
    </row>
    <row r="1922" spans="1:9" ht="11.25" customHeight="1">
      <c r="A1922" s="3928" t="s">
        <v>2258</v>
      </c>
      <c r="B1922" s="3928" t="s">
        <v>14</v>
      </c>
      <c r="C1922" s="3928" t="s">
        <v>2975</v>
      </c>
      <c r="D1922" s="3928" t="s">
        <v>2976</v>
      </c>
      <c r="E1922" s="3928" t="s">
        <v>2977</v>
      </c>
      <c r="F1922" s="3928" t="s">
        <v>2701</v>
      </c>
      <c r="G1922" s="3928" t="s">
        <v>2978</v>
      </c>
      <c r="H1922" s="3928" t="s">
        <v>24</v>
      </c>
      <c r="I1922" s="3928" t="s">
        <v>857</v>
      </c>
    </row>
    <row r="1923" spans="1:9" ht="11.25" customHeight="1">
      <c r="A1923" s="3928" t="s">
        <v>2258</v>
      </c>
      <c r="B1923" s="3928" t="s">
        <v>14</v>
      </c>
      <c r="C1923" s="3928" t="s">
        <v>6665</v>
      </c>
      <c r="D1923" s="3928" t="s">
        <v>6666</v>
      </c>
      <c r="E1923" s="3928" t="s">
        <v>6667</v>
      </c>
      <c r="F1923" s="3928" t="s">
        <v>2414</v>
      </c>
      <c r="G1923" s="3928" t="s">
        <v>24</v>
      </c>
      <c r="H1923" s="3928" t="s">
        <v>24</v>
      </c>
      <c r="I1923" s="3928" t="s">
        <v>857</v>
      </c>
    </row>
    <row r="1924" spans="1:9" ht="11.25" customHeight="1">
      <c r="A1924" s="3928" t="s">
        <v>2258</v>
      </c>
      <c r="B1924" s="3928" t="s">
        <v>14</v>
      </c>
      <c r="C1924" s="3928" t="s">
        <v>2983</v>
      </c>
      <c r="D1924" s="3928" t="s">
        <v>2984</v>
      </c>
      <c r="E1924" s="3928" t="s">
        <v>2985</v>
      </c>
      <c r="F1924" s="3928" t="s">
        <v>2780</v>
      </c>
      <c r="G1924" s="3928" t="s">
        <v>24</v>
      </c>
      <c r="H1924" s="3928" t="s">
        <v>24</v>
      </c>
      <c r="I1924" s="3928" t="s">
        <v>857</v>
      </c>
    </row>
    <row r="1925" spans="1:9" ht="11.25" customHeight="1">
      <c r="A1925" s="3928" t="s">
        <v>2258</v>
      </c>
      <c r="B1925" s="3928" t="s">
        <v>14</v>
      </c>
      <c r="C1925" s="3928" t="s">
        <v>2986</v>
      </c>
      <c r="D1925" s="3928" t="s">
        <v>2987</v>
      </c>
      <c r="E1925" s="3928" t="s">
        <v>2988</v>
      </c>
      <c r="F1925" s="3928" t="s">
        <v>2701</v>
      </c>
      <c r="G1925" s="3928" t="s">
        <v>2989</v>
      </c>
      <c r="H1925" s="3928" t="s">
        <v>2990</v>
      </c>
      <c r="I1925" s="3928" t="s">
        <v>857</v>
      </c>
    </row>
    <row r="1926" spans="1:9" ht="11.25" customHeight="1">
      <c r="A1926" s="3928" t="s">
        <v>2258</v>
      </c>
      <c r="B1926" s="3928" t="s">
        <v>14</v>
      </c>
      <c r="C1926" s="3928" t="s">
        <v>2991</v>
      </c>
      <c r="D1926" s="3928" t="s">
        <v>2992</v>
      </c>
      <c r="E1926" s="3928" t="s">
        <v>2973</v>
      </c>
      <c r="F1926" s="3928" t="s">
        <v>2642</v>
      </c>
      <c r="G1926" s="3928" t="s">
        <v>2993</v>
      </c>
      <c r="H1926" s="3928" t="s">
        <v>24</v>
      </c>
      <c r="I1926" s="3928" t="s">
        <v>857</v>
      </c>
    </row>
    <row r="1927" spans="1:9" ht="11.25" customHeight="1">
      <c r="A1927" s="3928" t="s">
        <v>2258</v>
      </c>
      <c r="B1927" s="3928" t="s">
        <v>14</v>
      </c>
      <c r="C1927" s="3928" t="s">
        <v>6668</v>
      </c>
      <c r="D1927" s="3928" t="s">
        <v>6669</v>
      </c>
      <c r="E1927" s="3928" t="s">
        <v>6670</v>
      </c>
      <c r="F1927" s="3928" t="s">
        <v>49</v>
      </c>
      <c r="G1927" s="3928" t="s">
        <v>24</v>
      </c>
      <c r="H1927" s="3928" t="s">
        <v>24</v>
      </c>
      <c r="I1927" s="3928" t="s">
        <v>857</v>
      </c>
    </row>
    <row r="1928" spans="1:9" ht="11.25" customHeight="1">
      <c r="A1928" s="3928" t="s">
        <v>2258</v>
      </c>
      <c r="B1928" s="3928" t="s">
        <v>14</v>
      </c>
      <c r="C1928" s="3928" t="s">
        <v>2994</v>
      </c>
      <c r="D1928" s="3928" t="s">
        <v>2995</v>
      </c>
      <c r="E1928" s="3928" t="s">
        <v>2996</v>
      </c>
      <c r="F1928" s="3928" t="s">
        <v>2701</v>
      </c>
      <c r="G1928" s="3928" t="s">
        <v>2997</v>
      </c>
      <c r="H1928" s="3928" t="s">
        <v>24</v>
      </c>
      <c r="I1928" s="3928" t="s">
        <v>857</v>
      </c>
    </row>
    <row r="1929" spans="1:9" ht="11.25" customHeight="1">
      <c r="A1929" s="3928" t="s">
        <v>2258</v>
      </c>
      <c r="B1929" s="3928" t="s">
        <v>14</v>
      </c>
      <c r="C1929" s="3928" t="s">
        <v>2998</v>
      </c>
      <c r="D1929" s="3928" t="s">
        <v>2999</v>
      </c>
      <c r="E1929" s="3928" t="s">
        <v>3000</v>
      </c>
      <c r="F1929" s="3928" t="s">
        <v>2419</v>
      </c>
      <c r="G1929" s="3928" t="s">
        <v>3001</v>
      </c>
      <c r="H1929" s="3928" t="s">
        <v>24</v>
      </c>
      <c r="I1929" s="3928" t="s">
        <v>857</v>
      </c>
    </row>
    <row r="1930" spans="1:9" ht="11.25" customHeight="1">
      <c r="A1930" s="3928" t="s">
        <v>2258</v>
      </c>
      <c r="B1930" s="3928" t="s">
        <v>14</v>
      </c>
      <c r="C1930" s="3928" t="s">
        <v>3002</v>
      </c>
      <c r="D1930" s="3928" t="s">
        <v>3003</v>
      </c>
      <c r="E1930" s="3928" t="s">
        <v>3004</v>
      </c>
      <c r="F1930" s="3928" t="s">
        <v>2469</v>
      </c>
      <c r="G1930" s="3928" t="s">
        <v>24</v>
      </c>
      <c r="H1930" s="3928" t="s">
        <v>24</v>
      </c>
      <c r="I1930" s="3928" t="s">
        <v>857</v>
      </c>
    </row>
    <row r="1931" spans="1:9" ht="11.25" customHeight="1">
      <c r="A1931" s="3928" t="s">
        <v>2258</v>
      </c>
      <c r="B1931" s="3928" t="s">
        <v>14</v>
      </c>
      <c r="C1931" s="3928" t="s">
        <v>6349</v>
      </c>
      <c r="D1931" s="3928" t="s">
        <v>6350</v>
      </c>
      <c r="E1931" s="3928" t="s">
        <v>6351</v>
      </c>
      <c r="F1931" s="3928" t="s">
        <v>2289</v>
      </c>
      <c r="G1931" s="3928" t="s">
        <v>6352</v>
      </c>
      <c r="H1931" s="3928" t="s">
        <v>6353</v>
      </c>
      <c r="I1931" s="3928" t="s">
        <v>857</v>
      </c>
    </row>
    <row r="1932" spans="1:9" ht="11.25" customHeight="1">
      <c r="A1932" s="3928" t="s">
        <v>2258</v>
      </c>
      <c r="B1932" s="3928" t="s">
        <v>14</v>
      </c>
      <c r="C1932" s="3928" t="s">
        <v>3008</v>
      </c>
      <c r="D1932" s="3928" t="s">
        <v>3009</v>
      </c>
      <c r="E1932" s="3928" t="s">
        <v>3010</v>
      </c>
      <c r="F1932" s="3928" t="s">
        <v>2429</v>
      </c>
      <c r="G1932" s="3928" t="s">
        <v>3011</v>
      </c>
      <c r="H1932" s="3928" t="s">
        <v>3012</v>
      </c>
      <c r="I1932" s="3928" t="s">
        <v>857</v>
      </c>
    </row>
    <row r="1933" spans="1:9" ht="11.25" customHeight="1">
      <c r="A1933" s="3928" t="s">
        <v>2258</v>
      </c>
      <c r="B1933" s="3928" t="s">
        <v>14</v>
      </c>
      <c r="C1933" s="3928" t="s">
        <v>3013</v>
      </c>
      <c r="D1933" s="3928" t="s">
        <v>3014</v>
      </c>
      <c r="E1933" s="3928" t="s">
        <v>3015</v>
      </c>
      <c r="F1933" s="3928" t="s">
        <v>2294</v>
      </c>
      <c r="G1933" s="3928" t="s">
        <v>24</v>
      </c>
      <c r="H1933" s="3928" t="s">
        <v>24</v>
      </c>
      <c r="I1933" s="3928" t="s">
        <v>857</v>
      </c>
    </row>
    <row r="1934" spans="1:9" ht="11.25" customHeight="1">
      <c r="A1934" s="3928" t="s">
        <v>2258</v>
      </c>
      <c r="B1934" s="3928" t="s">
        <v>14</v>
      </c>
      <c r="C1934" s="3928" t="s">
        <v>6671</v>
      </c>
      <c r="D1934" s="3928" t="s">
        <v>6672</v>
      </c>
      <c r="E1934" s="3928" t="s">
        <v>6673</v>
      </c>
      <c r="F1934" s="3928" t="s">
        <v>4646</v>
      </c>
      <c r="G1934" s="3928" t="s">
        <v>24</v>
      </c>
      <c r="H1934" s="3928" t="s">
        <v>24</v>
      </c>
      <c r="I1934" s="3928" t="s">
        <v>857</v>
      </c>
    </row>
    <row r="1935" spans="1:9" ht="11.25" customHeight="1">
      <c r="A1935" s="3928" t="s">
        <v>2258</v>
      </c>
      <c r="B1935" s="3928" t="s">
        <v>14</v>
      </c>
      <c r="C1935" s="3928" t="s">
        <v>3016</v>
      </c>
      <c r="D1935" s="3928" t="s">
        <v>3017</v>
      </c>
      <c r="E1935" s="3928" t="s">
        <v>3018</v>
      </c>
      <c r="F1935" s="3928" t="s">
        <v>2965</v>
      </c>
      <c r="G1935" s="3928" t="s">
        <v>3019</v>
      </c>
      <c r="H1935" s="3928" t="s">
        <v>24</v>
      </c>
      <c r="I1935" s="3928" t="s">
        <v>857</v>
      </c>
    </row>
    <row r="1936" spans="1:9" ht="11.25" customHeight="1">
      <c r="A1936" s="3928" t="s">
        <v>2258</v>
      </c>
      <c r="B1936" s="3928" t="s">
        <v>14</v>
      </c>
      <c r="C1936" s="3928" t="s">
        <v>6674</v>
      </c>
      <c r="D1936" s="3928" t="s">
        <v>6675</v>
      </c>
      <c r="E1936" s="3928" t="s">
        <v>6676</v>
      </c>
      <c r="F1936" s="3928" t="s">
        <v>2638</v>
      </c>
      <c r="G1936" s="3928" t="s">
        <v>6677</v>
      </c>
      <c r="H1936" s="3928" t="s">
        <v>24</v>
      </c>
      <c r="I1936" s="3928" t="s">
        <v>857</v>
      </c>
    </row>
    <row r="1937" spans="1:9" ht="11.25" customHeight="1">
      <c r="A1937" s="3928" t="s">
        <v>2258</v>
      </c>
      <c r="B1937" s="3928" t="s">
        <v>14</v>
      </c>
      <c r="C1937" s="3928" t="s">
        <v>3020</v>
      </c>
      <c r="D1937" s="3928" t="s">
        <v>3021</v>
      </c>
      <c r="E1937" s="3928" t="s">
        <v>3022</v>
      </c>
      <c r="F1937" s="3928" t="s">
        <v>3023</v>
      </c>
      <c r="G1937" s="3928" t="s">
        <v>3024</v>
      </c>
      <c r="H1937" s="3928" t="s">
        <v>2263</v>
      </c>
      <c r="I1937" s="3928" t="s">
        <v>857</v>
      </c>
    </row>
    <row r="1938" spans="1:9" ht="11.25" customHeight="1">
      <c r="A1938" s="3928" t="s">
        <v>2258</v>
      </c>
      <c r="B1938" s="3928" t="s">
        <v>14</v>
      </c>
      <c r="C1938" s="3928" t="s">
        <v>6678</v>
      </c>
      <c r="D1938" s="3928" t="s">
        <v>6679</v>
      </c>
      <c r="E1938" s="3928" t="s">
        <v>6680</v>
      </c>
      <c r="F1938" s="3928" t="s">
        <v>2397</v>
      </c>
      <c r="G1938" s="3928" t="s">
        <v>24</v>
      </c>
      <c r="H1938" s="3928" t="s">
        <v>24</v>
      </c>
      <c r="I1938" s="3928" t="s">
        <v>857</v>
      </c>
    </row>
    <row r="1939" spans="1:9" ht="11.25" customHeight="1">
      <c r="A1939" s="3928" t="s">
        <v>2258</v>
      </c>
      <c r="B1939" s="3928" t="s">
        <v>14</v>
      </c>
      <c r="C1939" s="3928" t="s">
        <v>6681</v>
      </c>
      <c r="D1939" s="3928" t="s">
        <v>6682</v>
      </c>
      <c r="E1939" s="3928" t="s">
        <v>6683</v>
      </c>
      <c r="F1939" s="3928" t="s">
        <v>2567</v>
      </c>
      <c r="G1939" s="3928" t="s">
        <v>6684</v>
      </c>
      <c r="H1939" s="3928" t="s">
        <v>2772</v>
      </c>
      <c r="I1939" s="3928" t="s">
        <v>857</v>
      </c>
    </row>
    <row r="1940" spans="1:9" ht="11.25" customHeight="1">
      <c r="A1940" s="3928" t="s">
        <v>2258</v>
      </c>
      <c r="B1940" s="3928" t="s">
        <v>14</v>
      </c>
      <c r="C1940" s="3928" t="s">
        <v>6685</v>
      </c>
      <c r="D1940" s="3928" t="s">
        <v>6686</v>
      </c>
      <c r="E1940" s="3928" t="s">
        <v>6687</v>
      </c>
      <c r="F1940" s="3928" t="s">
        <v>3406</v>
      </c>
      <c r="G1940" s="3928" t="s">
        <v>6688</v>
      </c>
      <c r="H1940" s="3928" t="s">
        <v>6689</v>
      </c>
      <c r="I1940" s="3928" t="s">
        <v>857</v>
      </c>
    </row>
    <row r="1941" spans="1:9" ht="11.25" customHeight="1">
      <c r="A1941" s="3928" t="s">
        <v>2258</v>
      </c>
      <c r="B1941" s="3928" t="s">
        <v>14</v>
      </c>
      <c r="C1941" s="3928" t="s">
        <v>6690</v>
      </c>
      <c r="D1941" s="3928" t="s">
        <v>6691</v>
      </c>
      <c r="E1941" s="3928" t="s">
        <v>6692</v>
      </c>
      <c r="F1941" s="3928" t="s">
        <v>2429</v>
      </c>
      <c r="G1941" s="3928" t="s">
        <v>6693</v>
      </c>
      <c r="H1941" s="3928" t="s">
        <v>24</v>
      </c>
      <c r="I1941" s="3928" t="s">
        <v>857</v>
      </c>
    </row>
    <row r="1942" spans="1:9" ht="11.25" customHeight="1">
      <c r="A1942" s="3928" t="s">
        <v>2258</v>
      </c>
      <c r="B1942" s="3928" t="s">
        <v>14</v>
      </c>
      <c r="C1942" s="3928" t="s">
        <v>3029</v>
      </c>
      <c r="D1942" s="3928" t="s">
        <v>3030</v>
      </c>
      <c r="E1942" s="3928" t="s">
        <v>3031</v>
      </c>
      <c r="F1942" s="3928" t="s">
        <v>2414</v>
      </c>
      <c r="G1942" s="3928" t="s">
        <v>2420</v>
      </c>
      <c r="H1942" s="3928" t="s">
        <v>24</v>
      </c>
      <c r="I1942" s="3928" t="s">
        <v>857</v>
      </c>
    </row>
    <row r="1943" spans="1:9" ht="11.25" customHeight="1">
      <c r="A1943" s="3928" t="s">
        <v>2258</v>
      </c>
      <c r="B1943" s="3928" t="s">
        <v>14</v>
      </c>
      <c r="C1943" s="3928" t="s">
        <v>3032</v>
      </c>
      <c r="D1943" s="3928" t="s">
        <v>3033</v>
      </c>
      <c r="E1943" s="3928" t="s">
        <v>3034</v>
      </c>
      <c r="F1943" s="3928" t="s">
        <v>2796</v>
      </c>
      <c r="G1943" s="3928" t="s">
        <v>3035</v>
      </c>
      <c r="H1943" s="3928" t="s">
        <v>2263</v>
      </c>
      <c r="I1943" s="3928" t="s">
        <v>857</v>
      </c>
    </row>
    <row r="1944" spans="1:9" ht="11.25" customHeight="1">
      <c r="A1944" s="3928" t="s">
        <v>2258</v>
      </c>
      <c r="B1944" s="3928" t="s">
        <v>14</v>
      </c>
      <c r="C1944" s="3928" t="s">
        <v>6694</v>
      </c>
      <c r="D1944" s="3928" t="s">
        <v>6695</v>
      </c>
      <c r="E1944" s="3928" t="s">
        <v>6696</v>
      </c>
      <c r="F1944" s="3928" t="s">
        <v>2424</v>
      </c>
      <c r="G1944" s="3928" t="s">
        <v>6697</v>
      </c>
      <c r="H1944" s="3928" t="s">
        <v>6664</v>
      </c>
      <c r="I1944" s="3928" t="s">
        <v>857</v>
      </c>
    </row>
    <row r="1945" spans="1:9" ht="11.25" customHeight="1">
      <c r="A1945" s="3928" t="s">
        <v>2258</v>
      </c>
      <c r="B1945" s="3928" t="s">
        <v>14</v>
      </c>
      <c r="C1945" s="3928" t="s">
        <v>3036</v>
      </c>
      <c r="D1945" s="3928" t="s">
        <v>3037</v>
      </c>
      <c r="E1945" s="3928" t="s">
        <v>3038</v>
      </c>
      <c r="F1945" s="3928" t="s">
        <v>3039</v>
      </c>
      <c r="G1945" s="3928" t="s">
        <v>3040</v>
      </c>
      <c r="H1945" s="3928" t="s">
        <v>24</v>
      </c>
      <c r="I1945" s="3928" t="s">
        <v>857</v>
      </c>
    </row>
    <row r="1946" spans="1:9" ht="11.25" customHeight="1">
      <c r="A1946" s="3928" t="s">
        <v>2258</v>
      </c>
      <c r="B1946" s="3928" t="s">
        <v>14</v>
      </c>
      <c r="C1946" s="3928" t="s">
        <v>3041</v>
      </c>
      <c r="D1946" s="3928" t="s">
        <v>3042</v>
      </c>
      <c r="E1946" s="3928" t="s">
        <v>3043</v>
      </c>
      <c r="F1946" s="3928" t="s">
        <v>2486</v>
      </c>
      <c r="G1946" s="3928" t="s">
        <v>24</v>
      </c>
      <c r="H1946" s="3928" t="s">
        <v>24</v>
      </c>
      <c r="I1946" s="3928" t="s">
        <v>857</v>
      </c>
    </row>
    <row r="1947" spans="1:9" ht="11.25" customHeight="1">
      <c r="A1947" s="3928" t="s">
        <v>2258</v>
      </c>
      <c r="B1947" s="3928" t="s">
        <v>14</v>
      </c>
      <c r="C1947" s="3928" t="s">
        <v>3048</v>
      </c>
      <c r="D1947" s="3928" t="s">
        <v>3049</v>
      </c>
      <c r="E1947" s="3928" t="s">
        <v>3050</v>
      </c>
      <c r="F1947" s="3928" t="s">
        <v>3051</v>
      </c>
      <c r="G1947" s="3928" t="s">
        <v>3052</v>
      </c>
      <c r="H1947" s="3928" t="s">
        <v>24</v>
      </c>
      <c r="I1947" s="3928" t="s">
        <v>857</v>
      </c>
    </row>
    <row r="1948" spans="1:9" ht="11.25" customHeight="1">
      <c r="A1948" s="3928" t="s">
        <v>2258</v>
      </c>
      <c r="B1948" s="3928" t="s">
        <v>14</v>
      </c>
      <c r="C1948" s="3928" t="s">
        <v>3053</v>
      </c>
      <c r="D1948" s="3928" t="s">
        <v>3054</v>
      </c>
      <c r="E1948" s="3928" t="s">
        <v>3055</v>
      </c>
      <c r="F1948" s="3928" t="s">
        <v>2429</v>
      </c>
      <c r="G1948" s="3928" t="s">
        <v>24</v>
      </c>
      <c r="H1948" s="3928" t="s">
        <v>3056</v>
      </c>
      <c r="I1948" s="3928" t="s">
        <v>857</v>
      </c>
    </row>
    <row r="1949" spans="1:9" ht="11.25" customHeight="1">
      <c r="A1949" s="3928" t="s">
        <v>2258</v>
      </c>
      <c r="B1949" s="3928" t="s">
        <v>14</v>
      </c>
      <c r="C1949" s="3928" t="s">
        <v>3065</v>
      </c>
      <c r="D1949" s="3928" t="s">
        <v>3066</v>
      </c>
      <c r="E1949" s="3928" t="s">
        <v>3067</v>
      </c>
      <c r="F1949" s="3928" t="s">
        <v>2397</v>
      </c>
      <c r="G1949" s="3928" t="s">
        <v>24</v>
      </c>
      <c r="H1949" s="3928" t="s">
        <v>3068</v>
      </c>
      <c r="I1949" s="3928" t="s">
        <v>857</v>
      </c>
    </row>
    <row r="1950" spans="1:9" ht="11.25" customHeight="1">
      <c r="A1950" s="3928" t="s">
        <v>2258</v>
      </c>
      <c r="B1950" s="3928" t="s">
        <v>14</v>
      </c>
      <c r="C1950" s="3928" t="s">
        <v>6698</v>
      </c>
      <c r="D1950" s="3928" t="s">
        <v>6699</v>
      </c>
      <c r="E1950" s="3928" t="s">
        <v>3081</v>
      </c>
      <c r="F1950" s="3928" t="s">
        <v>6700</v>
      </c>
      <c r="G1950" s="3928" t="s">
        <v>24</v>
      </c>
      <c r="H1950" s="3928" t="s">
        <v>2848</v>
      </c>
      <c r="I1950" s="3928" t="s">
        <v>857</v>
      </c>
    </row>
    <row r="1951" spans="1:9" ht="11.25" customHeight="1">
      <c r="A1951" s="3928" t="s">
        <v>2258</v>
      </c>
      <c r="B1951" s="3928" t="s">
        <v>14</v>
      </c>
      <c r="C1951" s="3928" t="s">
        <v>3072</v>
      </c>
      <c r="D1951" s="3928" t="s">
        <v>3073</v>
      </c>
      <c r="E1951" s="3928" t="s">
        <v>3074</v>
      </c>
      <c r="F1951" s="3928" t="s">
        <v>2397</v>
      </c>
      <c r="G1951" s="3928" t="s">
        <v>24</v>
      </c>
      <c r="H1951" s="3928" t="s">
        <v>3075</v>
      </c>
      <c r="I1951" s="3928" t="s">
        <v>857</v>
      </c>
    </row>
    <row r="1952" spans="1:9" ht="11.25" customHeight="1">
      <c r="A1952" s="3928" t="s">
        <v>2258</v>
      </c>
      <c r="B1952" s="3928" t="s">
        <v>14</v>
      </c>
      <c r="C1952" s="3928" t="s">
        <v>6701</v>
      </c>
      <c r="D1952" s="3928" t="s">
        <v>6702</v>
      </c>
      <c r="E1952" s="3928" t="s">
        <v>6703</v>
      </c>
      <c r="F1952" s="3928" t="s">
        <v>2289</v>
      </c>
      <c r="G1952" s="3928" t="s">
        <v>24</v>
      </c>
      <c r="H1952" s="3928" t="s">
        <v>3068</v>
      </c>
      <c r="I1952" s="3928" t="s">
        <v>857</v>
      </c>
    </row>
    <row r="1953" spans="1:9" ht="11.25" customHeight="1">
      <c r="A1953" s="3928" t="s">
        <v>2258</v>
      </c>
      <c r="B1953" s="3928" t="s">
        <v>14</v>
      </c>
      <c r="C1953" s="3928" t="s">
        <v>6704</v>
      </c>
      <c r="D1953" s="3928" t="s">
        <v>6705</v>
      </c>
      <c r="E1953" s="3928" t="s">
        <v>6325</v>
      </c>
      <c r="F1953" s="3928" t="s">
        <v>6113</v>
      </c>
      <c r="G1953" s="3928" t="s">
        <v>24</v>
      </c>
      <c r="H1953" s="3928" t="s">
        <v>24</v>
      </c>
      <c r="I1953" s="3928" t="s">
        <v>857</v>
      </c>
    </row>
    <row r="1954" spans="1:9" ht="11.25" customHeight="1">
      <c r="A1954" s="3928" t="s">
        <v>2258</v>
      </c>
      <c r="B1954" s="3928" t="s">
        <v>14</v>
      </c>
      <c r="C1954" s="3928" t="s">
        <v>6706</v>
      </c>
      <c r="D1954" s="3928" t="s">
        <v>6707</v>
      </c>
      <c r="E1954" s="3928" t="s">
        <v>6708</v>
      </c>
      <c r="F1954" s="3928" t="s">
        <v>6709</v>
      </c>
      <c r="G1954" s="3928" t="s">
        <v>24</v>
      </c>
      <c r="H1954" s="3928" t="s">
        <v>24</v>
      </c>
      <c r="I1954" s="3928" t="s">
        <v>857</v>
      </c>
    </row>
    <row r="1955" spans="1:9" ht="11.25" customHeight="1">
      <c r="A1955" s="3928" t="s">
        <v>2258</v>
      </c>
      <c r="B1955" s="3928" t="s">
        <v>14</v>
      </c>
      <c r="C1955" s="3928" t="s">
        <v>3083</v>
      </c>
      <c r="D1955" s="3928" t="s">
        <v>3084</v>
      </c>
      <c r="E1955" s="3928" t="s">
        <v>3085</v>
      </c>
      <c r="F1955" s="3928" t="s">
        <v>3086</v>
      </c>
      <c r="G1955" s="3928" t="s">
        <v>3087</v>
      </c>
      <c r="H1955" s="3928" t="s">
        <v>24</v>
      </c>
      <c r="I1955" s="3928" t="s">
        <v>857</v>
      </c>
    </row>
    <row r="1956" spans="1:9" ht="11.25" customHeight="1">
      <c r="A1956" s="3928" t="s">
        <v>2258</v>
      </c>
      <c r="B1956" s="3928" t="s">
        <v>14</v>
      </c>
      <c r="C1956" s="3928" t="s">
        <v>3093</v>
      </c>
      <c r="D1956" s="3928" t="s">
        <v>3094</v>
      </c>
      <c r="E1956" s="3928" t="s">
        <v>3095</v>
      </c>
      <c r="F1956" s="3928" t="s">
        <v>2464</v>
      </c>
      <c r="G1956" s="3928" t="s">
        <v>3096</v>
      </c>
      <c r="H1956" s="3928" t="s">
        <v>24</v>
      </c>
      <c r="I1956" s="3928" t="s">
        <v>857</v>
      </c>
    </row>
    <row r="1957" spans="1:9" ht="11.25" customHeight="1">
      <c r="A1957" s="3928" t="s">
        <v>2258</v>
      </c>
      <c r="B1957" s="3928" t="s">
        <v>14</v>
      </c>
      <c r="C1957" s="3928" t="s">
        <v>3097</v>
      </c>
      <c r="D1957" s="3928" t="s">
        <v>3098</v>
      </c>
      <c r="E1957" s="3928" t="s">
        <v>3099</v>
      </c>
      <c r="F1957" s="3928" t="s">
        <v>2929</v>
      </c>
      <c r="G1957" s="3928" t="s">
        <v>3100</v>
      </c>
      <c r="H1957" s="3928" t="s">
        <v>24</v>
      </c>
      <c r="I1957" s="3928" t="s">
        <v>857</v>
      </c>
    </row>
    <row r="1958" spans="1:9" ht="11.25" customHeight="1">
      <c r="A1958" s="3928" t="s">
        <v>2258</v>
      </c>
      <c r="B1958" s="3928" t="s">
        <v>14</v>
      </c>
      <c r="C1958" s="3928" t="s">
        <v>6710</v>
      </c>
      <c r="D1958" s="3928" t="s">
        <v>6711</v>
      </c>
      <c r="E1958" s="3928" t="s">
        <v>6712</v>
      </c>
      <c r="F1958" s="3928" t="s">
        <v>2552</v>
      </c>
      <c r="G1958" s="3928" t="s">
        <v>24</v>
      </c>
      <c r="H1958" s="3928" t="s">
        <v>24</v>
      </c>
      <c r="I1958" s="3928" t="s">
        <v>857</v>
      </c>
    </row>
    <row r="1959" spans="1:9" ht="11.25" customHeight="1">
      <c r="A1959" s="3928" t="s">
        <v>2258</v>
      </c>
      <c r="B1959" s="3928" t="s">
        <v>14</v>
      </c>
      <c r="C1959" s="3928" t="s">
        <v>3101</v>
      </c>
      <c r="D1959" s="3928" t="s">
        <v>3102</v>
      </c>
      <c r="E1959" s="3928" t="s">
        <v>2821</v>
      </c>
      <c r="F1959" s="3928" t="s">
        <v>3103</v>
      </c>
      <c r="G1959" s="3928" t="s">
        <v>24</v>
      </c>
      <c r="H1959" s="3928" t="s">
        <v>24</v>
      </c>
      <c r="I1959" s="3928" t="s">
        <v>857</v>
      </c>
    </row>
    <row r="1960" spans="1:9" ht="11.25" customHeight="1">
      <c r="A1960" s="3928" t="s">
        <v>2258</v>
      </c>
      <c r="B1960" s="3928" t="s">
        <v>14</v>
      </c>
      <c r="C1960" s="3928" t="s">
        <v>3104</v>
      </c>
      <c r="D1960" s="3928" t="s">
        <v>3105</v>
      </c>
      <c r="E1960" s="3928" t="s">
        <v>3106</v>
      </c>
      <c r="F1960" s="3928" t="s">
        <v>2419</v>
      </c>
      <c r="G1960" s="3928" t="s">
        <v>3107</v>
      </c>
      <c r="H1960" s="3928" t="s">
        <v>24</v>
      </c>
      <c r="I1960" s="3928" t="s">
        <v>857</v>
      </c>
    </row>
    <row r="1961" spans="1:9" ht="11.25" customHeight="1">
      <c r="A1961" s="3928" t="s">
        <v>2258</v>
      </c>
      <c r="B1961" s="3928" t="s">
        <v>14</v>
      </c>
      <c r="C1961" s="3928" t="s">
        <v>3108</v>
      </c>
      <c r="D1961" s="3928" t="s">
        <v>3109</v>
      </c>
      <c r="E1961" s="3928" t="s">
        <v>3110</v>
      </c>
      <c r="F1961" s="3928" t="s">
        <v>2473</v>
      </c>
      <c r="G1961" s="3928" t="s">
        <v>3111</v>
      </c>
      <c r="H1961" s="3928" t="s">
        <v>24</v>
      </c>
      <c r="I1961" s="3928" t="s">
        <v>857</v>
      </c>
    </row>
    <row r="1962" spans="1:9" ht="11.25" customHeight="1">
      <c r="A1962" s="3928" t="s">
        <v>2258</v>
      </c>
      <c r="B1962" s="3928" t="s">
        <v>14</v>
      </c>
      <c r="C1962" s="3928" t="s">
        <v>6713</v>
      </c>
      <c r="D1962" s="3928" t="s">
        <v>6714</v>
      </c>
      <c r="E1962" s="3928" t="s">
        <v>6715</v>
      </c>
      <c r="F1962" s="3928" t="s">
        <v>2294</v>
      </c>
      <c r="G1962" s="3928" t="s">
        <v>6716</v>
      </c>
      <c r="H1962" s="3928" t="s">
        <v>6717</v>
      </c>
      <c r="I1962" s="3928" t="s">
        <v>857</v>
      </c>
    </row>
    <row r="1963" spans="1:9" ht="11.25" customHeight="1">
      <c r="A1963" s="3928" t="s">
        <v>2258</v>
      </c>
      <c r="B1963" s="3928" t="s">
        <v>14</v>
      </c>
      <c r="C1963" s="3928" t="s">
        <v>6718</v>
      </c>
      <c r="D1963" s="3928" t="s">
        <v>6719</v>
      </c>
      <c r="E1963" s="3928" t="s">
        <v>6720</v>
      </c>
      <c r="F1963" s="3928" t="s">
        <v>2486</v>
      </c>
      <c r="G1963" s="3928" t="s">
        <v>24</v>
      </c>
      <c r="H1963" s="3928" t="s">
        <v>24</v>
      </c>
      <c r="I1963" s="3928" t="s">
        <v>857</v>
      </c>
    </row>
    <row r="1964" spans="1:9" ht="11.25" customHeight="1">
      <c r="A1964" s="3928" t="s">
        <v>2258</v>
      </c>
      <c r="B1964" s="3928" t="s">
        <v>14</v>
      </c>
      <c r="C1964" s="3928" t="s">
        <v>6354</v>
      </c>
      <c r="D1964" s="3928" t="s">
        <v>6355</v>
      </c>
      <c r="E1964" s="3928" t="s">
        <v>6356</v>
      </c>
      <c r="F1964" s="3928" t="s">
        <v>2409</v>
      </c>
      <c r="G1964" s="3928" t="s">
        <v>24</v>
      </c>
      <c r="H1964" s="3928" t="s">
        <v>2263</v>
      </c>
      <c r="I1964" s="3928" t="s">
        <v>857</v>
      </c>
    </row>
    <row r="1965" spans="1:9" ht="11.25" customHeight="1">
      <c r="A1965" s="3928" t="s">
        <v>2258</v>
      </c>
      <c r="B1965" s="3928" t="s">
        <v>14</v>
      </c>
      <c r="C1965" s="3928" t="s">
        <v>6721</v>
      </c>
      <c r="D1965" s="3928" t="s">
        <v>6722</v>
      </c>
      <c r="E1965" s="3928" t="s">
        <v>6723</v>
      </c>
      <c r="F1965" s="3928" t="s">
        <v>2304</v>
      </c>
      <c r="G1965" s="3928" t="s">
        <v>6724</v>
      </c>
      <c r="H1965" s="3928" t="s">
        <v>24</v>
      </c>
      <c r="I1965" s="3928" t="s">
        <v>857</v>
      </c>
    </row>
    <row r="1966" spans="1:9" ht="11.25" customHeight="1">
      <c r="A1966" s="3928" t="s">
        <v>2258</v>
      </c>
      <c r="B1966" s="3928" t="s">
        <v>14</v>
      </c>
      <c r="C1966" s="3928" t="s">
        <v>6357</v>
      </c>
      <c r="D1966" s="3928" t="s">
        <v>6358</v>
      </c>
      <c r="E1966" s="3928" t="s">
        <v>6359</v>
      </c>
      <c r="F1966" s="3928" t="s">
        <v>2409</v>
      </c>
      <c r="G1966" s="3928" t="s">
        <v>6360</v>
      </c>
      <c r="H1966" s="3928" t="s">
        <v>2263</v>
      </c>
      <c r="I1966" s="3928" t="s">
        <v>857</v>
      </c>
    </row>
    <row r="1967" spans="1:9" ht="11.25" customHeight="1">
      <c r="A1967" s="3928" t="s">
        <v>2258</v>
      </c>
      <c r="B1967" s="3928" t="s">
        <v>14</v>
      </c>
      <c r="C1967" s="3928" t="s">
        <v>6725</v>
      </c>
      <c r="D1967" s="3928" t="s">
        <v>6726</v>
      </c>
      <c r="E1967" s="3928" t="s">
        <v>2261</v>
      </c>
      <c r="F1967" s="3928" t="s">
        <v>5796</v>
      </c>
      <c r="G1967" s="3928" t="s">
        <v>24</v>
      </c>
      <c r="H1967" s="3928" t="s">
        <v>2848</v>
      </c>
      <c r="I1967" s="3928" t="s">
        <v>857</v>
      </c>
    </row>
    <row r="1968" spans="1:9" ht="11.25" customHeight="1">
      <c r="A1968" s="3928" t="s">
        <v>2258</v>
      </c>
      <c r="B1968" s="3928" t="s">
        <v>14</v>
      </c>
      <c r="C1968" s="3928" t="s">
        <v>3112</v>
      </c>
      <c r="D1968" s="3928" t="s">
        <v>3113</v>
      </c>
      <c r="E1968" s="3928" t="s">
        <v>3114</v>
      </c>
      <c r="F1968" s="3928" t="s">
        <v>3115</v>
      </c>
      <c r="G1968" s="3928" t="s">
        <v>3116</v>
      </c>
      <c r="H1968" s="3928" t="s">
        <v>24</v>
      </c>
      <c r="I1968" s="3928" t="s">
        <v>857</v>
      </c>
    </row>
    <row r="1969" spans="1:9" ht="11.25" customHeight="1">
      <c r="A1969" s="3928" t="s">
        <v>2258</v>
      </c>
      <c r="B1969" s="3928" t="s">
        <v>14</v>
      </c>
      <c r="C1969" s="3928" t="s">
        <v>6727</v>
      </c>
      <c r="D1969" s="3928" t="s">
        <v>6728</v>
      </c>
      <c r="E1969" s="3928" t="s">
        <v>6729</v>
      </c>
      <c r="F1969" s="3928" t="s">
        <v>2469</v>
      </c>
      <c r="G1969" s="3928" t="s">
        <v>24</v>
      </c>
      <c r="H1969" s="3928" t="s">
        <v>24</v>
      </c>
      <c r="I1969" s="3928" t="s">
        <v>857</v>
      </c>
    </row>
    <row r="1970" spans="1:9" ht="11.25" customHeight="1">
      <c r="A1970" s="3928" t="s">
        <v>2258</v>
      </c>
      <c r="B1970" s="3928" t="s">
        <v>14</v>
      </c>
      <c r="C1970" s="3928" t="s">
        <v>6361</v>
      </c>
      <c r="D1970" s="3928" t="s">
        <v>6362</v>
      </c>
      <c r="E1970" s="3928" t="s">
        <v>6363</v>
      </c>
      <c r="F1970" s="3928" t="s">
        <v>2424</v>
      </c>
      <c r="G1970" s="3928" t="s">
        <v>24</v>
      </c>
      <c r="H1970" s="3928" t="s">
        <v>2263</v>
      </c>
      <c r="I1970" s="3928" t="s">
        <v>857</v>
      </c>
    </row>
    <row r="1971" spans="1:9" ht="11.25" customHeight="1">
      <c r="A1971" s="3928" t="s">
        <v>2258</v>
      </c>
      <c r="B1971" s="3928" t="s">
        <v>14</v>
      </c>
      <c r="C1971" s="3928" t="s">
        <v>6730</v>
      </c>
      <c r="D1971" s="3928" t="s">
        <v>6731</v>
      </c>
      <c r="E1971" s="3928" t="s">
        <v>6732</v>
      </c>
      <c r="F1971" s="3928" t="s">
        <v>2567</v>
      </c>
      <c r="G1971" s="3928" t="s">
        <v>24</v>
      </c>
      <c r="H1971" s="3928" t="s">
        <v>24</v>
      </c>
      <c r="I1971" s="3928" t="s">
        <v>857</v>
      </c>
    </row>
    <row r="1972" spans="1:9" ht="11.25" customHeight="1">
      <c r="A1972" s="3928" t="s">
        <v>2258</v>
      </c>
      <c r="B1972" s="3928" t="s">
        <v>14</v>
      </c>
      <c r="C1972" s="3928" t="s">
        <v>3130</v>
      </c>
      <c r="D1972" s="3928" t="s">
        <v>3131</v>
      </c>
      <c r="E1972" s="3928" t="s">
        <v>3132</v>
      </c>
      <c r="F1972" s="3928" t="s">
        <v>2469</v>
      </c>
      <c r="G1972" s="3928" t="s">
        <v>24</v>
      </c>
      <c r="H1972" s="3928" t="s">
        <v>24</v>
      </c>
      <c r="I1972" s="3928" t="s">
        <v>857</v>
      </c>
    </row>
    <row r="1973" spans="1:9" ht="11.25" customHeight="1">
      <c r="A1973" s="3928" t="s">
        <v>2258</v>
      </c>
      <c r="B1973" s="3928" t="s">
        <v>14</v>
      </c>
      <c r="C1973" s="3928" t="s">
        <v>6733</v>
      </c>
      <c r="D1973" s="3928" t="s">
        <v>6734</v>
      </c>
      <c r="E1973" s="3928" t="s">
        <v>6735</v>
      </c>
      <c r="F1973" s="3928" t="s">
        <v>2359</v>
      </c>
      <c r="G1973" s="3928" t="s">
        <v>6736</v>
      </c>
      <c r="H1973" s="3928" t="s">
        <v>24</v>
      </c>
      <c r="I1973" s="3928" t="s">
        <v>857</v>
      </c>
    </row>
    <row r="1974" spans="1:9" ht="11.25" customHeight="1">
      <c r="A1974" s="3928" t="s">
        <v>2258</v>
      </c>
      <c r="B1974" s="3928" t="s">
        <v>14</v>
      </c>
      <c r="C1974" s="3928" t="s">
        <v>6737</v>
      </c>
      <c r="D1974" s="3928" t="s">
        <v>622</v>
      </c>
      <c r="E1974" s="3928" t="s">
        <v>6738</v>
      </c>
      <c r="F1974" s="3928" t="s">
        <v>3509</v>
      </c>
      <c r="G1974" s="3928" t="s">
        <v>6739</v>
      </c>
      <c r="H1974" s="3928" t="s">
        <v>24</v>
      </c>
      <c r="I1974" s="3928" t="s">
        <v>857</v>
      </c>
    </row>
    <row r="1975" spans="1:9" ht="11.25" customHeight="1">
      <c r="A1975" s="3928" t="s">
        <v>2258</v>
      </c>
      <c r="B1975" s="3928" t="s">
        <v>14</v>
      </c>
      <c r="C1975" s="3928" t="s">
        <v>3146</v>
      </c>
      <c r="D1975" s="3928" t="s">
        <v>3147</v>
      </c>
      <c r="E1975" s="3928" t="s">
        <v>3148</v>
      </c>
      <c r="F1975" s="3928" t="s">
        <v>2325</v>
      </c>
      <c r="G1975" s="3928" t="s">
        <v>24</v>
      </c>
      <c r="H1975" s="3928" t="s">
        <v>24</v>
      </c>
      <c r="I1975" s="3928" t="s">
        <v>857</v>
      </c>
    </row>
    <row r="1976" spans="1:9" ht="11.25" customHeight="1">
      <c r="A1976" s="3928" t="s">
        <v>2258</v>
      </c>
      <c r="B1976" s="3928" t="s">
        <v>14</v>
      </c>
      <c r="C1976" s="3928" t="s">
        <v>3162</v>
      </c>
      <c r="D1976" s="3928" t="s">
        <v>3163</v>
      </c>
      <c r="E1976" s="3928" t="s">
        <v>3164</v>
      </c>
      <c r="F1976" s="3928" t="s">
        <v>49</v>
      </c>
      <c r="G1976" s="3928" t="s">
        <v>24</v>
      </c>
      <c r="H1976" s="3928" t="s">
        <v>24</v>
      </c>
      <c r="I1976" s="3928" t="s">
        <v>857</v>
      </c>
    </row>
    <row r="1977" spans="1:9" ht="11.25" customHeight="1">
      <c r="A1977" s="3928" t="s">
        <v>2258</v>
      </c>
      <c r="B1977" s="3928" t="s">
        <v>14</v>
      </c>
      <c r="C1977" s="3928" t="s">
        <v>3169</v>
      </c>
      <c r="D1977" s="3928" t="s">
        <v>3170</v>
      </c>
      <c r="E1977" s="3928" t="s">
        <v>3171</v>
      </c>
      <c r="F1977" s="3928" t="s">
        <v>2289</v>
      </c>
      <c r="G1977" s="3928" t="s">
        <v>24</v>
      </c>
      <c r="H1977" s="3928" t="s">
        <v>2263</v>
      </c>
      <c r="I1977" s="3928" t="s">
        <v>857</v>
      </c>
    </row>
    <row r="1978" spans="1:9" ht="11.25" customHeight="1">
      <c r="A1978" s="3928" t="s">
        <v>2258</v>
      </c>
      <c r="B1978" s="3928" t="s">
        <v>14</v>
      </c>
      <c r="C1978" s="3928" t="s">
        <v>6740</v>
      </c>
      <c r="D1978" s="3928" t="s">
        <v>3173</v>
      </c>
      <c r="E1978" s="3928" t="s">
        <v>3174</v>
      </c>
      <c r="F1978" s="3928" t="s">
        <v>2397</v>
      </c>
      <c r="G1978" s="3928" t="s">
        <v>24</v>
      </c>
      <c r="H1978" s="3928" t="s">
        <v>6741</v>
      </c>
      <c r="I1978" s="3928" t="s">
        <v>857</v>
      </c>
    </row>
    <row r="1979" spans="1:9" ht="11.25" customHeight="1">
      <c r="A1979" s="3928" t="s">
        <v>2258</v>
      </c>
      <c r="B1979" s="3928" t="s">
        <v>14</v>
      </c>
      <c r="C1979" s="3928" t="s">
        <v>3176</v>
      </c>
      <c r="D1979" s="3928" t="s">
        <v>3177</v>
      </c>
      <c r="E1979" s="3928" t="s">
        <v>3178</v>
      </c>
      <c r="F1979" s="3928" t="s">
        <v>2675</v>
      </c>
      <c r="G1979" s="3928" t="s">
        <v>3179</v>
      </c>
      <c r="H1979" s="3928" t="s">
        <v>24</v>
      </c>
      <c r="I1979" s="3928" t="s">
        <v>857</v>
      </c>
    </row>
    <row r="1980" spans="1:9" ht="11.25" customHeight="1">
      <c r="A1980" s="3928" t="s">
        <v>2258</v>
      </c>
      <c r="B1980" s="3928" t="s">
        <v>14</v>
      </c>
      <c r="C1980" s="3928" t="s">
        <v>6742</v>
      </c>
      <c r="D1980" s="3928" t="s">
        <v>6743</v>
      </c>
      <c r="E1980" s="3928" t="s">
        <v>6744</v>
      </c>
      <c r="F1980" s="3928" t="s">
        <v>2552</v>
      </c>
      <c r="G1980" s="3928" t="s">
        <v>24</v>
      </c>
      <c r="H1980" s="3928" t="s">
        <v>3992</v>
      </c>
      <c r="I1980" s="3928" t="s">
        <v>857</v>
      </c>
    </row>
    <row r="1981" spans="1:9" ht="11.25" customHeight="1">
      <c r="A1981" s="3928" t="s">
        <v>2258</v>
      </c>
      <c r="B1981" s="3928" t="s">
        <v>14</v>
      </c>
      <c r="C1981" s="3928" t="s">
        <v>6745</v>
      </c>
      <c r="D1981" s="3928" t="s">
        <v>6746</v>
      </c>
      <c r="E1981" s="3928" t="s">
        <v>6747</v>
      </c>
      <c r="F1981" s="3928" t="s">
        <v>4428</v>
      </c>
      <c r="G1981" s="3928" t="s">
        <v>24</v>
      </c>
      <c r="H1981" s="3928" t="s">
        <v>24</v>
      </c>
      <c r="I1981" s="3928" t="s">
        <v>857</v>
      </c>
    </row>
    <row r="1982" spans="1:9" ht="11.25" customHeight="1">
      <c r="A1982" s="3928" t="s">
        <v>2258</v>
      </c>
      <c r="B1982" s="3928" t="s">
        <v>14</v>
      </c>
      <c r="C1982" s="3928" t="s">
        <v>6748</v>
      </c>
      <c r="D1982" s="3928" t="s">
        <v>6749</v>
      </c>
      <c r="E1982" s="3928" t="s">
        <v>6750</v>
      </c>
      <c r="F1982" s="3928" t="s">
        <v>2289</v>
      </c>
      <c r="G1982" s="3928" t="s">
        <v>24</v>
      </c>
      <c r="H1982" s="3928" t="s">
        <v>24</v>
      </c>
      <c r="I1982" s="3928" t="s">
        <v>857</v>
      </c>
    </row>
    <row r="1983" spans="1:9" ht="11.25" customHeight="1">
      <c r="A1983" s="3928" t="s">
        <v>2258</v>
      </c>
      <c r="B1983" s="3928" t="s">
        <v>14</v>
      </c>
      <c r="C1983" s="3928" t="s">
        <v>3191</v>
      </c>
      <c r="D1983" s="3928" t="s">
        <v>3192</v>
      </c>
      <c r="E1983" s="3928" t="s">
        <v>3193</v>
      </c>
      <c r="F1983" s="3928" t="s">
        <v>3194</v>
      </c>
      <c r="G1983" s="3928" t="s">
        <v>24</v>
      </c>
      <c r="H1983" s="3928" t="s">
        <v>24</v>
      </c>
      <c r="I1983" s="3928" t="s">
        <v>857</v>
      </c>
    </row>
    <row r="1984" spans="1:9" ht="11.25" customHeight="1">
      <c r="A1984" s="3928" t="s">
        <v>2258</v>
      </c>
      <c r="B1984" s="3928" t="s">
        <v>14</v>
      </c>
      <c r="C1984" s="3928" t="s">
        <v>6751</v>
      </c>
      <c r="D1984" s="3928" t="s">
        <v>6752</v>
      </c>
      <c r="E1984" s="3928" t="s">
        <v>6753</v>
      </c>
      <c r="F1984" s="3928" t="s">
        <v>2451</v>
      </c>
      <c r="G1984" s="3928" t="s">
        <v>24</v>
      </c>
      <c r="H1984" s="3928" t="s">
        <v>6754</v>
      </c>
      <c r="I1984" s="3928" t="s">
        <v>857</v>
      </c>
    </row>
    <row r="1985" spans="1:9" ht="11.25" customHeight="1">
      <c r="A1985" s="3928" t="s">
        <v>2258</v>
      </c>
      <c r="B1985" s="3928" t="s">
        <v>14</v>
      </c>
      <c r="C1985" s="3928" t="s">
        <v>6755</v>
      </c>
      <c r="D1985" s="3928" t="s">
        <v>6756</v>
      </c>
      <c r="E1985" s="3928" t="s">
        <v>6757</v>
      </c>
      <c r="F1985" s="3928" t="s">
        <v>2638</v>
      </c>
      <c r="G1985" s="3928" t="s">
        <v>24</v>
      </c>
      <c r="H1985" s="3928" t="s">
        <v>2848</v>
      </c>
      <c r="I1985" s="3928" t="s">
        <v>857</v>
      </c>
    </row>
    <row r="1986" spans="1:9" ht="11.25" customHeight="1">
      <c r="A1986" s="3928" t="s">
        <v>2258</v>
      </c>
      <c r="B1986" s="3928" t="s">
        <v>14</v>
      </c>
      <c r="C1986" s="3928" t="s">
        <v>6758</v>
      </c>
      <c r="D1986" s="3928" t="s">
        <v>6759</v>
      </c>
      <c r="E1986" s="3928" t="s">
        <v>6760</v>
      </c>
      <c r="F1986" s="3928" t="s">
        <v>2567</v>
      </c>
      <c r="G1986" s="3928" t="s">
        <v>24</v>
      </c>
      <c r="H1986" s="3928" t="s">
        <v>24</v>
      </c>
      <c r="I1986" s="3928" t="s">
        <v>857</v>
      </c>
    </row>
    <row r="1987" spans="1:9" ht="11.25" customHeight="1">
      <c r="A1987" s="3928" t="s">
        <v>2258</v>
      </c>
      <c r="B1987" s="3928" t="s">
        <v>14</v>
      </c>
      <c r="C1987" s="3928" t="s">
        <v>6761</v>
      </c>
      <c r="D1987" s="3928" t="s">
        <v>6762</v>
      </c>
      <c r="E1987" s="3928" t="s">
        <v>6763</v>
      </c>
      <c r="F1987" s="3928" t="s">
        <v>2701</v>
      </c>
      <c r="G1987" s="3928" t="s">
        <v>24</v>
      </c>
      <c r="H1987" s="3928" t="s">
        <v>24</v>
      </c>
      <c r="I1987" s="3928" t="s">
        <v>857</v>
      </c>
    </row>
    <row r="1988" spans="1:9" ht="11.25" customHeight="1">
      <c r="A1988" s="3928" t="s">
        <v>2258</v>
      </c>
      <c r="B1988" s="3928" t="s">
        <v>14</v>
      </c>
      <c r="C1988" s="3928" t="s">
        <v>3210</v>
      </c>
      <c r="D1988" s="3928" t="s">
        <v>3211</v>
      </c>
      <c r="E1988" s="3928" t="s">
        <v>3212</v>
      </c>
      <c r="F1988" s="3928" t="s">
        <v>2262</v>
      </c>
      <c r="G1988" s="3928" t="s">
        <v>3213</v>
      </c>
      <c r="H1988" s="3928" t="s">
        <v>2314</v>
      </c>
      <c r="I1988" s="3928" t="s">
        <v>857</v>
      </c>
    </row>
    <row r="1989" spans="1:9" ht="11.25" customHeight="1">
      <c r="A1989" s="3928" t="s">
        <v>2258</v>
      </c>
      <c r="B1989" s="3928" t="s">
        <v>14</v>
      </c>
      <c r="C1989" s="3928" t="s">
        <v>6764</v>
      </c>
      <c r="D1989" s="3928" t="s">
        <v>6765</v>
      </c>
      <c r="E1989" s="3928" t="s">
        <v>6766</v>
      </c>
      <c r="F1989" s="3928" t="s">
        <v>2289</v>
      </c>
      <c r="G1989" s="3928" t="s">
        <v>24</v>
      </c>
      <c r="H1989" s="3928" t="s">
        <v>24</v>
      </c>
      <c r="I1989" s="3928" t="s">
        <v>857</v>
      </c>
    </row>
    <row r="1990" spans="1:9" ht="11.25" customHeight="1">
      <c r="A1990" s="3928" t="s">
        <v>2258</v>
      </c>
      <c r="B1990" s="3928" t="s">
        <v>14</v>
      </c>
      <c r="C1990" s="3928" t="s">
        <v>3214</v>
      </c>
      <c r="D1990" s="3928" t="s">
        <v>3215</v>
      </c>
      <c r="E1990" s="3928" t="s">
        <v>3216</v>
      </c>
      <c r="F1990" s="3928" t="s">
        <v>2419</v>
      </c>
      <c r="G1990" s="3928" t="s">
        <v>24</v>
      </c>
      <c r="H1990" s="3928" t="s">
        <v>3217</v>
      </c>
      <c r="I1990" s="3928" t="s">
        <v>857</v>
      </c>
    </row>
    <row r="1991" spans="1:9" ht="11.25" customHeight="1">
      <c r="A1991" s="3928" t="s">
        <v>2258</v>
      </c>
      <c r="B1991" s="3928" t="s">
        <v>14</v>
      </c>
      <c r="C1991" s="3928" t="s">
        <v>6767</v>
      </c>
      <c r="D1991" s="3928" t="s">
        <v>6768</v>
      </c>
      <c r="E1991" s="3928" t="s">
        <v>3216</v>
      </c>
      <c r="F1991" s="3928" t="s">
        <v>6769</v>
      </c>
      <c r="G1991" s="3928" t="s">
        <v>24</v>
      </c>
      <c r="H1991" s="3928" t="s">
        <v>3217</v>
      </c>
      <c r="I1991" s="3928" t="s">
        <v>857</v>
      </c>
    </row>
    <row r="1992" spans="1:9" ht="11.25" customHeight="1">
      <c r="A1992" s="3928" t="s">
        <v>2258</v>
      </c>
      <c r="B1992" s="3928" t="s">
        <v>14</v>
      </c>
      <c r="C1992" s="3928" t="s">
        <v>6770</v>
      </c>
      <c r="D1992" s="3928" t="s">
        <v>6771</v>
      </c>
      <c r="E1992" s="3928" t="s">
        <v>6772</v>
      </c>
      <c r="F1992" s="3928" t="s">
        <v>2262</v>
      </c>
      <c r="G1992" s="3928" t="s">
        <v>24</v>
      </c>
      <c r="H1992" s="3928" t="s">
        <v>2848</v>
      </c>
      <c r="I1992" s="3928" t="s">
        <v>857</v>
      </c>
    </row>
    <row r="1993" spans="1:9" ht="11.25" customHeight="1">
      <c r="A1993" s="3928" t="s">
        <v>2258</v>
      </c>
      <c r="B1993" s="3928" t="s">
        <v>14</v>
      </c>
      <c r="C1993" s="3928" t="s">
        <v>6364</v>
      </c>
      <c r="D1993" s="3928" t="s">
        <v>6365</v>
      </c>
      <c r="E1993" s="3928" t="s">
        <v>6366</v>
      </c>
      <c r="F1993" s="3928" t="s">
        <v>2299</v>
      </c>
      <c r="G1993" s="3928" t="s">
        <v>24</v>
      </c>
      <c r="H1993" s="3928" t="s">
        <v>24</v>
      </c>
      <c r="I1993" s="3928" t="s">
        <v>857</v>
      </c>
    </row>
    <row r="1994" spans="1:9" ht="11.25" customHeight="1">
      <c r="A1994" s="3928" t="s">
        <v>2258</v>
      </c>
      <c r="B1994" s="3928" t="s">
        <v>14</v>
      </c>
      <c r="C1994" s="3928" t="s">
        <v>6773</v>
      </c>
      <c r="D1994" s="3928" t="s">
        <v>6774</v>
      </c>
      <c r="E1994" s="3928" t="s">
        <v>6775</v>
      </c>
      <c r="F1994" s="3928" t="s">
        <v>2289</v>
      </c>
      <c r="G1994" s="3928" t="s">
        <v>24</v>
      </c>
      <c r="H1994" s="3928" t="s">
        <v>24</v>
      </c>
      <c r="I1994" s="3928" t="s">
        <v>857</v>
      </c>
    </row>
    <row r="1995" spans="1:9" ht="11.25" customHeight="1">
      <c r="A1995" s="3928" t="s">
        <v>2258</v>
      </c>
      <c r="B1995" s="3928" t="s">
        <v>14</v>
      </c>
      <c r="C1995" s="3928" t="s">
        <v>6776</v>
      </c>
      <c r="D1995" s="3928" t="s">
        <v>3224</v>
      </c>
      <c r="E1995" s="3928" t="s">
        <v>6777</v>
      </c>
      <c r="F1995" s="3928" t="s">
        <v>6778</v>
      </c>
      <c r="G1995" s="3928" t="s">
        <v>24</v>
      </c>
      <c r="H1995" s="3928" t="s">
        <v>2263</v>
      </c>
      <c r="I1995" s="3928" t="s">
        <v>857</v>
      </c>
    </row>
    <row r="1996" spans="1:9" ht="11.25" customHeight="1">
      <c r="A1996" s="3928" t="s">
        <v>2258</v>
      </c>
      <c r="B1996" s="3928" t="s">
        <v>14</v>
      </c>
      <c r="C1996" s="3928" t="s">
        <v>3226</v>
      </c>
      <c r="D1996" s="3928" t="s">
        <v>3227</v>
      </c>
      <c r="E1996" s="3928" t="s">
        <v>3228</v>
      </c>
      <c r="F1996" s="3928" t="s">
        <v>2294</v>
      </c>
      <c r="G1996" s="3928" t="s">
        <v>24</v>
      </c>
      <c r="H1996" s="3928" t="s">
        <v>24</v>
      </c>
      <c r="I1996" s="3928" t="s">
        <v>857</v>
      </c>
    </row>
    <row r="1997" spans="1:9" ht="11.25" customHeight="1">
      <c r="A1997" s="3928" t="s">
        <v>2258</v>
      </c>
      <c r="B1997" s="3928" t="s">
        <v>14</v>
      </c>
      <c r="C1997" s="3928" t="s">
        <v>6779</v>
      </c>
      <c r="D1997" s="3928" t="s">
        <v>6780</v>
      </c>
      <c r="E1997" s="3928" t="s">
        <v>6781</v>
      </c>
      <c r="F1997" s="3928" t="s">
        <v>2965</v>
      </c>
      <c r="G1997" s="3928" t="s">
        <v>24</v>
      </c>
      <c r="H1997" s="3928" t="s">
        <v>24</v>
      </c>
      <c r="I1997" s="3928" t="s">
        <v>857</v>
      </c>
    </row>
    <row r="1998" spans="1:9" ht="11.25" customHeight="1">
      <c r="A1998" s="3928" t="s">
        <v>2258</v>
      </c>
      <c r="B1998" s="3928" t="s">
        <v>14</v>
      </c>
      <c r="C1998" s="3928" t="s">
        <v>6782</v>
      </c>
      <c r="D1998" s="3928" t="s">
        <v>6783</v>
      </c>
      <c r="E1998" s="3928" t="s">
        <v>6784</v>
      </c>
      <c r="F1998" s="3928" t="s">
        <v>2304</v>
      </c>
      <c r="G1998" s="3928" t="s">
        <v>24</v>
      </c>
      <c r="H1998" s="3928" t="s">
        <v>24</v>
      </c>
      <c r="I1998" s="3928" t="s">
        <v>857</v>
      </c>
    </row>
    <row r="1999" spans="1:9" ht="11.25" customHeight="1">
      <c r="A1999" s="3928" t="s">
        <v>2258</v>
      </c>
      <c r="B1999" s="3928" t="s">
        <v>14</v>
      </c>
      <c r="C1999" s="3928" t="s">
        <v>3229</v>
      </c>
      <c r="D1999" s="3928" t="s">
        <v>3230</v>
      </c>
      <c r="E1999" s="3928" t="s">
        <v>3231</v>
      </c>
      <c r="F1999" s="3928" t="s">
        <v>2929</v>
      </c>
      <c r="G1999" s="3928" t="s">
        <v>3232</v>
      </c>
      <c r="H1999" s="3928" t="s">
        <v>24</v>
      </c>
      <c r="I1999" s="3928" t="s">
        <v>857</v>
      </c>
    </row>
    <row r="2000" spans="1:9" ht="11.25" customHeight="1">
      <c r="A2000" s="3928" t="s">
        <v>2258</v>
      </c>
      <c r="B2000" s="3928" t="s">
        <v>14</v>
      </c>
      <c r="C2000" s="3928" t="s">
        <v>3233</v>
      </c>
      <c r="D2000" s="3928" t="s">
        <v>3234</v>
      </c>
      <c r="E2000" s="3928" t="s">
        <v>3235</v>
      </c>
      <c r="F2000" s="3928" t="s">
        <v>2289</v>
      </c>
      <c r="G2000" s="3928" t="s">
        <v>3236</v>
      </c>
      <c r="H2000" s="3928" t="s">
        <v>24</v>
      </c>
      <c r="I2000" s="3928" t="s">
        <v>857</v>
      </c>
    </row>
    <row r="2001" spans="1:9" ht="11.25" customHeight="1">
      <c r="A2001" s="3928" t="s">
        <v>2258</v>
      </c>
      <c r="B2001" s="3928" t="s">
        <v>14</v>
      </c>
      <c r="C2001" s="3928" t="s">
        <v>6785</v>
      </c>
      <c r="D2001" s="3928" t="s">
        <v>6786</v>
      </c>
      <c r="E2001" s="3928" t="s">
        <v>5758</v>
      </c>
      <c r="F2001" s="3928" t="s">
        <v>4179</v>
      </c>
      <c r="G2001" s="3928" t="s">
        <v>24</v>
      </c>
      <c r="H2001" s="3928" t="s">
        <v>2848</v>
      </c>
      <c r="I2001" s="3928" t="s">
        <v>857</v>
      </c>
    </row>
    <row r="2002" spans="1:9" ht="11.25" customHeight="1">
      <c r="A2002" s="3928" t="s">
        <v>2258</v>
      </c>
      <c r="B2002" s="3928" t="s">
        <v>14</v>
      </c>
      <c r="C2002" s="3928" t="s">
        <v>6787</v>
      </c>
      <c r="D2002" s="3928" t="s">
        <v>6788</v>
      </c>
      <c r="E2002" s="3928" t="s">
        <v>6789</v>
      </c>
      <c r="F2002" s="3928" t="s">
        <v>2638</v>
      </c>
      <c r="G2002" s="3928" t="s">
        <v>24</v>
      </c>
      <c r="H2002" s="3928" t="s">
        <v>24</v>
      </c>
      <c r="I2002" s="3928" t="s">
        <v>857</v>
      </c>
    </row>
    <row r="2003" spans="1:9" ht="11.25" customHeight="1">
      <c r="A2003" s="3928" t="s">
        <v>2258</v>
      </c>
      <c r="B2003" s="3928" t="s">
        <v>14</v>
      </c>
      <c r="C2003" s="3928" t="s">
        <v>6790</v>
      </c>
      <c r="D2003" s="3928" t="s">
        <v>6791</v>
      </c>
      <c r="E2003" s="3928" t="s">
        <v>6792</v>
      </c>
      <c r="F2003" s="3928" t="s">
        <v>6793</v>
      </c>
      <c r="G2003" s="3928" t="s">
        <v>24</v>
      </c>
      <c r="H2003" s="3928" t="s">
        <v>6794</v>
      </c>
      <c r="I2003" s="3928" t="s">
        <v>857</v>
      </c>
    </row>
    <row r="2004" spans="1:9" ht="11.25" customHeight="1">
      <c r="A2004" s="3928" t="s">
        <v>2258</v>
      </c>
      <c r="B2004" s="3928" t="s">
        <v>14</v>
      </c>
      <c r="C2004" s="3928" t="s">
        <v>3246</v>
      </c>
      <c r="D2004" s="3928" t="s">
        <v>3247</v>
      </c>
      <c r="E2004" s="3928" t="s">
        <v>3248</v>
      </c>
      <c r="F2004" s="3928" t="s">
        <v>2675</v>
      </c>
      <c r="G2004" s="3928" t="s">
        <v>3249</v>
      </c>
      <c r="H2004" s="3928" t="s">
        <v>24</v>
      </c>
      <c r="I2004" s="3928" t="s">
        <v>857</v>
      </c>
    </row>
    <row r="2005" spans="1:9" ht="11.25" customHeight="1">
      <c r="A2005" s="3928" t="s">
        <v>2258</v>
      </c>
      <c r="B2005" s="3928" t="s">
        <v>14</v>
      </c>
      <c r="C2005" s="3928" t="s">
        <v>6795</v>
      </c>
      <c r="D2005" s="3928" t="s">
        <v>6796</v>
      </c>
      <c r="E2005" s="3928" t="s">
        <v>6797</v>
      </c>
      <c r="F2005" s="3928" t="s">
        <v>2535</v>
      </c>
      <c r="G2005" s="3928" t="s">
        <v>24</v>
      </c>
      <c r="H2005" s="3928" t="s">
        <v>6610</v>
      </c>
      <c r="I2005" s="3928" t="s">
        <v>857</v>
      </c>
    </row>
    <row r="2006" spans="1:9" ht="11.25" customHeight="1">
      <c r="A2006" s="3928" t="s">
        <v>2258</v>
      </c>
      <c r="B2006" s="3928" t="s">
        <v>14</v>
      </c>
      <c r="C2006" s="3928" t="s">
        <v>3256</v>
      </c>
      <c r="D2006" s="3928" t="s">
        <v>3257</v>
      </c>
      <c r="E2006" s="3928" t="s">
        <v>3258</v>
      </c>
      <c r="F2006" s="3928" t="s">
        <v>2262</v>
      </c>
      <c r="G2006" s="3928" t="s">
        <v>24</v>
      </c>
      <c r="H2006" s="3928" t="s">
        <v>24</v>
      </c>
      <c r="I2006" s="3928" t="s">
        <v>857</v>
      </c>
    </row>
    <row r="2007" spans="1:9" ht="11.25" customHeight="1">
      <c r="A2007" s="3928" t="s">
        <v>2258</v>
      </c>
      <c r="B2007" s="3928" t="s">
        <v>14</v>
      </c>
      <c r="C2007" s="3928" t="s">
        <v>6798</v>
      </c>
      <c r="D2007" s="3928" t="s">
        <v>6799</v>
      </c>
      <c r="E2007" s="3928" t="s">
        <v>6800</v>
      </c>
      <c r="F2007" s="3928" t="s">
        <v>2359</v>
      </c>
      <c r="G2007" s="3928" t="s">
        <v>6801</v>
      </c>
      <c r="H2007" s="3928" t="s">
        <v>24</v>
      </c>
      <c r="I2007" s="3928" t="s">
        <v>857</v>
      </c>
    </row>
    <row r="2008" spans="1:9" ht="11.25" customHeight="1">
      <c r="A2008" s="3928" t="s">
        <v>2258</v>
      </c>
      <c r="B2008" s="3928" t="s">
        <v>14</v>
      </c>
      <c r="C2008" s="3928" t="s">
        <v>6802</v>
      </c>
      <c r="D2008" s="3928" t="s">
        <v>6803</v>
      </c>
      <c r="E2008" s="3928" t="s">
        <v>6804</v>
      </c>
      <c r="F2008" s="3928" t="s">
        <v>2567</v>
      </c>
      <c r="G2008" s="3928" t="s">
        <v>24</v>
      </c>
      <c r="H2008" s="3928" t="s">
        <v>24</v>
      </c>
      <c r="I2008" s="3928" t="s">
        <v>857</v>
      </c>
    </row>
    <row r="2009" spans="1:9" ht="11.25" customHeight="1">
      <c r="A2009" s="3928" t="s">
        <v>2258</v>
      </c>
      <c r="B2009" s="3928" t="s">
        <v>14</v>
      </c>
      <c r="C2009" s="3928" t="s">
        <v>6805</v>
      </c>
      <c r="D2009" s="3928" t="s">
        <v>6806</v>
      </c>
      <c r="E2009" s="3928" t="s">
        <v>6807</v>
      </c>
      <c r="F2009" s="3928" t="s">
        <v>3580</v>
      </c>
      <c r="G2009" s="3928" t="s">
        <v>24</v>
      </c>
      <c r="H2009" s="3928" t="s">
        <v>6808</v>
      </c>
      <c r="I2009" s="3928" t="s">
        <v>857</v>
      </c>
    </row>
    <row r="2010" spans="1:9" ht="11.25" customHeight="1">
      <c r="A2010" s="3928" t="s">
        <v>2258</v>
      </c>
      <c r="B2010" s="3928" t="s">
        <v>14</v>
      </c>
      <c r="C2010" s="3928" t="s">
        <v>6809</v>
      </c>
      <c r="D2010" s="3928" t="s">
        <v>6810</v>
      </c>
      <c r="E2010" s="3928" t="s">
        <v>6811</v>
      </c>
      <c r="F2010" s="3928" t="s">
        <v>2289</v>
      </c>
      <c r="G2010" s="3928" t="s">
        <v>24</v>
      </c>
      <c r="H2010" s="3928" t="s">
        <v>24</v>
      </c>
      <c r="I2010" s="3928" t="s">
        <v>857</v>
      </c>
    </row>
    <row r="2011" spans="1:9" ht="11.25" customHeight="1">
      <c r="A2011" s="3928" t="s">
        <v>2258</v>
      </c>
      <c r="B2011" s="3928" t="s">
        <v>14</v>
      </c>
      <c r="C2011" s="3928" t="s">
        <v>3280</v>
      </c>
      <c r="D2011" s="3928" t="s">
        <v>3281</v>
      </c>
      <c r="E2011" s="3928" t="s">
        <v>3282</v>
      </c>
      <c r="F2011" s="3928" t="s">
        <v>2409</v>
      </c>
      <c r="G2011" s="3928" t="s">
        <v>3283</v>
      </c>
      <c r="H2011" s="3928" t="s">
        <v>24</v>
      </c>
      <c r="I2011" s="3928" t="s">
        <v>857</v>
      </c>
    </row>
    <row r="2012" spans="1:9" ht="11.25" customHeight="1">
      <c r="A2012" s="3928" t="s">
        <v>2258</v>
      </c>
      <c r="B2012" s="3928" t="s">
        <v>14</v>
      </c>
      <c r="C2012" s="3928" t="s">
        <v>3288</v>
      </c>
      <c r="D2012" s="3928" t="s">
        <v>3289</v>
      </c>
      <c r="E2012" s="3928" t="s">
        <v>3290</v>
      </c>
      <c r="F2012" s="3928" t="s">
        <v>2675</v>
      </c>
      <c r="G2012" s="3928" t="s">
        <v>24</v>
      </c>
      <c r="H2012" s="3928" t="s">
        <v>24</v>
      </c>
      <c r="I2012" s="3928" t="s">
        <v>857</v>
      </c>
    </row>
    <row r="2013" spans="1:9" ht="11.25" customHeight="1">
      <c r="A2013" s="3928" t="s">
        <v>2258</v>
      </c>
      <c r="B2013" s="3928" t="s">
        <v>14</v>
      </c>
      <c r="C2013" s="3928" t="s">
        <v>6812</v>
      </c>
      <c r="D2013" s="3928" t="s">
        <v>6813</v>
      </c>
      <c r="E2013" s="3928" t="s">
        <v>6814</v>
      </c>
      <c r="F2013" s="3928" t="s">
        <v>2552</v>
      </c>
      <c r="G2013" s="3928" t="s">
        <v>6815</v>
      </c>
      <c r="H2013" s="3928" t="s">
        <v>6816</v>
      </c>
      <c r="I2013" s="3928" t="s">
        <v>857</v>
      </c>
    </row>
    <row r="2014" spans="1:9" ht="11.25" customHeight="1">
      <c r="A2014" s="3928" t="s">
        <v>2258</v>
      </c>
      <c r="B2014" s="3928" t="s">
        <v>14</v>
      </c>
      <c r="C2014" s="3928" t="s">
        <v>6817</v>
      </c>
      <c r="D2014" s="3928" t="s">
        <v>6818</v>
      </c>
      <c r="E2014" s="3928" t="s">
        <v>6819</v>
      </c>
      <c r="F2014" s="3928" t="s">
        <v>2359</v>
      </c>
      <c r="G2014" s="3928" t="s">
        <v>24</v>
      </c>
      <c r="H2014" s="3928" t="s">
        <v>24</v>
      </c>
      <c r="I2014" s="3928" t="s">
        <v>857</v>
      </c>
    </row>
    <row r="2015" spans="1:9" ht="11.25" customHeight="1">
      <c r="A2015" s="3928" t="s">
        <v>2258</v>
      </c>
      <c r="B2015" s="3928" t="s">
        <v>14</v>
      </c>
      <c r="C2015" s="3928" t="s">
        <v>6820</v>
      </c>
      <c r="D2015" s="3928" t="s">
        <v>6821</v>
      </c>
      <c r="E2015" s="3928" t="s">
        <v>3235</v>
      </c>
      <c r="F2015" s="3928" t="s">
        <v>6822</v>
      </c>
      <c r="G2015" s="3928" t="s">
        <v>24</v>
      </c>
      <c r="H2015" s="3928" t="s">
        <v>2263</v>
      </c>
      <c r="I2015" s="3928" t="s">
        <v>857</v>
      </c>
    </row>
    <row r="2016" spans="1:9" ht="11.25" customHeight="1">
      <c r="A2016" s="3928" t="s">
        <v>2258</v>
      </c>
      <c r="B2016" s="3928" t="s">
        <v>14</v>
      </c>
      <c r="C2016" s="3928" t="s">
        <v>6823</v>
      </c>
      <c r="D2016" s="3928" t="s">
        <v>6824</v>
      </c>
      <c r="E2016" s="3928" t="s">
        <v>6825</v>
      </c>
      <c r="F2016" s="3928" t="s">
        <v>2419</v>
      </c>
      <c r="G2016" s="3928" t="s">
        <v>6826</v>
      </c>
      <c r="H2016" s="3928" t="s">
        <v>24</v>
      </c>
      <c r="I2016" s="3928" t="s">
        <v>857</v>
      </c>
    </row>
    <row r="2017" spans="1:9" ht="11.25" customHeight="1">
      <c r="A2017" s="3928" t="s">
        <v>2258</v>
      </c>
      <c r="B2017" s="3928" t="s">
        <v>14</v>
      </c>
      <c r="C2017" s="3928" t="s">
        <v>6367</v>
      </c>
      <c r="D2017" s="3928" t="s">
        <v>6368</v>
      </c>
      <c r="E2017" s="3928" t="s">
        <v>6369</v>
      </c>
      <c r="F2017" s="3928" t="s">
        <v>2535</v>
      </c>
      <c r="G2017" s="3928" t="s">
        <v>24</v>
      </c>
      <c r="H2017" s="3928" t="s">
        <v>2263</v>
      </c>
      <c r="I2017" s="3928" t="s">
        <v>857</v>
      </c>
    </row>
    <row r="2018" spans="1:9" ht="11.25" customHeight="1">
      <c r="A2018" s="3928" t="s">
        <v>2258</v>
      </c>
      <c r="B2018" s="3928" t="s">
        <v>14</v>
      </c>
      <c r="C2018" s="3928" t="s">
        <v>6827</v>
      </c>
      <c r="D2018" s="3928" t="s">
        <v>6828</v>
      </c>
      <c r="E2018" s="3928" t="s">
        <v>6829</v>
      </c>
      <c r="F2018" s="3928" t="s">
        <v>2638</v>
      </c>
      <c r="G2018" s="3928" t="s">
        <v>24</v>
      </c>
      <c r="H2018" s="3928" t="s">
        <v>24</v>
      </c>
      <c r="I2018" s="3928" t="s">
        <v>857</v>
      </c>
    </row>
    <row r="2019" spans="1:9" ht="11.25" customHeight="1">
      <c r="A2019" s="3928" t="s">
        <v>2258</v>
      </c>
      <c r="B2019" s="3928" t="s">
        <v>14</v>
      </c>
      <c r="C2019" s="3928" t="s">
        <v>3301</v>
      </c>
      <c r="D2019" s="3928" t="s">
        <v>3302</v>
      </c>
      <c r="E2019" s="3928" t="s">
        <v>3303</v>
      </c>
      <c r="F2019" s="3928" t="s">
        <v>2701</v>
      </c>
      <c r="G2019" s="3928" t="s">
        <v>24</v>
      </c>
      <c r="H2019" s="3928" t="s">
        <v>2263</v>
      </c>
      <c r="I2019" s="3928" t="s">
        <v>857</v>
      </c>
    </row>
    <row r="2020" spans="1:9" ht="11.25" customHeight="1">
      <c r="A2020" s="3928" t="s">
        <v>2258</v>
      </c>
      <c r="B2020" s="3928" t="s">
        <v>14</v>
      </c>
      <c r="C2020" s="3928" t="s">
        <v>3307</v>
      </c>
      <c r="D2020" s="3928" t="s">
        <v>3308</v>
      </c>
      <c r="E2020" s="3928" t="s">
        <v>3309</v>
      </c>
      <c r="F2020" s="3928" t="s">
        <v>3310</v>
      </c>
      <c r="G2020" s="3928" t="s">
        <v>24</v>
      </c>
      <c r="H2020" s="3928" t="s">
        <v>2263</v>
      </c>
      <c r="I2020" s="3928" t="s">
        <v>857</v>
      </c>
    </row>
    <row r="2021" spans="1:9" ht="11.25" customHeight="1">
      <c r="A2021" s="3928" t="s">
        <v>2258</v>
      </c>
      <c r="B2021" s="3928" t="s">
        <v>14</v>
      </c>
      <c r="C2021" s="3928" t="s">
        <v>6830</v>
      </c>
      <c r="D2021" s="3928" t="s">
        <v>3314</v>
      </c>
      <c r="E2021" s="3928" t="s">
        <v>6831</v>
      </c>
      <c r="F2021" s="3928" t="s">
        <v>2393</v>
      </c>
      <c r="G2021" s="3928" t="s">
        <v>24</v>
      </c>
      <c r="H2021" s="3928" t="s">
        <v>2848</v>
      </c>
      <c r="I2021" s="3928" t="s">
        <v>857</v>
      </c>
    </row>
    <row r="2022" spans="1:9" ht="11.25" customHeight="1">
      <c r="A2022" s="3928" t="s">
        <v>2258</v>
      </c>
      <c r="B2022" s="3928" t="s">
        <v>14</v>
      </c>
      <c r="C2022" s="3928" t="s">
        <v>6832</v>
      </c>
      <c r="D2022" s="3928" t="s">
        <v>6833</v>
      </c>
      <c r="E2022" s="3928" t="s">
        <v>6834</v>
      </c>
      <c r="F2022" s="3928" t="s">
        <v>664</v>
      </c>
      <c r="G2022" s="3928" t="s">
        <v>6470</v>
      </c>
      <c r="H2022" s="3928" t="s">
        <v>24</v>
      </c>
      <c r="I2022" s="3928" t="s">
        <v>857</v>
      </c>
    </row>
    <row r="2023" spans="1:9" ht="11.25" customHeight="1">
      <c r="A2023" s="3928" t="s">
        <v>2258</v>
      </c>
      <c r="B2023" s="3928" t="s">
        <v>14</v>
      </c>
      <c r="C2023" s="3928" t="s">
        <v>6835</v>
      </c>
      <c r="D2023" s="3928" t="s">
        <v>6836</v>
      </c>
      <c r="E2023" s="3928" t="s">
        <v>6837</v>
      </c>
      <c r="F2023" s="3928" t="s">
        <v>664</v>
      </c>
      <c r="G2023" s="3928" t="s">
        <v>6838</v>
      </c>
      <c r="H2023" s="3928" t="s">
        <v>24</v>
      </c>
      <c r="I2023" s="3928" t="s">
        <v>857</v>
      </c>
    </row>
    <row r="2024" spans="1:9" ht="11.25" customHeight="1">
      <c r="A2024" s="3928" t="s">
        <v>2258</v>
      </c>
      <c r="B2024" s="3928" t="s">
        <v>14</v>
      </c>
      <c r="C2024" s="3928" t="s">
        <v>6839</v>
      </c>
      <c r="D2024" s="3928" t="s">
        <v>6840</v>
      </c>
      <c r="E2024" s="3928" t="s">
        <v>6841</v>
      </c>
      <c r="F2024" s="3928" t="s">
        <v>2796</v>
      </c>
      <c r="G2024" s="3928" t="s">
        <v>24</v>
      </c>
      <c r="H2024" s="3928" t="s">
        <v>2848</v>
      </c>
      <c r="I2024" s="3928" t="s">
        <v>857</v>
      </c>
    </row>
    <row r="2025" spans="1:9" ht="11.25" customHeight="1">
      <c r="A2025" s="3928" t="s">
        <v>2258</v>
      </c>
      <c r="B2025" s="3928" t="s">
        <v>14</v>
      </c>
      <c r="C2025" s="3928" t="s">
        <v>24</v>
      </c>
      <c r="D2025" s="3928" t="s">
        <v>3338</v>
      </c>
      <c r="E2025" s="3928" t="s">
        <v>3339</v>
      </c>
      <c r="F2025" s="3928" t="s">
        <v>2294</v>
      </c>
      <c r="G2025" s="3928" t="s">
        <v>24</v>
      </c>
      <c r="H2025" s="3928" t="s">
        <v>24</v>
      </c>
      <c r="I2025" s="3928" t="s">
        <v>857</v>
      </c>
    </row>
    <row r="2026" spans="1:9" ht="11.25" customHeight="1">
      <c r="A2026" s="3928" t="s">
        <v>2258</v>
      </c>
      <c r="B2026" s="3928" t="s">
        <v>14</v>
      </c>
      <c r="C2026" s="3928" t="s">
        <v>6842</v>
      </c>
      <c r="D2026" s="3928" t="s">
        <v>6843</v>
      </c>
      <c r="E2026" s="3928" t="s">
        <v>6844</v>
      </c>
      <c r="F2026" s="3928" t="s">
        <v>6845</v>
      </c>
      <c r="G2026" s="3928" t="s">
        <v>24</v>
      </c>
      <c r="H2026" s="3928" t="s">
        <v>24</v>
      </c>
      <c r="I2026" s="3928" t="s">
        <v>857</v>
      </c>
    </row>
    <row r="2027" spans="1:9" ht="11.25" customHeight="1">
      <c r="A2027" s="3928" t="s">
        <v>2258</v>
      </c>
      <c r="B2027" s="3928" t="s">
        <v>14</v>
      </c>
      <c r="C2027" s="3928" t="s">
        <v>3340</v>
      </c>
      <c r="D2027" s="3928" t="s">
        <v>3341</v>
      </c>
      <c r="E2027" s="3928" t="s">
        <v>3342</v>
      </c>
      <c r="F2027" s="3928" t="s">
        <v>2796</v>
      </c>
      <c r="G2027" s="3928" t="s">
        <v>24</v>
      </c>
      <c r="H2027" s="3928" t="s">
        <v>3068</v>
      </c>
      <c r="I2027" s="3928" t="s">
        <v>857</v>
      </c>
    </row>
    <row r="2028" spans="1:9" ht="11.25" customHeight="1">
      <c r="A2028" s="3928" t="s">
        <v>2258</v>
      </c>
      <c r="B2028" s="3928" t="s">
        <v>14</v>
      </c>
      <c r="C2028" s="3928" t="s">
        <v>3346</v>
      </c>
      <c r="D2028" s="3928" t="s">
        <v>3347</v>
      </c>
      <c r="E2028" s="3928" t="s">
        <v>3348</v>
      </c>
      <c r="F2028" s="3928" t="s">
        <v>2397</v>
      </c>
      <c r="G2028" s="3928" t="s">
        <v>24</v>
      </c>
      <c r="H2028" s="3928" t="s">
        <v>3349</v>
      </c>
      <c r="I2028" s="3928" t="s">
        <v>857</v>
      </c>
    </row>
    <row r="2029" spans="1:9" ht="11.25" customHeight="1">
      <c r="A2029" s="3928" t="s">
        <v>2258</v>
      </c>
      <c r="B2029" s="3928" t="s">
        <v>14</v>
      </c>
      <c r="C2029" s="3928" t="s">
        <v>3350</v>
      </c>
      <c r="D2029" s="3928" t="s">
        <v>3351</v>
      </c>
      <c r="E2029" s="3928" t="s">
        <v>3352</v>
      </c>
      <c r="F2029" s="3928" t="s">
        <v>3353</v>
      </c>
      <c r="G2029" s="3928" t="s">
        <v>3354</v>
      </c>
      <c r="H2029" s="3928" t="s">
        <v>24</v>
      </c>
      <c r="I2029" s="3928" t="s">
        <v>857</v>
      </c>
    </row>
    <row r="2030" spans="1:9" ht="11.25" customHeight="1">
      <c r="A2030" s="3928" t="s">
        <v>2258</v>
      </c>
      <c r="B2030" s="3928" t="s">
        <v>14</v>
      </c>
      <c r="C2030" s="3928" t="s">
        <v>3355</v>
      </c>
      <c r="D2030" s="3928" t="s">
        <v>3356</v>
      </c>
      <c r="E2030" s="3928" t="s">
        <v>3357</v>
      </c>
      <c r="F2030" s="3928" t="s">
        <v>2414</v>
      </c>
      <c r="G2030" s="3928" t="s">
        <v>24</v>
      </c>
      <c r="H2030" s="3928" t="s">
        <v>24</v>
      </c>
      <c r="I2030" s="3928" t="s">
        <v>857</v>
      </c>
    </row>
    <row r="2031" spans="1:9" ht="11.25" customHeight="1">
      <c r="A2031" s="3928" t="s">
        <v>2258</v>
      </c>
      <c r="B2031" s="3928" t="s">
        <v>14</v>
      </c>
      <c r="C2031" s="3928" t="s">
        <v>3375</v>
      </c>
      <c r="D2031" s="3928" t="s">
        <v>629</v>
      </c>
      <c r="E2031" s="3928" t="s">
        <v>3376</v>
      </c>
      <c r="F2031" s="3928" t="s">
        <v>2486</v>
      </c>
      <c r="G2031" s="3928" t="s">
        <v>3377</v>
      </c>
      <c r="H2031" s="3928" t="s">
        <v>24</v>
      </c>
      <c r="I2031" s="3928" t="s">
        <v>857</v>
      </c>
    </row>
    <row r="2032" spans="1:9" ht="11.25" customHeight="1">
      <c r="A2032" s="3928" t="s">
        <v>2258</v>
      </c>
      <c r="B2032" s="3928" t="s">
        <v>14</v>
      </c>
      <c r="C2032" s="3928" t="s">
        <v>6846</v>
      </c>
      <c r="D2032" s="3928" t="s">
        <v>6847</v>
      </c>
      <c r="E2032" s="3928" t="s">
        <v>6848</v>
      </c>
      <c r="F2032" s="3928" t="s">
        <v>2486</v>
      </c>
      <c r="G2032" s="3928" t="s">
        <v>6849</v>
      </c>
      <c r="H2032" s="3928" t="s">
        <v>2314</v>
      </c>
      <c r="I2032" s="3928" t="s">
        <v>857</v>
      </c>
    </row>
    <row r="2033" spans="1:9" ht="11.25" customHeight="1">
      <c r="A2033" s="3928" t="s">
        <v>2258</v>
      </c>
      <c r="B2033" s="3928" t="s">
        <v>14</v>
      </c>
      <c r="C2033" s="3928" t="s">
        <v>6850</v>
      </c>
      <c r="D2033" s="3928" t="s">
        <v>6851</v>
      </c>
      <c r="E2033" s="3928" t="s">
        <v>6852</v>
      </c>
      <c r="F2033" s="3928" t="s">
        <v>3353</v>
      </c>
      <c r="G2033" s="3928" t="s">
        <v>24</v>
      </c>
      <c r="H2033" s="3928" t="s">
        <v>6853</v>
      </c>
      <c r="I2033" s="3928" t="s">
        <v>857</v>
      </c>
    </row>
    <row r="2034" spans="1:9" ht="11.25" customHeight="1">
      <c r="A2034" s="3928" t="s">
        <v>2258</v>
      </c>
      <c r="B2034" s="3928" t="s">
        <v>14</v>
      </c>
      <c r="C2034" s="3928" t="s">
        <v>6854</v>
      </c>
      <c r="D2034" s="3928" t="s">
        <v>6851</v>
      </c>
      <c r="E2034" s="3928" t="s">
        <v>6855</v>
      </c>
      <c r="F2034" s="3928" t="s">
        <v>3420</v>
      </c>
      <c r="G2034" s="3928" t="s">
        <v>3421</v>
      </c>
      <c r="H2034" s="3928" t="s">
        <v>24</v>
      </c>
      <c r="I2034" s="3928" t="s">
        <v>857</v>
      </c>
    </row>
    <row r="2035" spans="1:9" ht="11.25" customHeight="1">
      <c r="A2035" s="3928" t="s">
        <v>2258</v>
      </c>
      <c r="B2035" s="3928" t="s">
        <v>14</v>
      </c>
      <c r="C2035" s="3928" t="s">
        <v>3399</v>
      </c>
      <c r="D2035" s="3928" t="s">
        <v>3400</v>
      </c>
      <c r="E2035" s="3928" t="s">
        <v>3401</v>
      </c>
      <c r="F2035" s="3928" t="s">
        <v>2965</v>
      </c>
      <c r="G2035" s="3928" t="s">
        <v>3402</v>
      </c>
      <c r="H2035" s="3928" t="s">
        <v>24</v>
      </c>
      <c r="I2035" s="3928" t="s">
        <v>857</v>
      </c>
    </row>
    <row r="2036" spans="1:9" ht="11.25" customHeight="1">
      <c r="A2036" s="3928" t="s">
        <v>2258</v>
      </c>
      <c r="B2036" s="3928" t="s">
        <v>14</v>
      </c>
      <c r="C2036" s="3928" t="s">
        <v>6856</v>
      </c>
      <c r="D2036" s="3928" t="s">
        <v>6857</v>
      </c>
      <c r="E2036" s="3928" t="s">
        <v>6858</v>
      </c>
      <c r="F2036" s="3928" t="s">
        <v>2638</v>
      </c>
      <c r="G2036" s="3928" t="s">
        <v>6859</v>
      </c>
      <c r="H2036" s="3928" t="s">
        <v>24</v>
      </c>
      <c r="I2036" s="3928" t="s">
        <v>857</v>
      </c>
    </row>
    <row r="2037" spans="1:9" ht="11.25" customHeight="1">
      <c r="A2037" s="3928" t="s">
        <v>2258</v>
      </c>
      <c r="B2037" s="3928" t="s">
        <v>14</v>
      </c>
      <c r="C2037" s="3928" t="s">
        <v>3410</v>
      </c>
      <c r="D2037" s="3928" t="s">
        <v>3411</v>
      </c>
      <c r="E2037" s="3928" t="s">
        <v>3412</v>
      </c>
      <c r="F2037" s="3928" t="s">
        <v>2397</v>
      </c>
      <c r="G2037" s="3928" t="s">
        <v>3413</v>
      </c>
      <c r="H2037" s="3928" t="s">
        <v>24</v>
      </c>
      <c r="I2037" s="3928" t="s">
        <v>857</v>
      </c>
    </row>
    <row r="2038" spans="1:9" ht="11.25" customHeight="1">
      <c r="A2038" s="3928" t="s">
        <v>2258</v>
      </c>
      <c r="B2038" s="3928" t="s">
        <v>14</v>
      </c>
      <c r="C2038" s="3928" t="s">
        <v>3414</v>
      </c>
      <c r="D2038" s="3928" t="s">
        <v>3415</v>
      </c>
      <c r="E2038" s="3928" t="s">
        <v>3416</v>
      </c>
      <c r="F2038" s="3928" t="s">
        <v>3406</v>
      </c>
      <c r="G2038" s="3928" t="s">
        <v>24</v>
      </c>
      <c r="H2038" s="3928" t="s">
        <v>24</v>
      </c>
      <c r="I2038" s="3928" t="s">
        <v>857</v>
      </c>
    </row>
    <row r="2039" spans="1:9" ht="11.25" customHeight="1">
      <c r="A2039" s="3928" t="s">
        <v>2258</v>
      </c>
      <c r="B2039" s="3928" t="s">
        <v>14</v>
      </c>
      <c r="C2039" s="3928" t="s">
        <v>3422</v>
      </c>
      <c r="D2039" s="3928" t="s">
        <v>3423</v>
      </c>
      <c r="E2039" s="3928" t="s">
        <v>3424</v>
      </c>
      <c r="F2039" s="3928" t="s">
        <v>3353</v>
      </c>
      <c r="G2039" s="3928" t="s">
        <v>3425</v>
      </c>
      <c r="H2039" s="3928" t="s">
        <v>24</v>
      </c>
      <c r="I2039" s="3928" t="s">
        <v>857</v>
      </c>
    </row>
    <row r="2040" spans="1:9" ht="11.25" customHeight="1">
      <c r="A2040" s="3928" t="s">
        <v>2258</v>
      </c>
      <c r="B2040" s="3928" t="s">
        <v>14</v>
      </c>
      <c r="C2040" s="3928" t="s">
        <v>3444</v>
      </c>
      <c r="D2040" s="3928" t="s">
        <v>3445</v>
      </c>
      <c r="E2040" s="3928" t="s">
        <v>3446</v>
      </c>
      <c r="F2040" s="3928" t="s">
        <v>2397</v>
      </c>
      <c r="G2040" s="3928" t="s">
        <v>3447</v>
      </c>
      <c r="H2040" s="3928" t="s">
        <v>24</v>
      </c>
      <c r="I2040" s="3928" t="s">
        <v>857</v>
      </c>
    </row>
    <row r="2041" spans="1:9" ht="11.25" customHeight="1">
      <c r="A2041" s="3928" t="s">
        <v>2258</v>
      </c>
      <c r="B2041" s="3928" t="s">
        <v>14</v>
      </c>
      <c r="C2041" s="3928" t="s">
        <v>3454</v>
      </c>
      <c r="D2041" s="3928" t="s">
        <v>3455</v>
      </c>
      <c r="E2041" s="3928" t="s">
        <v>3456</v>
      </c>
      <c r="F2041" s="3928" t="s">
        <v>3457</v>
      </c>
      <c r="G2041" s="3928" t="s">
        <v>24</v>
      </c>
      <c r="H2041" s="3928" t="s">
        <v>24</v>
      </c>
      <c r="I2041" s="3928" t="s">
        <v>857</v>
      </c>
    </row>
    <row r="2042" spans="1:9" ht="11.25" customHeight="1">
      <c r="A2042" s="3928" t="s">
        <v>2258</v>
      </c>
      <c r="B2042" s="3928" t="s">
        <v>14</v>
      </c>
      <c r="C2042" s="3928" t="s">
        <v>3458</v>
      </c>
      <c r="D2042" s="3928" t="s">
        <v>3459</v>
      </c>
      <c r="E2042" s="3928" t="s">
        <v>3460</v>
      </c>
      <c r="F2042" s="3928" t="s">
        <v>2473</v>
      </c>
      <c r="G2042" s="3928" t="s">
        <v>2961</v>
      </c>
      <c r="H2042" s="3928" t="s">
        <v>24</v>
      </c>
      <c r="I2042" s="3928" t="s">
        <v>857</v>
      </c>
    </row>
    <row r="2043" spans="1:9" ht="11.25" customHeight="1">
      <c r="A2043" s="3928" t="s">
        <v>2258</v>
      </c>
      <c r="B2043" s="3928" t="s">
        <v>14</v>
      </c>
      <c r="C2043" s="3928" t="s">
        <v>6370</v>
      </c>
      <c r="D2043" s="3928" t="s">
        <v>6371</v>
      </c>
      <c r="E2043" s="3928" t="s">
        <v>6372</v>
      </c>
      <c r="F2043" s="3928" t="s">
        <v>2405</v>
      </c>
      <c r="G2043" s="3928" t="s">
        <v>24</v>
      </c>
      <c r="H2043" s="3928" t="s">
        <v>2263</v>
      </c>
      <c r="I2043" s="3928" t="s">
        <v>857</v>
      </c>
    </row>
    <row r="2044" spans="1:9" ht="11.25" customHeight="1">
      <c r="A2044" s="3928" t="s">
        <v>2258</v>
      </c>
      <c r="B2044" s="3928" t="s">
        <v>14</v>
      </c>
      <c r="C2044" s="3928" t="s">
        <v>3467</v>
      </c>
      <c r="D2044" s="3928" t="s">
        <v>3468</v>
      </c>
      <c r="E2044" s="3928" t="s">
        <v>3469</v>
      </c>
      <c r="F2044" s="3928" t="s">
        <v>2424</v>
      </c>
      <c r="G2044" s="3928" t="s">
        <v>3470</v>
      </c>
      <c r="H2044" s="3928" t="s">
        <v>24</v>
      </c>
      <c r="I2044" s="3928" t="s">
        <v>857</v>
      </c>
    </row>
    <row r="2045" spans="1:9" ht="11.25" customHeight="1">
      <c r="A2045" s="3928" t="s">
        <v>2258</v>
      </c>
      <c r="B2045" s="3928" t="s">
        <v>14</v>
      </c>
      <c r="C2045" s="3928" t="s">
        <v>3471</v>
      </c>
      <c r="D2045" s="3928" t="s">
        <v>3472</v>
      </c>
      <c r="E2045" s="3928" t="s">
        <v>3473</v>
      </c>
      <c r="F2045" s="3928" t="s">
        <v>2522</v>
      </c>
      <c r="G2045" s="3928" t="s">
        <v>3474</v>
      </c>
      <c r="H2045" s="3928" t="s">
        <v>24</v>
      </c>
      <c r="I2045" s="3928" t="s">
        <v>857</v>
      </c>
    </row>
    <row r="2046" spans="1:9" ht="11.25" customHeight="1">
      <c r="A2046" s="3928" t="s">
        <v>2258</v>
      </c>
      <c r="B2046" s="3928" t="s">
        <v>14</v>
      </c>
      <c r="C2046" s="3928" t="s">
        <v>3475</v>
      </c>
      <c r="D2046" s="3928" t="s">
        <v>620</v>
      </c>
      <c r="E2046" s="3928" t="s">
        <v>3476</v>
      </c>
      <c r="F2046" s="3928" t="s">
        <v>2359</v>
      </c>
      <c r="G2046" s="3928" t="s">
        <v>3477</v>
      </c>
      <c r="H2046" s="3928" t="s">
        <v>24</v>
      </c>
      <c r="I2046" s="3928" t="s">
        <v>857</v>
      </c>
    </row>
    <row r="2047" spans="1:9" ht="11.25" customHeight="1">
      <c r="A2047" s="3928" t="s">
        <v>2258</v>
      </c>
      <c r="B2047" s="3928" t="s">
        <v>14</v>
      </c>
      <c r="C2047" s="3928" t="s">
        <v>3478</v>
      </c>
      <c r="D2047" s="3928" t="s">
        <v>3479</v>
      </c>
      <c r="E2047" s="3928" t="s">
        <v>3480</v>
      </c>
      <c r="F2047" s="3928" t="s">
        <v>2289</v>
      </c>
      <c r="G2047" s="3928" t="s">
        <v>3481</v>
      </c>
      <c r="H2047" s="3928" t="s">
        <v>24</v>
      </c>
      <c r="I2047" s="3928" t="s">
        <v>857</v>
      </c>
    </row>
    <row r="2048" spans="1:9" ht="11.25" customHeight="1">
      <c r="A2048" s="3928" t="s">
        <v>2258</v>
      </c>
      <c r="B2048" s="3928" t="s">
        <v>14</v>
      </c>
      <c r="C2048" s="3928" t="s">
        <v>3482</v>
      </c>
      <c r="D2048" s="3928" t="s">
        <v>3483</v>
      </c>
      <c r="E2048" s="3928" t="s">
        <v>3484</v>
      </c>
      <c r="F2048" s="3928" t="s">
        <v>2289</v>
      </c>
      <c r="G2048" s="3928" t="s">
        <v>24</v>
      </c>
      <c r="H2048" s="3928" t="s">
        <v>24</v>
      </c>
      <c r="I2048" s="3928" t="s">
        <v>857</v>
      </c>
    </row>
    <row r="2049" spans="1:9" ht="11.25" customHeight="1">
      <c r="A2049" s="3928" t="s">
        <v>2258</v>
      </c>
      <c r="B2049" s="3928" t="s">
        <v>14</v>
      </c>
      <c r="C2049" s="3928" t="s">
        <v>3485</v>
      </c>
      <c r="D2049" s="3928" t="s">
        <v>3486</v>
      </c>
      <c r="E2049" s="3928" t="s">
        <v>3487</v>
      </c>
      <c r="F2049" s="3928" t="s">
        <v>2409</v>
      </c>
      <c r="G2049" s="3928" t="s">
        <v>24</v>
      </c>
      <c r="H2049" s="3928" t="s">
        <v>2263</v>
      </c>
      <c r="I2049" s="3928" t="s">
        <v>857</v>
      </c>
    </row>
    <row r="2050" spans="1:9" ht="11.25" customHeight="1">
      <c r="A2050" s="3928" t="s">
        <v>2258</v>
      </c>
      <c r="B2050" s="3928" t="s">
        <v>14</v>
      </c>
      <c r="C2050" s="3928" t="s">
        <v>6860</v>
      </c>
      <c r="D2050" s="3928" t="s">
        <v>6861</v>
      </c>
      <c r="E2050" s="3928" t="s">
        <v>6862</v>
      </c>
      <c r="F2050" s="3928" t="s">
        <v>2409</v>
      </c>
      <c r="G2050" s="3928" t="s">
        <v>6863</v>
      </c>
      <c r="H2050" s="3928" t="s">
        <v>2263</v>
      </c>
      <c r="I2050" s="3928" t="s">
        <v>857</v>
      </c>
    </row>
    <row r="2051" spans="1:9" ht="11.25" customHeight="1">
      <c r="A2051" s="3928" t="s">
        <v>2258</v>
      </c>
      <c r="B2051" s="3928" t="s">
        <v>14</v>
      </c>
      <c r="C2051" s="3928" t="s">
        <v>3488</v>
      </c>
      <c r="D2051" s="3928" t="s">
        <v>3489</v>
      </c>
      <c r="E2051" s="3928" t="s">
        <v>3490</v>
      </c>
      <c r="F2051" s="3928" t="s">
        <v>2262</v>
      </c>
      <c r="G2051" s="3928" t="s">
        <v>3491</v>
      </c>
      <c r="H2051" s="3928" t="s">
        <v>24</v>
      </c>
      <c r="I2051" s="3928" t="s">
        <v>857</v>
      </c>
    </row>
    <row r="2052" spans="1:9" ht="11.25" customHeight="1">
      <c r="A2052" s="3928" t="s">
        <v>2258</v>
      </c>
      <c r="B2052" s="3928" t="s">
        <v>14</v>
      </c>
      <c r="C2052" s="3928" t="s">
        <v>6864</v>
      </c>
      <c r="D2052" s="3928" t="s">
        <v>6865</v>
      </c>
      <c r="E2052" s="3928" t="s">
        <v>6866</v>
      </c>
      <c r="F2052" s="3928" t="s">
        <v>2567</v>
      </c>
      <c r="G2052" s="3928" t="s">
        <v>24</v>
      </c>
      <c r="H2052" s="3928" t="s">
        <v>2848</v>
      </c>
      <c r="I2052" s="3928" t="s">
        <v>857</v>
      </c>
    </row>
    <row r="2053" spans="1:9" ht="11.25" customHeight="1">
      <c r="A2053" s="3928" t="s">
        <v>2258</v>
      </c>
      <c r="B2053" s="3928" t="s">
        <v>14</v>
      </c>
      <c r="C2053" s="3928" t="s">
        <v>6867</v>
      </c>
      <c r="D2053" s="3928" t="s">
        <v>6868</v>
      </c>
      <c r="E2053" s="3928" t="s">
        <v>6869</v>
      </c>
      <c r="F2053" s="3928" t="s">
        <v>49</v>
      </c>
      <c r="G2053" s="3928" t="s">
        <v>6870</v>
      </c>
      <c r="H2053" s="3928" t="s">
        <v>2314</v>
      </c>
      <c r="I2053" s="3928" t="s">
        <v>857</v>
      </c>
    </row>
    <row r="2054" spans="1:9" ht="11.25" customHeight="1">
      <c r="A2054" s="3928" t="s">
        <v>2258</v>
      </c>
      <c r="B2054" s="3928" t="s">
        <v>14</v>
      </c>
      <c r="C2054" s="3928" t="s">
        <v>3492</v>
      </c>
      <c r="D2054" s="3928" t="s">
        <v>3493</v>
      </c>
      <c r="E2054" s="3928" t="s">
        <v>3494</v>
      </c>
      <c r="F2054" s="3928" t="s">
        <v>2464</v>
      </c>
      <c r="G2054" s="3928" t="s">
        <v>3495</v>
      </c>
      <c r="H2054" s="3928" t="s">
        <v>24</v>
      </c>
      <c r="I2054" s="3928" t="s">
        <v>857</v>
      </c>
    </row>
    <row r="2055" spans="1:9" ht="11.25" customHeight="1">
      <c r="A2055" s="3928" t="s">
        <v>2258</v>
      </c>
      <c r="B2055" s="3928" t="s">
        <v>14</v>
      </c>
      <c r="C2055" s="3928" t="s">
        <v>6871</v>
      </c>
      <c r="D2055" s="3928" t="s">
        <v>6872</v>
      </c>
      <c r="E2055" s="3928" t="s">
        <v>6873</v>
      </c>
      <c r="F2055" s="3928" t="s">
        <v>2552</v>
      </c>
      <c r="G2055" s="3928" t="s">
        <v>24</v>
      </c>
      <c r="H2055" s="3928" t="s">
        <v>24</v>
      </c>
      <c r="I2055" s="3928" t="s">
        <v>857</v>
      </c>
    </row>
    <row r="2056" spans="1:9" ht="11.25" customHeight="1">
      <c r="A2056" s="3928" t="s">
        <v>2258</v>
      </c>
      <c r="B2056" s="3928" t="s">
        <v>14</v>
      </c>
      <c r="C2056" s="3928" t="s">
        <v>6874</v>
      </c>
      <c r="D2056" s="3928" t="s">
        <v>625</v>
      </c>
      <c r="E2056" s="3928" t="s">
        <v>6875</v>
      </c>
      <c r="F2056" s="3928" t="s">
        <v>2522</v>
      </c>
      <c r="G2056" s="3928" t="s">
        <v>6876</v>
      </c>
      <c r="H2056" s="3928" t="s">
        <v>6877</v>
      </c>
      <c r="I2056" s="3928" t="s">
        <v>857</v>
      </c>
    </row>
    <row r="2057" spans="1:9" ht="11.25" customHeight="1">
      <c r="A2057" s="3928" t="s">
        <v>2258</v>
      </c>
      <c r="B2057" s="3928" t="s">
        <v>14</v>
      </c>
      <c r="C2057" s="3928" t="s">
        <v>6878</v>
      </c>
      <c r="D2057" s="3928" t="s">
        <v>625</v>
      </c>
      <c r="E2057" s="3928" t="s">
        <v>6879</v>
      </c>
      <c r="F2057" s="3928" t="s">
        <v>3275</v>
      </c>
      <c r="G2057" s="3928" t="s">
        <v>24</v>
      </c>
      <c r="H2057" s="3928" t="s">
        <v>6880</v>
      </c>
      <c r="I2057" s="3928" t="s">
        <v>857</v>
      </c>
    </row>
    <row r="2058" spans="1:9" ht="11.25" customHeight="1">
      <c r="A2058" s="3928" t="s">
        <v>2258</v>
      </c>
      <c r="B2058" s="3928" t="s">
        <v>14</v>
      </c>
      <c r="C2058" s="3928" t="s">
        <v>3496</v>
      </c>
      <c r="D2058" s="3928" t="s">
        <v>625</v>
      </c>
      <c r="E2058" s="3928" t="s">
        <v>3497</v>
      </c>
      <c r="F2058" s="3928" t="s">
        <v>2451</v>
      </c>
      <c r="G2058" s="3928" t="s">
        <v>3498</v>
      </c>
      <c r="H2058" s="3928" t="s">
        <v>24</v>
      </c>
      <c r="I2058" s="3928" t="s">
        <v>857</v>
      </c>
    </row>
    <row r="2059" spans="1:9" ht="11.25" customHeight="1">
      <c r="A2059" s="3928" t="s">
        <v>2258</v>
      </c>
      <c r="B2059" s="3928" t="s">
        <v>14</v>
      </c>
      <c r="C2059" s="3928" t="s">
        <v>6881</v>
      </c>
      <c r="D2059" s="3928" t="s">
        <v>625</v>
      </c>
      <c r="E2059" s="3928" t="s">
        <v>6882</v>
      </c>
      <c r="F2059" s="3928" t="s">
        <v>2898</v>
      </c>
      <c r="G2059" s="3928" t="s">
        <v>24</v>
      </c>
      <c r="H2059" s="3928" t="s">
        <v>24</v>
      </c>
      <c r="I2059" s="3928" t="s">
        <v>857</v>
      </c>
    </row>
    <row r="2060" spans="1:9" ht="11.25" customHeight="1">
      <c r="A2060" s="3928" t="s">
        <v>2258</v>
      </c>
      <c r="B2060" s="3928" t="s">
        <v>14</v>
      </c>
      <c r="C2060" s="3928" t="s">
        <v>6883</v>
      </c>
      <c r="D2060" s="3928" t="s">
        <v>625</v>
      </c>
      <c r="E2060" s="3928" t="s">
        <v>6884</v>
      </c>
      <c r="F2060" s="3928" t="s">
        <v>2675</v>
      </c>
      <c r="G2060" s="3928" t="s">
        <v>6885</v>
      </c>
      <c r="H2060" s="3928" t="s">
        <v>24</v>
      </c>
      <c r="I2060" s="3928" t="s">
        <v>857</v>
      </c>
    </row>
    <row r="2061" spans="1:9" ht="11.25" customHeight="1">
      <c r="A2061" s="3928" t="s">
        <v>2258</v>
      </c>
      <c r="B2061" s="3928" t="s">
        <v>14</v>
      </c>
      <c r="C2061" s="3928" t="s">
        <v>3499</v>
      </c>
      <c r="D2061" s="3928" t="s">
        <v>3500</v>
      </c>
      <c r="E2061" s="3928" t="s">
        <v>3501</v>
      </c>
      <c r="F2061" s="3928" t="s">
        <v>2438</v>
      </c>
      <c r="G2061" s="3928" t="s">
        <v>24</v>
      </c>
      <c r="H2061" s="3928" t="s">
        <v>24</v>
      </c>
      <c r="I2061" s="3928" t="s">
        <v>857</v>
      </c>
    </row>
    <row r="2062" spans="1:9" ht="11.25" customHeight="1">
      <c r="A2062" s="3928" t="s">
        <v>2258</v>
      </c>
      <c r="B2062" s="3928" t="s">
        <v>14</v>
      </c>
      <c r="C2062" s="3928" t="s">
        <v>6373</v>
      </c>
      <c r="D2062" s="3928" t="s">
        <v>628</v>
      </c>
      <c r="E2062" s="3928" t="s">
        <v>6374</v>
      </c>
      <c r="F2062" s="3928" t="s">
        <v>2688</v>
      </c>
      <c r="G2062" s="3928" t="s">
        <v>6375</v>
      </c>
      <c r="H2062" s="3928" t="s">
        <v>24</v>
      </c>
      <c r="I2062" s="3928" t="s">
        <v>857</v>
      </c>
    </row>
    <row r="2063" spans="1:9" ht="11.25" customHeight="1">
      <c r="A2063" s="3928" t="s">
        <v>2258</v>
      </c>
      <c r="B2063" s="3928" t="s">
        <v>14</v>
      </c>
      <c r="C2063" s="3928" t="s">
        <v>6886</v>
      </c>
      <c r="D2063" s="3928" t="s">
        <v>6887</v>
      </c>
      <c r="E2063" s="3928" t="s">
        <v>6888</v>
      </c>
      <c r="F2063" s="3928" t="s">
        <v>2451</v>
      </c>
      <c r="G2063" s="3928" t="s">
        <v>24</v>
      </c>
      <c r="H2063" s="3928" t="s">
        <v>6889</v>
      </c>
      <c r="I2063" s="3928" t="s">
        <v>857</v>
      </c>
    </row>
    <row r="2064" spans="1:9" ht="11.25" customHeight="1">
      <c r="A2064" s="3928" t="s">
        <v>2258</v>
      </c>
      <c r="B2064" s="3928" t="s">
        <v>14</v>
      </c>
      <c r="C2064" s="3928" t="s">
        <v>3502</v>
      </c>
      <c r="D2064" s="3928" t="s">
        <v>3503</v>
      </c>
      <c r="E2064" s="3928" t="s">
        <v>3504</v>
      </c>
      <c r="F2064" s="3928" t="s">
        <v>2409</v>
      </c>
      <c r="G2064" s="3928" t="s">
        <v>3505</v>
      </c>
      <c r="H2064" s="3928" t="s">
        <v>24</v>
      </c>
      <c r="I2064" s="3928" t="s">
        <v>857</v>
      </c>
    </row>
    <row r="2065" spans="1:9" ht="11.25" customHeight="1">
      <c r="A2065" s="3928" t="s">
        <v>2258</v>
      </c>
      <c r="B2065" s="3928" t="s">
        <v>14</v>
      </c>
      <c r="C2065" s="3928" t="s">
        <v>3506</v>
      </c>
      <c r="D2065" s="3928" t="s">
        <v>3507</v>
      </c>
      <c r="E2065" s="3928" t="s">
        <v>3508</v>
      </c>
      <c r="F2065" s="3928" t="s">
        <v>3509</v>
      </c>
      <c r="G2065" s="3928" t="s">
        <v>24</v>
      </c>
      <c r="H2065" s="3928" t="s">
        <v>3510</v>
      </c>
      <c r="I2065" s="3928" t="s">
        <v>857</v>
      </c>
    </row>
    <row r="2066" spans="1:9" ht="11.25" customHeight="1">
      <c r="A2066" s="3928" t="s">
        <v>2258</v>
      </c>
      <c r="B2066" s="3928" t="s">
        <v>14</v>
      </c>
      <c r="C2066" s="3928" t="s">
        <v>3511</v>
      </c>
      <c r="D2066" s="3928" t="s">
        <v>3512</v>
      </c>
      <c r="E2066" s="3928" t="s">
        <v>3513</v>
      </c>
      <c r="F2066" s="3928" t="s">
        <v>2262</v>
      </c>
      <c r="G2066" s="3928" t="s">
        <v>24</v>
      </c>
      <c r="H2066" s="3928" t="s">
        <v>2314</v>
      </c>
      <c r="I2066" s="3928" t="s">
        <v>857</v>
      </c>
    </row>
    <row r="2067" spans="1:9" ht="11.25" customHeight="1">
      <c r="A2067" s="3928" t="s">
        <v>2258</v>
      </c>
      <c r="B2067" s="3928" t="s">
        <v>14</v>
      </c>
      <c r="C2067" s="3928" t="s">
        <v>6376</v>
      </c>
      <c r="D2067" s="3928" t="s">
        <v>6377</v>
      </c>
      <c r="E2067" s="3928" t="s">
        <v>6378</v>
      </c>
      <c r="F2067" s="3928" t="s">
        <v>2486</v>
      </c>
      <c r="G2067" s="3928" t="s">
        <v>24</v>
      </c>
      <c r="H2067" s="3928" t="s">
        <v>3297</v>
      </c>
      <c r="I2067" s="3928" t="s">
        <v>857</v>
      </c>
    </row>
    <row r="2068" spans="1:9" ht="11.25" customHeight="1">
      <c r="A2068" s="3928" t="s">
        <v>2258</v>
      </c>
      <c r="B2068" s="3928" t="s">
        <v>14</v>
      </c>
      <c r="C2068" s="3928" t="s">
        <v>3514</v>
      </c>
      <c r="D2068" s="3928" t="s">
        <v>3515</v>
      </c>
      <c r="E2068" s="3928" t="s">
        <v>3516</v>
      </c>
      <c r="F2068" s="3928" t="s">
        <v>2451</v>
      </c>
      <c r="G2068" s="3928" t="s">
        <v>3517</v>
      </c>
      <c r="H2068" s="3928" t="s">
        <v>3518</v>
      </c>
      <c r="I2068" s="3928" t="s">
        <v>857</v>
      </c>
    </row>
    <row r="2069" spans="1:9" ht="11.25" customHeight="1">
      <c r="A2069" s="3928" t="s">
        <v>2258</v>
      </c>
      <c r="B2069" s="3928" t="s">
        <v>14</v>
      </c>
      <c r="C2069" s="3928" t="s">
        <v>6890</v>
      </c>
      <c r="D2069" s="3928" t="s">
        <v>6891</v>
      </c>
      <c r="E2069" s="3928" t="s">
        <v>6892</v>
      </c>
      <c r="F2069" s="3928" t="s">
        <v>49</v>
      </c>
      <c r="G2069" s="3928" t="s">
        <v>24</v>
      </c>
      <c r="H2069" s="3928" t="s">
        <v>6893</v>
      </c>
      <c r="I2069" s="3928" t="s">
        <v>857</v>
      </c>
    </row>
    <row r="2070" spans="1:9" ht="11.25" customHeight="1">
      <c r="A2070" s="3928" t="s">
        <v>2258</v>
      </c>
      <c r="B2070" s="3928" t="s">
        <v>14</v>
      </c>
      <c r="C2070" s="3928" t="s">
        <v>6894</v>
      </c>
      <c r="D2070" s="3928" t="s">
        <v>6895</v>
      </c>
      <c r="E2070" s="3928" t="s">
        <v>6896</v>
      </c>
      <c r="F2070" s="3928" t="s">
        <v>2419</v>
      </c>
      <c r="G2070" s="3928" t="s">
        <v>6897</v>
      </c>
      <c r="H2070" s="3928" t="s">
        <v>24</v>
      </c>
      <c r="I2070" s="3928" t="s">
        <v>857</v>
      </c>
    </row>
    <row r="2071" spans="1:9" ht="11.25" customHeight="1">
      <c r="A2071" s="3928" t="s">
        <v>2258</v>
      </c>
      <c r="B2071" s="3928" t="s">
        <v>14</v>
      </c>
      <c r="C2071" s="3928" t="s">
        <v>3526</v>
      </c>
      <c r="D2071" s="3928" t="s">
        <v>3527</v>
      </c>
      <c r="E2071" s="3928" t="s">
        <v>3528</v>
      </c>
      <c r="F2071" s="3928" t="s">
        <v>2701</v>
      </c>
      <c r="G2071" s="3928" t="s">
        <v>24</v>
      </c>
      <c r="H2071" s="3928" t="s">
        <v>2263</v>
      </c>
      <c r="I2071" s="3928" t="s">
        <v>857</v>
      </c>
    </row>
    <row r="2072" spans="1:9" ht="11.25" customHeight="1">
      <c r="A2072" s="3928" t="s">
        <v>2258</v>
      </c>
      <c r="B2072" s="3928" t="s">
        <v>14</v>
      </c>
      <c r="C2072" s="3928" t="s">
        <v>3529</v>
      </c>
      <c r="D2072" s="3928" t="s">
        <v>3530</v>
      </c>
      <c r="E2072" s="3928" t="s">
        <v>3531</v>
      </c>
      <c r="F2072" s="3928" t="s">
        <v>3532</v>
      </c>
      <c r="G2072" s="3928" t="s">
        <v>3533</v>
      </c>
      <c r="H2072" s="3928" t="s">
        <v>24</v>
      </c>
      <c r="I2072" s="3928" t="s">
        <v>857</v>
      </c>
    </row>
    <row r="2073" spans="1:9" ht="11.25" customHeight="1">
      <c r="A2073" s="3928" t="s">
        <v>2258</v>
      </c>
      <c r="B2073" s="3928" t="s">
        <v>14</v>
      </c>
      <c r="C2073" s="3928" t="s">
        <v>3534</v>
      </c>
      <c r="D2073" s="3928" t="s">
        <v>3535</v>
      </c>
      <c r="E2073" s="3928" t="s">
        <v>3536</v>
      </c>
      <c r="F2073" s="3928" t="s">
        <v>2424</v>
      </c>
      <c r="G2073" s="3928" t="s">
        <v>24</v>
      </c>
      <c r="H2073" s="3928" t="s">
        <v>2263</v>
      </c>
      <c r="I2073" s="3928" t="s">
        <v>857</v>
      </c>
    </row>
    <row r="2074" spans="1:9" ht="11.25" customHeight="1">
      <c r="A2074" s="3928" t="s">
        <v>2258</v>
      </c>
      <c r="B2074" s="3928" t="s">
        <v>14</v>
      </c>
      <c r="C2074" s="3928" t="s">
        <v>3537</v>
      </c>
      <c r="D2074" s="3928" t="s">
        <v>3538</v>
      </c>
      <c r="E2074" s="3928" t="s">
        <v>3539</v>
      </c>
      <c r="F2074" s="3928" t="s">
        <v>2424</v>
      </c>
      <c r="G2074" s="3928" t="s">
        <v>24</v>
      </c>
      <c r="H2074" s="3928" t="s">
        <v>3540</v>
      </c>
      <c r="I2074" s="3928" t="s">
        <v>857</v>
      </c>
    </row>
    <row r="2075" spans="1:9" ht="11.25" customHeight="1">
      <c r="A2075" s="3928" t="s">
        <v>2258</v>
      </c>
      <c r="B2075" s="3928" t="s">
        <v>14</v>
      </c>
      <c r="C2075" s="3928" t="s">
        <v>3541</v>
      </c>
      <c r="D2075" s="3928" t="s">
        <v>3542</v>
      </c>
      <c r="E2075" s="3928" t="s">
        <v>3543</v>
      </c>
      <c r="F2075" s="3928" t="s">
        <v>2289</v>
      </c>
      <c r="G2075" s="3928" t="s">
        <v>3544</v>
      </c>
      <c r="H2075" s="3928" t="s">
        <v>3545</v>
      </c>
      <c r="I2075" s="3928" t="s">
        <v>857</v>
      </c>
    </row>
    <row r="2076" spans="1:9" ht="11.25" customHeight="1">
      <c r="A2076" s="3928" t="s">
        <v>2258</v>
      </c>
      <c r="B2076" s="3928" t="s">
        <v>14</v>
      </c>
      <c r="C2076" s="3928" t="s">
        <v>3546</v>
      </c>
      <c r="D2076" s="3928" t="s">
        <v>3547</v>
      </c>
      <c r="E2076" s="3928" t="s">
        <v>3548</v>
      </c>
      <c r="F2076" s="3928" t="s">
        <v>2289</v>
      </c>
      <c r="G2076" s="3928" t="s">
        <v>3549</v>
      </c>
      <c r="H2076" s="3928" t="s">
        <v>24</v>
      </c>
      <c r="I2076" s="3928" t="s">
        <v>857</v>
      </c>
    </row>
    <row r="2077" spans="1:9" ht="11.25" customHeight="1">
      <c r="A2077" s="3928" t="s">
        <v>2258</v>
      </c>
      <c r="B2077" s="3928" t="s">
        <v>14</v>
      </c>
      <c r="C2077" s="3928" t="s">
        <v>3553</v>
      </c>
      <c r="D2077" s="3928" t="s">
        <v>3554</v>
      </c>
      <c r="E2077" s="3928" t="s">
        <v>3555</v>
      </c>
      <c r="F2077" s="3928" t="s">
        <v>2313</v>
      </c>
      <c r="G2077" s="3928" t="s">
        <v>24</v>
      </c>
      <c r="H2077" s="3928" t="s">
        <v>3556</v>
      </c>
      <c r="I2077" s="3928" t="s">
        <v>857</v>
      </c>
    </row>
    <row r="2078" spans="1:9" ht="11.25" customHeight="1">
      <c r="A2078" s="3928" t="s">
        <v>2258</v>
      </c>
      <c r="B2078" s="3928" t="s">
        <v>14</v>
      </c>
      <c r="C2078" s="3928" t="s">
        <v>3557</v>
      </c>
      <c r="D2078" s="3928" t="s">
        <v>3558</v>
      </c>
      <c r="E2078" s="3928" t="s">
        <v>3559</v>
      </c>
      <c r="F2078" s="3928" t="s">
        <v>49</v>
      </c>
      <c r="G2078" s="3928" t="s">
        <v>24</v>
      </c>
      <c r="H2078" s="3928" t="s">
        <v>3560</v>
      </c>
      <c r="I2078" s="3928" t="s">
        <v>857</v>
      </c>
    </row>
    <row r="2079" spans="1:9" ht="11.25" customHeight="1">
      <c r="A2079" s="3928" t="s">
        <v>2258</v>
      </c>
      <c r="B2079" s="3928" t="s">
        <v>14</v>
      </c>
      <c r="C2079" s="3928" t="s">
        <v>3561</v>
      </c>
      <c r="D2079" s="3928" t="s">
        <v>3562</v>
      </c>
      <c r="E2079" s="3928" t="s">
        <v>3563</v>
      </c>
      <c r="F2079" s="3928" t="s">
        <v>2831</v>
      </c>
      <c r="G2079" s="3928" t="s">
        <v>24</v>
      </c>
      <c r="H2079" s="3928" t="s">
        <v>2475</v>
      </c>
      <c r="I2079" s="3928" t="s">
        <v>857</v>
      </c>
    </row>
    <row r="2080" spans="1:9" ht="11.25" customHeight="1">
      <c r="A2080" s="3928" t="s">
        <v>2258</v>
      </c>
      <c r="B2080" s="3928" t="s">
        <v>14</v>
      </c>
      <c r="C2080" s="3928" t="s">
        <v>3564</v>
      </c>
      <c r="D2080" s="3928" t="s">
        <v>3565</v>
      </c>
      <c r="E2080" s="3928" t="s">
        <v>3566</v>
      </c>
      <c r="F2080" s="3928" t="s">
        <v>2552</v>
      </c>
      <c r="G2080" s="3928" t="s">
        <v>3567</v>
      </c>
      <c r="H2080" s="3928" t="s">
        <v>3568</v>
      </c>
      <c r="I2080" s="3928" t="s">
        <v>857</v>
      </c>
    </row>
    <row r="2081" spans="1:9" ht="11.25" customHeight="1">
      <c r="A2081" s="3928" t="s">
        <v>2258</v>
      </c>
      <c r="B2081" s="3928" t="s">
        <v>14</v>
      </c>
      <c r="C2081" s="3928" t="s">
        <v>6898</v>
      </c>
      <c r="D2081" s="3928" t="s">
        <v>6899</v>
      </c>
      <c r="E2081" s="3928" t="s">
        <v>6900</v>
      </c>
      <c r="F2081" s="3928" t="s">
        <v>2771</v>
      </c>
      <c r="G2081" s="3928" t="s">
        <v>24</v>
      </c>
      <c r="H2081" s="3928" t="s">
        <v>6901</v>
      </c>
      <c r="I2081" s="3928" t="s">
        <v>857</v>
      </c>
    </row>
    <row r="2082" spans="1:9" ht="11.25" customHeight="1">
      <c r="A2082" s="3928" t="s">
        <v>2258</v>
      </c>
      <c r="B2082" s="3928" t="s">
        <v>14</v>
      </c>
      <c r="C2082" s="3928" t="s">
        <v>6902</v>
      </c>
      <c r="D2082" s="3928" t="s">
        <v>6903</v>
      </c>
      <c r="E2082" s="3928" t="s">
        <v>6904</v>
      </c>
      <c r="F2082" s="3928" t="s">
        <v>2746</v>
      </c>
      <c r="G2082" s="3928" t="s">
        <v>24</v>
      </c>
      <c r="H2082" s="3928" t="s">
        <v>6905</v>
      </c>
      <c r="I2082" s="3928" t="s">
        <v>857</v>
      </c>
    </row>
    <row r="2083" spans="1:9" ht="11.25" customHeight="1">
      <c r="A2083" s="3928" t="s">
        <v>2258</v>
      </c>
      <c r="B2083" s="3928" t="s">
        <v>14</v>
      </c>
      <c r="C2083" s="3928" t="s">
        <v>3577</v>
      </c>
      <c r="D2083" s="3928" t="s">
        <v>3578</v>
      </c>
      <c r="E2083" s="3928" t="s">
        <v>3579</v>
      </c>
      <c r="F2083" s="3928" t="s">
        <v>3580</v>
      </c>
      <c r="G2083" s="3928" t="s">
        <v>3581</v>
      </c>
      <c r="H2083" s="3928" t="s">
        <v>24</v>
      </c>
      <c r="I2083" s="3928" t="s">
        <v>857</v>
      </c>
    </row>
    <row r="2084" spans="1:9" ht="11.25" customHeight="1">
      <c r="A2084" s="3928" t="s">
        <v>2258</v>
      </c>
      <c r="B2084" s="3928" t="s">
        <v>14</v>
      </c>
      <c r="C2084" s="3928" t="s">
        <v>6906</v>
      </c>
      <c r="D2084" s="3928" t="s">
        <v>6907</v>
      </c>
      <c r="E2084" s="3928" t="s">
        <v>6908</v>
      </c>
      <c r="F2084" s="3928" t="s">
        <v>2409</v>
      </c>
      <c r="G2084" s="3928" t="s">
        <v>6909</v>
      </c>
      <c r="H2084" s="3928" t="s">
        <v>24</v>
      </c>
      <c r="I2084" s="3928" t="s">
        <v>857</v>
      </c>
    </row>
    <row r="2085" spans="1:9" ht="11.25" customHeight="1">
      <c r="A2085" s="3928" t="s">
        <v>2258</v>
      </c>
      <c r="B2085" s="3928" t="s">
        <v>14</v>
      </c>
      <c r="C2085" s="3928" t="s">
        <v>6910</v>
      </c>
      <c r="D2085" s="3928" t="s">
        <v>6911</v>
      </c>
      <c r="E2085" s="3928" t="s">
        <v>6912</v>
      </c>
      <c r="F2085" s="3928" t="s">
        <v>2409</v>
      </c>
      <c r="G2085" s="3928" t="s">
        <v>24</v>
      </c>
      <c r="H2085" s="3928" t="s">
        <v>24</v>
      </c>
      <c r="I2085" s="3928" t="s">
        <v>857</v>
      </c>
    </row>
    <row r="2086" spans="1:9" ht="11.25" customHeight="1">
      <c r="A2086" s="3928" t="s">
        <v>2258</v>
      </c>
      <c r="B2086" s="3928" t="s">
        <v>14</v>
      </c>
      <c r="C2086" s="3928" t="s">
        <v>3582</v>
      </c>
      <c r="D2086" s="3928" t="s">
        <v>3583</v>
      </c>
      <c r="E2086" s="3928" t="s">
        <v>3584</v>
      </c>
      <c r="F2086" s="3928" t="s">
        <v>2304</v>
      </c>
      <c r="G2086" s="3928" t="s">
        <v>3585</v>
      </c>
      <c r="H2086" s="3928" t="s">
        <v>2263</v>
      </c>
      <c r="I2086" s="3928" t="s">
        <v>857</v>
      </c>
    </row>
    <row r="2087" spans="1:9" ht="11.25" customHeight="1">
      <c r="A2087" s="3928" t="s">
        <v>2258</v>
      </c>
      <c r="B2087" s="3928" t="s">
        <v>14</v>
      </c>
      <c r="C2087" s="3928" t="s">
        <v>3586</v>
      </c>
      <c r="D2087" s="3928" t="s">
        <v>3587</v>
      </c>
      <c r="E2087" s="3928" t="s">
        <v>3588</v>
      </c>
      <c r="F2087" s="3928" t="s">
        <v>2675</v>
      </c>
      <c r="G2087" s="3928" t="s">
        <v>3589</v>
      </c>
      <c r="H2087" s="3928" t="s">
        <v>3590</v>
      </c>
      <c r="I2087" s="3928" t="s">
        <v>857</v>
      </c>
    </row>
    <row r="2088" spans="1:9" ht="11.25" customHeight="1">
      <c r="A2088" s="3928" t="s">
        <v>2258</v>
      </c>
      <c r="B2088" s="3928" t="s">
        <v>14</v>
      </c>
      <c r="C2088" s="3928" t="s">
        <v>6913</v>
      </c>
      <c r="D2088" s="3928" t="s">
        <v>6914</v>
      </c>
      <c r="E2088" s="3928" t="s">
        <v>6915</v>
      </c>
      <c r="F2088" s="3928" t="s">
        <v>2780</v>
      </c>
      <c r="G2088" s="3928" t="s">
        <v>6916</v>
      </c>
      <c r="H2088" s="3928" t="s">
        <v>24</v>
      </c>
      <c r="I2088" s="3928" t="s">
        <v>857</v>
      </c>
    </row>
    <row r="2089" spans="1:9" ht="11.25" customHeight="1">
      <c r="A2089" s="3928" t="s">
        <v>2258</v>
      </c>
      <c r="B2089" s="3928" t="s">
        <v>14</v>
      </c>
      <c r="C2089" s="3928" t="s">
        <v>6917</v>
      </c>
      <c r="D2089" s="3928" t="s">
        <v>6918</v>
      </c>
      <c r="E2089" s="3928" t="s">
        <v>6919</v>
      </c>
      <c r="F2089" s="3928" t="s">
        <v>2675</v>
      </c>
      <c r="G2089" s="3928" t="s">
        <v>6920</v>
      </c>
      <c r="H2089" s="3928" t="s">
        <v>24</v>
      </c>
      <c r="I2089" s="3928" t="s">
        <v>857</v>
      </c>
    </row>
    <row r="2090" spans="1:9" ht="11.25" customHeight="1">
      <c r="A2090" s="3928" t="s">
        <v>2258</v>
      </c>
      <c r="B2090" s="3928" t="s">
        <v>14</v>
      </c>
      <c r="C2090" s="3928" t="s">
        <v>6921</v>
      </c>
      <c r="D2090" s="3928" t="s">
        <v>6922</v>
      </c>
      <c r="E2090" s="3928" t="s">
        <v>6923</v>
      </c>
      <c r="F2090" s="3928" t="s">
        <v>2464</v>
      </c>
      <c r="G2090" s="3928" t="s">
        <v>24</v>
      </c>
      <c r="H2090" s="3928" t="s">
        <v>6924</v>
      </c>
      <c r="I2090" s="3928" t="s">
        <v>857</v>
      </c>
    </row>
    <row r="2091" spans="1:9" ht="11.25" customHeight="1">
      <c r="A2091" s="3928" t="s">
        <v>2258</v>
      </c>
      <c r="B2091" s="3928" t="s">
        <v>14</v>
      </c>
      <c r="C2091" s="3928" t="s">
        <v>6925</v>
      </c>
      <c r="D2091" s="3928" t="s">
        <v>6926</v>
      </c>
      <c r="E2091" s="3928" t="s">
        <v>6927</v>
      </c>
      <c r="F2091" s="3928" t="s">
        <v>2675</v>
      </c>
      <c r="G2091" s="3928" t="s">
        <v>24</v>
      </c>
      <c r="H2091" s="3928" t="s">
        <v>6928</v>
      </c>
      <c r="I2091" s="3928" t="s">
        <v>857</v>
      </c>
    </row>
    <row r="2092" spans="1:9" ht="11.25" customHeight="1">
      <c r="A2092" s="3928" t="s">
        <v>2258</v>
      </c>
      <c r="B2092" s="3928" t="s">
        <v>14</v>
      </c>
      <c r="C2092" s="3928" t="s">
        <v>3602</v>
      </c>
      <c r="D2092" s="3928" t="s">
        <v>3603</v>
      </c>
      <c r="E2092" s="3928" t="s">
        <v>3604</v>
      </c>
      <c r="F2092" s="3928" t="s">
        <v>2675</v>
      </c>
      <c r="G2092" s="3928" t="s">
        <v>24</v>
      </c>
      <c r="H2092" s="3928" t="s">
        <v>3068</v>
      </c>
      <c r="I2092" s="3928" t="s">
        <v>857</v>
      </c>
    </row>
    <row r="2093" spans="1:9" ht="11.25" customHeight="1">
      <c r="A2093" s="3928" t="s">
        <v>2258</v>
      </c>
      <c r="B2093" s="3928" t="s">
        <v>14</v>
      </c>
      <c r="C2093" s="3928" t="s">
        <v>3605</v>
      </c>
      <c r="D2093" s="3928" t="s">
        <v>3606</v>
      </c>
      <c r="E2093" s="3928" t="s">
        <v>3607</v>
      </c>
      <c r="F2093" s="3928" t="s">
        <v>2771</v>
      </c>
      <c r="G2093" s="3928" t="s">
        <v>24</v>
      </c>
      <c r="H2093" s="3928" t="s">
        <v>3608</v>
      </c>
      <c r="I2093" s="3928" t="s">
        <v>857</v>
      </c>
    </row>
    <row r="2094" spans="1:9" ht="11.25" customHeight="1">
      <c r="A2094" s="3928" t="s">
        <v>2258</v>
      </c>
      <c r="B2094" s="3928" t="s">
        <v>14</v>
      </c>
      <c r="C2094" s="3928" t="s">
        <v>3609</v>
      </c>
      <c r="D2094" s="3928" t="s">
        <v>3610</v>
      </c>
      <c r="E2094" s="3928" t="s">
        <v>3611</v>
      </c>
      <c r="F2094" s="3928" t="s">
        <v>3612</v>
      </c>
      <c r="G2094" s="3928" t="s">
        <v>24</v>
      </c>
      <c r="H2094" s="3928" t="s">
        <v>2263</v>
      </c>
      <c r="I2094" s="3928" t="s">
        <v>857</v>
      </c>
    </row>
    <row r="2095" spans="1:9" ht="11.25" customHeight="1">
      <c r="A2095" s="3928" t="s">
        <v>2258</v>
      </c>
      <c r="B2095" s="3928" t="s">
        <v>14</v>
      </c>
      <c r="C2095" s="3928" t="s">
        <v>3613</v>
      </c>
      <c r="D2095" s="3928" t="s">
        <v>3614</v>
      </c>
      <c r="E2095" s="3928" t="s">
        <v>3615</v>
      </c>
      <c r="F2095" s="3928" t="s">
        <v>2409</v>
      </c>
      <c r="G2095" s="3928" t="s">
        <v>24</v>
      </c>
      <c r="H2095" s="3928" t="s">
        <v>2263</v>
      </c>
      <c r="I2095" s="3928" t="s">
        <v>857</v>
      </c>
    </row>
    <row r="2096" spans="1:9" ht="11.25" customHeight="1">
      <c r="A2096" s="3928" t="s">
        <v>2258</v>
      </c>
      <c r="B2096" s="3928" t="s">
        <v>14</v>
      </c>
      <c r="C2096" s="3928" t="s">
        <v>3616</v>
      </c>
      <c r="D2096" s="3928" t="s">
        <v>3617</v>
      </c>
      <c r="E2096" s="3928" t="s">
        <v>3618</v>
      </c>
      <c r="F2096" s="3928" t="s">
        <v>2780</v>
      </c>
      <c r="G2096" s="3928" t="s">
        <v>3619</v>
      </c>
      <c r="H2096" s="3928" t="s">
        <v>2263</v>
      </c>
      <c r="I2096" s="3928" t="s">
        <v>857</v>
      </c>
    </row>
    <row r="2097" spans="1:9" ht="11.25" customHeight="1">
      <c r="A2097" s="3928" t="s">
        <v>2258</v>
      </c>
      <c r="B2097" s="3928" t="s">
        <v>14</v>
      </c>
      <c r="C2097" s="3928" t="s">
        <v>3620</v>
      </c>
      <c r="D2097" s="3928" t="s">
        <v>3621</v>
      </c>
      <c r="E2097" s="3928" t="s">
        <v>3622</v>
      </c>
      <c r="F2097" s="3928" t="s">
        <v>2701</v>
      </c>
      <c r="G2097" s="3928" t="s">
        <v>3623</v>
      </c>
      <c r="H2097" s="3928" t="s">
        <v>24</v>
      </c>
      <c r="I2097" s="3928" t="s">
        <v>857</v>
      </c>
    </row>
    <row r="2098" spans="1:9" ht="11.25" customHeight="1">
      <c r="A2098" s="3928" t="s">
        <v>2258</v>
      </c>
      <c r="B2098" s="3928" t="s">
        <v>14</v>
      </c>
      <c r="C2098" s="3928" t="s">
        <v>3624</v>
      </c>
      <c r="D2098" s="3928" t="s">
        <v>3625</v>
      </c>
      <c r="E2098" s="3928" t="s">
        <v>3626</v>
      </c>
      <c r="F2098" s="3928" t="s">
        <v>2414</v>
      </c>
      <c r="G2098" s="3928" t="s">
        <v>3627</v>
      </c>
      <c r="H2098" s="3928" t="s">
        <v>24</v>
      </c>
      <c r="I2098" s="3928" t="s">
        <v>857</v>
      </c>
    </row>
    <row r="2099" spans="1:9" ht="11.25" customHeight="1">
      <c r="A2099" s="3928" t="s">
        <v>2258</v>
      </c>
      <c r="B2099" s="3928" t="s">
        <v>14</v>
      </c>
      <c r="C2099" s="3928" t="s">
        <v>6929</v>
      </c>
      <c r="D2099" s="3928" t="s">
        <v>6930</v>
      </c>
      <c r="E2099" s="3928" t="s">
        <v>5884</v>
      </c>
      <c r="F2099" s="3928" t="s">
        <v>2359</v>
      </c>
      <c r="G2099" s="3928" t="s">
        <v>24</v>
      </c>
      <c r="H2099" s="3928" t="s">
        <v>2848</v>
      </c>
      <c r="I2099" s="3928" t="s">
        <v>857</v>
      </c>
    </row>
    <row r="2100" spans="1:9" ht="11.25" customHeight="1">
      <c r="A2100" s="3928" t="s">
        <v>2258</v>
      </c>
      <c r="B2100" s="3928" t="s">
        <v>14</v>
      </c>
      <c r="C2100" s="3928" t="s">
        <v>3628</v>
      </c>
      <c r="D2100" s="3928" t="s">
        <v>3629</v>
      </c>
      <c r="E2100" s="3928" t="s">
        <v>3630</v>
      </c>
      <c r="F2100" s="3928" t="s">
        <v>2486</v>
      </c>
      <c r="G2100" s="3928" t="s">
        <v>24</v>
      </c>
      <c r="H2100" s="3928" t="s">
        <v>3631</v>
      </c>
      <c r="I2100" s="3928" t="s">
        <v>857</v>
      </c>
    </row>
    <row r="2101" spans="1:9" ht="11.25" customHeight="1">
      <c r="A2101" s="3928" t="s">
        <v>2258</v>
      </c>
      <c r="B2101" s="3928" t="s">
        <v>14</v>
      </c>
      <c r="C2101" s="3928" t="s">
        <v>3632</v>
      </c>
      <c r="D2101" s="3928" t="s">
        <v>3633</v>
      </c>
      <c r="E2101" s="3928" t="s">
        <v>3634</v>
      </c>
      <c r="F2101" s="3928" t="s">
        <v>2294</v>
      </c>
      <c r="G2101" s="3928" t="s">
        <v>3635</v>
      </c>
      <c r="H2101" s="3928" t="s">
        <v>3636</v>
      </c>
      <c r="I2101" s="3928" t="s">
        <v>857</v>
      </c>
    </row>
    <row r="2102" spans="1:9" ht="11.25" customHeight="1">
      <c r="A2102" s="3928" t="s">
        <v>2258</v>
      </c>
      <c r="B2102" s="3928" t="s">
        <v>14</v>
      </c>
      <c r="C2102" s="3928" t="s">
        <v>6931</v>
      </c>
      <c r="D2102" s="3928" t="s">
        <v>6932</v>
      </c>
      <c r="E2102" s="3928" t="s">
        <v>6933</v>
      </c>
      <c r="F2102" s="3928" t="s">
        <v>49</v>
      </c>
      <c r="G2102" s="3928" t="s">
        <v>5173</v>
      </c>
      <c r="H2102" s="3928" t="s">
        <v>24</v>
      </c>
      <c r="I2102" s="3928" t="s">
        <v>857</v>
      </c>
    </row>
    <row r="2103" spans="1:9" ht="11.25" customHeight="1">
      <c r="A2103" s="3928" t="s">
        <v>2258</v>
      </c>
      <c r="B2103" s="3928" t="s">
        <v>14</v>
      </c>
      <c r="C2103" s="3928" t="s">
        <v>6934</v>
      </c>
      <c r="D2103" s="3928" t="s">
        <v>6935</v>
      </c>
      <c r="E2103" s="3928" t="s">
        <v>6936</v>
      </c>
      <c r="F2103" s="3928" t="s">
        <v>2359</v>
      </c>
      <c r="G2103" s="3928" t="s">
        <v>24</v>
      </c>
      <c r="H2103" s="3928" t="s">
        <v>2848</v>
      </c>
      <c r="I2103" s="3928" t="s">
        <v>857</v>
      </c>
    </row>
    <row r="2104" spans="1:9" ht="11.25" customHeight="1">
      <c r="A2104" s="3928" t="s">
        <v>2258</v>
      </c>
      <c r="B2104" s="3928" t="s">
        <v>14</v>
      </c>
      <c r="C2104" s="3928" t="s">
        <v>6383</v>
      </c>
      <c r="D2104" s="3928" t="s">
        <v>6384</v>
      </c>
      <c r="E2104" s="3928" t="s">
        <v>6385</v>
      </c>
      <c r="F2104" s="3928" t="s">
        <v>2424</v>
      </c>
      <c r="G2104" s="3928" t="s">
        <v>24</v>
      </c>
      <c r="H2104" s="3928" t="s">
        <v>3068</v>
      </c>
      <c r="I2104" s="3928" t="s">
        <v>857</v>
      </c>
    </row>
    <row r="2105" spans="1:9" ht="11.25" customHeight="1">
      <c r="A2105" s="3928" t="s">
        <v>2258</v>
      </c>
      <c r="B2105" s="3928" t="s">
        <v>14</v>
      </c>
      <c r="C2105" s="3928" t="s">
        <v>6937</v>
      </c>
      <c r="D2105" s="3928" t="s">
        <v>6938</v>
      </c>
      <c r="E2105" s="3928" t="s">
        <v>6939</v>
      </c>
      <c r="F2105" s="3928" t="s">
        <v>2473</v>
      </c>
      <c r="G2105" s="3928" t="s">
        <v>6940</v>
      </c>
      <c r="H2105" s="3928" t="s">
        <v>2945</v>
      </c>
      <c r="I2105" s="3928" t="s">
        <v>857</v>
      </c>
    </row>
    <row r="2106" spans="1:9" ht="11.25" customHeight="1">
      <c r="A2106" s="3928" t="s">
        <v>2258</v>
      </c>
      <c r="B2106" s="3928" t="s">
        <v>14</v>
      </c>
      <c r="C2106" s="3928" t="s">
        <v>3646</v>
      </c>
      <c r="D2106" s="3928" t="s">
        <v>3647</v>
      </c>
      <c r="E2106" s="3928" t="s">
        <v>3648</v>
      </c>
      <c r="F2106" s="3928" t="s">
        <v>2409</v>
      </c>
      <c r="G2106" s="3928" t="s">
        <v>24</v>
      </c>
      <c r="H2106" s="3928" t="s">
        <v>2263</v>
      </c>
      <c r="I2106" s="3928" t="s">
        <v>857</v>
      </c>
    </row>
    <row r="2107" spans="1:9" ht="11.25" customHeight="1">
      <c r="A2107" s="3928" t="s">
        <v>2258</v>
      </c>
      <c r="B2107" s="3928" t="s">
        <v>14</v>
      </c>
      <c r="C2107" s="3928" t="s">
        <v>3649</v>
      </c>
      <c r="D2107" s="3928" t="s">
        <v>3650</v>
      </c>
      <c r="E2107" s="3928" t="s">
        <v>3651</v>
      </c>
      <c r="F2107" s="3928" t="s">
        <v>2375</v>
      </c>
      <c r="G2107" s="3928" t="s">
        <v>24</v>
      </c>
      <c r="H2107" s="3928" t="s">
        <v>2263</v>
      </c>
      <c r="I2107" s="3928" t="s">
        <v>857</v>
      </c>
    </row>
    <row r="2108" spans="1:9" ht="11.25" customHeight="1">
      <c r="A2108" s="3928" t="s">
        <v>2258</v>
      </c>
      <c r="B2108" s="3928" t="s">
        <v>14</v>
      </c>
      <c r="C2108" s="3928" t="s">
        <v>3652</v>
      </c>
      <c r="D2108" s="3928" t="s">
        <v>3653</v>
      </c>
      <c r="E2108" s="3928" t="s">
        <v>3654</v>
      </c>
      <c r="F2108" s="3928" t="s">
        <v>2486</v>
      </c>
      <c r="G2108" s="3928" t="s">
        <v>3655</v>
      </c>
      <c r="H2108" s="3928" t="s">
        <v>2475</v>
      </c>
      <c r="I2108" s="3928" t="s">
        <v>857</v>
      </c>
    </row>
    <row r="2109" spans="1:9" ht="11.25" customHeight="1">
      <c r="A2109" s="3928" t="s">
        <v>2258</v>
      </c>
      <c r="B2109" s="3928" t="s">
        <v>14</v>
      </c>
      <c r="C2109" s="3928" t="s">
        <v>6941</v>
      </c>
      <c r="D2109" s="3928" t="s">
        <v>6942</v>
      </c>
      <c r="E2109" s="3928" t="s">
        <v>6943</v>
      </c>
      <c r="F2109" s="3928" t="s">
        <v>2451</v>
      </c>
      <c r="G2109" s="3928" t="s">
        <v>6944</v>
      </c>
      <c r="H2109" s="3928" t="s">
        <v>24</v>
      </c>
      <c r="I2109" s="3928" t="s">
        <v>857</v>
      </c>
    </row>
    <row r="2110" spans="1:9" ht="11.25" customHeight="1">
      <c r="A2110" s="3928" t="s">
        <v>2258</v>
      </c>
      <c r="B2110" s="3928" t="s">
        <v>14</v>
      </c>
      <c r="C2110" s="3928" t="s">
        <v>6945</v>
      </c>
      <c r="D2110" s="3928" t="s">
        <v>6946</v>
      </c>
      <c r="E2110" s="3928" t="s">
        <v>6947</v>
      </c>
      <c r="F2110" s="3928" t="s">
        <v>4166</v>
      </c>
      <c r="G2110" s="3928" t="s">
        <v>24</v>
      </c>
      <c r="H2110" s="3928" t="s">
        <v>3168</v>
      </c>
      <c r="I2110" s="3928" t="s">
        <v>857</v>
      </c>
    </row>
    <row r="2111" spans="1:9" ht="11.25" customHeight="1">
      <c r="A2111" s="3928" t="s">
        <v>2258</v>
      </c>
      <c r="B2111" s="3928" t="s">
        <v>14</v>
      </c>
      <c r="C2111" s="3928" t="s">
        <v>3656</v>
      </c>
      <c r="D2111" s="3928" t="s">
        <v>3657</v>
      </c>
      <c r="E2111" s="3928" t="s">
        <v>3658</v>
      </c>
      <c r="F2111" s="3928" t="s">
        <v>2701</v>
      </c>
      <c r="G2111" s="3928" t="s">
        <v>3659</v>
      </c>
      <c r="H2111" s="3928" t="s">
        <v>24</v>
      </c>
      <c r="I2111" s="3928" t="s">
        <v>857</v>
      </c>
    </row>
    <row r="2112" spans="1:9" ht="11.25" customHeight="1">
      <c r="A2112" s="3928" t="s">
        <v>2258</v>
      </c>
      <c r="B2112" s="3928" t="s">
        <v>14</v>
      </c>
      <c r="C2112" s="3928" t="s">
        <v>3660</v>
      </c>
      <c r="D2112" s="3928" t="s">
        <v>3661</v>
      </c>
      <c r="E2112" s="3928" t="s">
        <v>3662</v>
      </c>
      <c r="F2112" s="3928" t="s">
        <v>2349</v>
      </c>
      <c r="G2112" s="3928" t="s">
        <v>24</v>
      </c>
      <c r="H2112" s="3928" t="s">
        <v>24</v>
      </c>
      <c r="I2112" s="3928" t="s">
        <v>857</v>
      </c>
    </row>
    <row r="2113" spans="1:9" ht="11.25" customHeight="1">
      <c r="A2113" s="3928" t="s">
        <v>2258</v>
      </c>
      <c r="B2113" s="3928" t="s">
        <v>14</v>
      </c>
      <c r="C2113" s="3928" t="s">
        <v>6948</v>
      </c>
      <c r="D2113" s="3928" t="s">
        <v>6949</v>
      </c>
      <c r="E2113" s="3928" t="s">
        <v>6950</v>
      </c>
      <c r="F2113" s="3928" t="s">
        <v>2409</v>
      </c>
      <c r="G2113" s="3928" t="s">
        <v>24</v>
      </c>
      <c r="H2113" s="3928" t="s">
        <v>2263</v>
      </c>
      <c r="I2113" s="3928" t="s">
        <v>857</v>
      </c>
    </row>
    <row r="2114" spans="1:9" ht="11.25" customHeight="1">
      <c r="A2114" s="3928" t="s">
        <v>2258</v>
      </c>
      <c r="B2114" s="3928" t="s">
        <v>14</v>
      </c>
      <c r="C2114" s="3928" t="s">
        <v>6951</v>
      </c>
      <c r="D2114" s="3928" t="s">
        <v>6952</v>
      </c>
      <c r="E2114" s="3928" t="s">
        <v>6953</v>
      </c>
      <c r="F2114" s="3928" t="s">
        <v>2414</v>
      </c>
      <c r="G2114" s="3928" t="s">
        <v>24</v>
      </c>
      <c r="H2114" s="3928" t="s">
        <v>24</v>
      </c>
      <c r="I2114" s="3928" t="s">
        <v>857</v>
      </c>
    </row>
    <row r="2115" spans="1:9" ht="11.25" customHeight="1">
      <c r="A2115" s="3928" t="s">
        <v>2258</v>
      </c>
      <c r="B2115" s="3928" t="s">
        <v>14</v>
      </c>
      <c r="C2115" s="3928" t="s">
        <v>3667</v>
      </c>
      <c r="D2115" s="3928" t="s">
        <v>3668</v>
      </c>
      <c r="E2115" s="3928" t="s">
        <v>3669</v>
      </c>
      <c r="F2115" s="3928" t="s">
        <v>2675</v>
      </c>
      <c r="G2115" s="3928" t="s">
        <v>3670</v>
      </c>
      <c r="H2115" s="3928" t="s">
        <v>24</v>
      </c>
      <c r="I2115" s="3928" t="s">
        <v>857</v>
      </c>
    </row>
    <row r="2116" spans="1:9" ht="11.25" customHeight="1">
      <c r="A2116" s="3928" t="s">
        <v>2258</v>
      </c>
      <c r="B2116" s="3928" t="s">
        <v>14</v>
      </c>
      <c r="C2116" s="3928" t="s">
        <v>3671</v>
      </c>
      <c r="D2116" s="3928" t="s">
        <v>3672</v>
      </c>
      <c r="E2116" s="3928" t="s">
        <v>3673</v>
      </c>
      <c r="F2116" s="3928" t="s">
        <v>2451</v>
      </c>
      <c r="G2116" s="3928" t="s">
        <v>3674</v>
      </c>
      <c r="H2116" s="3928" t="s">
        <v>24</v>
      </c>
      <c r="I2116" s="3928" t="s">
        <v>857</v>
      </c>
    </row>
    <row r="2117" spans="1:9" ht="11.25" customHeight="1">
      <c r="A2117" s="3928" t="s">
        <v>2258</v>
      </c>
      <c r="B2117" s="3928" t="s">
        <v>14</v>
      </c>
      <c r="C2117" s="3928" t="s">
        <v>3675</v>
      </c>
      <c r="D2117" s="3928" t="s">
        <v>3676</v>
      </c>
      <c r="E2117" s="3928" t="s">
        <v>3677</v>
      </c>
      <c r="F2117" s="3928" t="s">
        <v>2771</v>
      </c>
      <c r="G2117" s="3928" t="s">
        <v>3678</v>
      </c>
      <c r="H2117" s="3928" t="s">
        <v>3679</v>
      </c>
      <c r="I2117" s="3928" t="s">
        <v>857</v>
      </c>
    </row>
    <row r="2118" spans="1:9" ht="11.25" customHeight="1">
      <c r="A2118" s="3928" t="s">
        <v>2258</v>
      </c>
      <c r="B2118" s="3928" t="s">
        <v>14</v>
      </c>
      <c r="C2118" s="3928" t="s">
        <v>3680</v>
      </c>
      <c r="D2118" s="3928" t="s">
        <v>3681</v>
      </c>
      <c r="E2118" s="3928" t="s">
        <v>3682</v>
      </c>
      <c r="F2118" s="3928" t="s">
        <v>2359</v>
      </c>
      <c r="G2118" s="3928" t="s">
        <v>24</v>
      </c>
      <c r="H2118" s="3928" t="s">
        <v>3068</v>
      </c>
      <c r="I2118" s="3928" t="s">
        <v>857</v>
      </c>
    </row>
    <row r="2119" spans="1:9" ht="11.25" customHeight="1">
      <c r="A2119" s="3928" t="s">
        <v>2258</v>
      </c>
      <c r="B2119" s="3928" t="s">
        <v>14</v>
      </c>
      <c r="C2119" s="3928" t="s">
        <v>3683</v>
      </c>
      <c r="D2119" s="3928" t="s">
        <v>3684</v>
      </c>
      <c r="E2119" s="3928" t="s">
        <v>3685</v>
      </c>
      <c r="F2119" s="3928" t="s">
        <v>49</v>
      </c>
      <c r="G2119" s="3928" t="s">
        <v>3686</v>
      </c>
      <c r="H2119" s="3928" t="s">
        <v>2475</v>
      </c>
      <c r="I2119" s="3928" t="s">
        <v>857</v>
      </c>
    </row>
    <row r="2120" spans="1:9" ht="11.25" customHeight="1">
      <c r="A2120" s="3928" t="s">
        <v>2258</v>
      </c>
      <c r="B2120" s="3928" t="s">
        <v>14</v>
      </c>
      <c r="C2120" s="3928" t="s">
        <v>3687</v>
      </c>
      <c r="D2120" s="3928" t="s">
        <v>3688</v>
      </c>
      <c r="E2120" s="3928" t="s">
        <v>3689</v>
      </c>
      <c r="F2120" s="3928" t="s">
        <v>2675</v>
      </c>
      <c r="G2120" s="3928" t="s">
        <v>3690</v>
      </c>
      <c r="H2120" s="3928" t="s">
        <v>3691</v>
      </c>
      <c r="I2120" s="3928" t="s">
        <v>857</v>
      </c>
    </row>
    <row r="2121" spans="1:9" ht="11.25" customHeight="1">
      <c r="A2121" s="3928" t="s">
        <v>2258</v>
      </c>
      <c r="B2121" s="3928" t="s">
        <v>14</v>
      </c>
      <c r="C2121" s="3928" t="s">
        <v>6954</v>
      </c>
      <c r="D2121" s="3928" t="s">
        <v>6955</v>
      </c>
      <c r="E2121" s="3928" t="s">
        <v>6956</v>
      </c>
      <c r="F2121" s="3928" t="s">
        <v>2354</v>
      </c>
      <c r="G2121" s="3928" t="s">
        <v>6957</v>
      </c>
      <c r="H2121" s="3928" t="s">
        <v>24</v>
      </c>
      <c r="I2121" s="3928" t="s">
        <v>857</v>
      </c>
    </row>
    <row r="2122" spans="1:9" ht="11.25" customHeight="1">
      <c r="A2122" s="3928" t="s">
        <v>2258</v>
      </c>
      <c r="B2122" s="3928" t="s">
        <v>14</v>
      </c>
      <c r="C2122" s="3928" t="s">
        <v>3700</v>
      </c>
      <c r="D2122" s="3928" t="s">
        <v>3701</v>
      </c>
      <c r="E2122" s="3928" t="s">
        <v>3702</v>
      </c>
      <c r="F2122" s="3928" t="s">
        <v>3703</v>
      </c>
      <c r="G2122" s="3928" t="s">
        <v>3704</v>
      </c>
      <c r="H2122" s="3928" t="s">
        <v>24</v>
      </c>
      <c r="I2122" s="3928" t="s">
        <v>857</v>
      </c>
    </row>
    <row r="2123" spans="1:9" ht="11.25" customHeight="1">
      <c r="A2123" s="3928" t="s">
        <v>2258</v>
      </c>
      <c r="B2123" s="3928" t="s">
        <v>14</v>
      </c>
      <c r="C2123" s="3928" t="s">
        <v>3718</v>
      </c>
      <c r="D2123" s="3928" t="s">
        <v>3719</v>
      </c>
      <c r="E2123" s="3928" t="s">
        <v>3720</v>
      </c>
      <c r="F2123" s="3928" t="s">
        <v>2304</v>
      </c>
      <c r="G2123" s="3928" t="s">
        <v>24</v>
      </c>
      <c r="H2123" s="3928" t="s">
        <v>2263</v>
      </c>
      <c r="I2123" s="3928" t="s">
        <v>857</v>
      </c>
    </row>
    <row r="2124" spans="1:9" ht="11.25" customHeight="1">
      <c r="A2124" s="3928" t="s">
        <v>2258</v>
      </c>
      <c r="B2124" s="3928" t="s">
        <v>14</v>
      </c>
      <c r="C2124" s="3928" t="s">
        <v>3721</v>
      </c>
      <c r="D2124" s="3928" t="s">
        <v>3722</v>
      </c>
      <c r="E2124" s="3928" t="s">
        <v>3723</v>
      </c>
      <c r="F2124" s="3928" t="s">
        <v>2375</v>
      </c>
      <c r="G2124" s="3928" t="s">
        <v>24</v>
      </c>
      <c r="H2124" s="3928" t="s">
        <v>2263</v>
      </c>
      <c r="I2124" s="3928" t="s">
        <v>857</v>
      </c>
    </row>
    <row r="2125" spans="1:9" ht="11.25" customHeight="1">
      <c r="A2125" s="3928" t="s">
        <v>2258</v>
      </c>
      <c r="B2125" s="3928" t="s">
        <v>14</v>
      </c>
      <c r="C2125" s="3928" t="s">
        <v>3724</v>
      </c>
      <c r="D2125" s="3928" t="s">
        <v>3725</v>
      </c>
      <c r="E2125" s="3928" t="s">
        <v>3726</v>
      </c>
      <c r="F2125" s="3928" t="s">
        <v>2701</v>
      </c>
      <c r="G2125" s="3928" t="s">
        <v>3727</v>
      </c>
      <c r="H2125" s="3928" t="s">
        <v>24</v>
      </c>
      <c r="I2125" s="3928" t="s">
        <v>857</v>
      </c>
    </row>
    <row r="2126" spans="1:9" ht="11.25" customHeight="1">
      <c r="A2126" s="3928" t="s">
        <v>2258</v>
      </c>
      <c r="B2126" s="3928" t="s">
        <v>14</v>
      </c>
      <c r="C2126" s="3928" t="s">
        <v>3732</v>
      </c>
      <c r="D2126" s="3928" t="s">
        <v>3733</v>
      </c>
      <c r="E2126" s="3928" t="s">
        <v>3734</v>
      </c>
      <c r="F2126" s="3928" t="s">
        <v>2473</v>
      </c>
      <c r="G2126" s="3928" t="s">
        <v>3735</v>
      </c>
      <c r="H2126" s="3928" t="s">
        <v>2945</v>
      </c>
      <c r="I2126" s="3928" t="s">
        <v>857</v>
      </c>
    </row>
    <row r="2127" spans="1:9" ht="11.25" customHeight="1">
      <c r="A2127" s="3928" t="s">
        <v>2258</v>
      </c>
      <c r="B2127" s="3928" t="s">
        <v>14</v>
      </c>
      <c r="C2127" s="3928" t="s">
        <v>3736</v>
      </c>
      <c r="D2127" s="3928" t="s">
        <v>3737</v>
      </c>
      <c r="E2127" s="3928" t="s">
        <v>3738</v>
      </c>
      <c r="F2127" s="3928" t="s">
        <v>2771</v>
      </c>
      <c r="G2127" s="3928" t="s">
        <v>3739</v>
      </c>
      <c r="H2127" s="3928" t="s">
        <v>24</v>
      </c>
      <c r="I2127" s="3928" t="s">
        <v>857</v>
      </c>
    </row>
    <row r="2128" spans="1:9" ht="11.25" customHeight="1">
      <c r="A2128" s="3928" t="s">
        <v>2258</v>
      </c>
      <c r="B2128" s="3928" t="s">
        <v>14</v>
      </c>
      <c r="C2128" s="3928" t="s">
        <v>3740</v>
      </c>
      <c r="D2128" s="3928" t="s">
        <v>3741</v>
      </c>
      <c r="E2128" s="3928" t="s">
        <v>3742</v>
      </c>
      <c r="F2128" s="3928" t="s">
        <v>2535</v>
      </c>
      <c r="G2128" s="3928" t="s">
        <v>3743</v>
      </c>
      <c r="H2128" s="3928" t="s">
        <v>24</v>
      </c>
      <c r="I2128" s="3928" t="s">
        <v>857</v>
      </c>
    </row>
    <row r="2129" spans="1:9" ht="11.25" customHeight="1">
      <c r="A2129" s="3928" t="s">
        <v>2258</v>
      </c>
      <c r="B2129" s="3928" t="s">
        <v>14</v>
      </c>
      <c r="C2129" s="3928" t="s">
        <v>3744</v>
      </c>
      <c r="D2129" s="3928" t="s">
        <v>3745</v>
      </c>
      <c r="E2129" s="3928" t="s">
        <v>3746</v>
      </c>
      <c r="F2129" s="3928" t="s">
        <v>3323</v>
      </c>
      <c r="G2129" s="3928" t="s">
        <v>24</v>
      </c>
      <c r="H2129" s="3928" t="s">
        <v>24</v>
      </c>
      <c r="I2129" s="3928" t="s">
        <v>857</v>
      </c>
    </row>
    <row r="2130" spans="1:9" ht="11.25" customHeight="1">
      <c r="A2130" s="3928" t="s">
        <v>2258</v>
      </c>
      <c r="B2130" s="3928" t="s">
        <v>14</v>
      </c>
      <c r="C2130" s="3928" t="s">
        <v>3771</v>
      </c>
      <c r="D2130" s="3928" t="s">
        <v>3772</v>
      </c>
      <c r="E2130" s="3928" t="s">
        <v>3773</v>
      </c>
      <c r="F2130" s="3928" t="s">
        <v>3287</v>
      </c>
      <c r="G2130" s="3928" t="s">
        <v>24</v>
      </c>
      <c r="H2130" s="3928" t="s">
        <v>24</v>
      </c>
      <c r="I2130" s="3928" t="s">
        <v>857</v>
      </c>
    </row>
    <row r="2131" spans="1:9" ht="11.25" customHeight="1">
      <c r="A2131" s="3928" t="s">
        <v>2258</v>
      </c>
      <c r="B2131" s="3928" t="s">
        <v>14</v>
      </c>
      <c r="C2131" s="3928" t="s">
        <v>6958</v>
      </c>
      <c r="D2131" s="3928" t="s">
        <v>6959</v>
      </c>
      <c r="E2131" s="3928" t="s">
        <v>6960</v>
      </c>
      <c r="F2131" s="3928" t="s">
        <v>2397</v>
      </c>
      <c r="G2131" s="3928" t="s">
        <v>6961</v>
      </c>
      <c r="H2131" s="3928" t="s">
        <v>6962</v>
      </c>
      <c r="I2131" s="3928" t="s">
        <v>857</v>
      </c>
    </row>
    <row r="2132" spans="1:9" ht="11.25" customHeight="1">
      <c r="A2132" s="3928" t="s">
        <v>2258</v>
      </c>
      <c r="B2132" s="3928" t="s">
        <v>14</v>
      </c>
      <c r="C2132" s="3928" t="s">
        <v>3774</v>
      </c>
      <c r="D2132" s="3928" t="s">
        <v>3775</v>
      </c>
      <c r="E2132" s="3928" t="s">
        <v>3776</v>
      </c>
      <c r="F2132" s="3928" t="s">
        <v>2304</v>
      </c>
      <c r="G2132" s="3928" t="s">
        <v>24</v>
      </c>
      <c r="H2132" s="3928" t="s">
        <v>24</v>
      </c>
      <c r="I2132" s="3928" t="s">
        <v>857</v>
      </c>
    </row>
    <row r="2133" spans="1:9" ht="11.25" customHeight="1">
      <c r="A2133" s="3928" t="s">
        <v>2258</v>
      </c>
      <c r="B2133" s="3928" t="s">
        <v>14</v>
      </c>
      <c r="C2133" s="3928" t="s">
        <v>3777</v>
      </c>
      <c r="D2133" s="3928" t="s">
        <v>3778</v>
      </c>
      <c r="E2133" s="3928" t="s">
        <v>3779</v>
      </c>
      <c r="F2133" s="3928" t="s">
        <v>2642</v>
      </c>
      <c r="G2133" s="3928" t="s">
        <v>24</v>
      </c>
      <c r="H2133" s="3928" t="s">
        <v>2263</v>
      </c>
      <c r="I2133" s="3928" t="s">
        <v>857</v>
      </c>
    </row>
    <row r="2134" spans="1:9" ht="11.25" customHeight="1">
      <c r="A2134" s="3928" t="s">
        <v>2258</v>
      </c>
      <c r="B2134" s="3928" t="s">
        <v>14</v>
      </c>
      <c r="C2134" s="3928" t="s">
        <v>6963</v>
      </c>
      <c r="D2134" s="3928" t="s">
        <v>6964</v>
      </c>
      <c r="E2134" s="3928" t="s">
        <v>6965</v>
      </c>
      <c r="F2134" s="3928" t="s">
        <v>2567</v>
      </c>
      <c r="G2134" s="3928" t="s">
        <v>24</v>
      </c>
      <c r="H2134" s="3928" t="s">
        <v>6966</v>
      </c>
      <c r="I2134" s="3928" t="s">
        <v>857</v>
      </c>
    </row>
    <row r="2135" spans="1:9" ht="11.25" customHeight="1">
      <c r="A2135" s="3928" t="s">
        <v>2258</v>
      </c>
      <c r="B2135" s="3928" t="s">
        <v>14</v>
      </c>
      <c r="C2135" s="3928" t="s">
        <v>3787</v>
      </c>
      <c r="D2135" s="3928" t="s">
        <v>3788</v>
      </c>
      <c r="E2135" s="3928" t="s">
        <v>3789</v>
      </c>
      <c r="F2135" s="3928" t="s">
        <v>2349</v>
      </c>
      <c r="G2135" s="3928" t="s">
        <v>3790</v>
      </c>
      <c r="H2135" s="3928" t="s">
        <v>24</v>
      </c>
      <c r="I2135" s="3928" t="s">
        <v>857</v>
      </c>
    </row>
    <row r="2136" spans="1:9" ht="11.25" customHeight="1">
      <c r="A2136" s="3928" t="s">
        <v>2258</v>
      </c>
      <c r="B2136" s="3928" t="s">
        <v>14</v>
      </c>
      <c r="C2136" s="3928" t="s">
        <v>6967</v>
      </c>
      <c r="D2136" s="3928" t="s">
        <v>6968</v>
      </c>
      <c r="E2136" s="3928" t="s">
        <v>6969</v>
      </c>
      <c r="F2136" s="3928" t="s">
        <v>2359</v>
      </c>
      <c r="G2136" s="3928" t="s">
        <v>6970</v>
      </c>
      <c r="H2136" s="3928" t="s">
        <v>6971</v>
      </c>
      <c r="I2136" s="3928" t="s">
        <v>857</v>
      </c>
    </row>
    <row r="2137" spans="1:9" ht="11.25" customHeight="1">
      <c r="A2137" s="3928" t="s">
        <v>2258</v>
      </c>
      <c r="B2137" s="3928" t="s">
        <v>14</v>
      </c>
      <c r="C2137" s="3928" t="s">
        <v>3791</v>
      </c>
      <c r="D2137" s="3928" t="s">
        <v>3792</v>
      </c>
      <c r="E2137" s="3928" t="s">
        <v>3793</v>
      </c>
      <c r="F2137" s="3928" t="s">
        <v>2409</v>
      </c>
      <c r="G2137" s="3928" t="s">
        <v>24</v>
      </c>
      <c r="H2137" s="3928" t="s">
        <v>2263</v>
      </c>
      <c r="I2137" s="3928" t="s">
        <v>857</v>
      </c>
    </row>
    <row r="2138" spans="1:9" ht="11.25" customHeight="1">
      <c r="A2138" s="3928" t="s">
        <v>2258</v>
      </c>
      <c r="B2138" s="3928" t="s">
        <v>14</v>
      </c>
      <c r="C2138" s="3928" t="s">
        <v>3794</v>
      </c>
      <c r="D2138" s="3928" t="s">
        <v>3795</v>
      </c>
      <c r="E2138" s="3928" t="s">
        <v>3796</v>
      </c>
      <c r="F2138" s="3928" t="s">
        <v>2780</v>
      </c>
      <c r="G2138" s="3928" t="s">
        <v>3797</v>
      </c>
      <c r="H2138" s="3928" t="s">
        <v>2263</v>
      </c>
      <c r="I2138" s="3928" t="s">
        <v>857</v>
      </c>
    </row>
    <row r="2139" spans="1:9" ht="11.25" customHeight="1">
      <c r="A2139" s="3928" t="s">
        <v>2258</v>
      </c>
      <c r="B2139" s="3928" t="s">
        <v>14</v>
      </c>
      <c r="C2139" s="3928" t="s">
        <v>3798</v>
      </c>
      <c r="D2139" s="3928" t="s">
        <v>3799</v>
      </c>
      <c r="E2139" s="3928" t="s">
        <v>3800</v>
      </c>
      <c r="F2139" s="3928" t="s">
        <v>2409</v>
      </c>
      <c r="G2139" s="3928" t="s">
        <v>24</v>
      </c>
      <c r="H2139" s="3928" t="s">
        <v>3801</v>
      </c>
      <c r="I2139" s="3928" t="s">
        <v>857</v>
      </c>
    </row>
    <row r="2140" spans="1:9" ht="11.25" customHeight="1">
      <c r="A2140" s="3928" t="s">
        <v>2258</v>
      </c>
      <c r="B2140" s="3928" t="s">
        <v>14</v>
      </c>
      <c r="C2140" s="3928" t="s">
        <v>6972</v>
      </c>
      <c r="D2140" s="3928" t="s">
        <v>6973</v>
      </c>
      <c r="E2140" s="3928" t="s">
        <v>6974</v>
      </c>
      <c r="F2140" s="3928" t="s">
        <v>2567</v>
      </c>
      <c r="G2140" s="3928" t="s">
        <v>24</v>
      </c>
      <c r="H2140" s="3928" t="s">
        <v>2945</v>
      </c>
      <c r="I2140" s="3928" t="s">
        <v>857</v>
      </c>
    </row>
    <row r="2141" spans="1:9" ht="11.25" customHeight="1">
      <c r="A2141" s="3928" t="s">
        <v>2258</v>
      </c>
      <c r="B2141" s="3928" t="s">
        <v>14</v>
      </c>
      <c r="C2141" s="3928" t="s">
        <v>3802</v>
      </c>
      <c r="D2141" s="3928" t="s">
        <v>3803</v>
      </c>
      <c r="E2141" s="3928" t="s">
        <v>3804</v>
      </c>
      <c r="F2141" s="3928" t="s">
        <v>2451</v>
      </c>
      <c r="G2141" s="3928" t="s">
        <v>24</v>
      </c>
      <c r="H2141" s="3928" t="s">
        <v>2263</v>
      </c>
      <c r="I2141" s="3928" t="s">
        <v>857</v>
      </c>
    </row>
    <row r="2142" spans="1:9" ht="11.25" customHeight="1">
      <c r="A2142" s="3928" t="s">
        <v>2258</v>
      </c>
      <c r="B2142" s="3928" t="s">
        <v>14</v>
      </c>
      <c r="C2142" s="3928" t="s">
        <v>3805</v>
      </c>
      <c r="D2142" s="3928" t="s">
        <v>3806</v>
      </c>
      <c r="E2142" s="3928" t="s">
        <v>3807</v>
      </c>
      <c r="F2142" s="3928" t="s">
        <v>2535</v>
      </c>
      <c r="G2142" s="3928" t="s">
        <v>3808</v>
      </c>
      <c r="H2142" s="3928" t="s">
        <v>2945</v>
      </c>
      <c r="I2142" s="3928" t="s">
        <v>857</v>
      </c>
    </row>
    <row r="2143" spans="1:9" ht="11.25" customHeight="1">
      <c r="A2143" s="3928" t="s">
        <v>2258</v>
      </c>
      <c r="B2143" s="3928" t="s">
        <v>14</v>
      </c>
      <c r="C2143" s="3928" t="s">
        <v>3809</v>
      </c>
      <c r="D2143" s="3928" t="s">
        <v>3810</v>
      </c>
      <c r="E2143" s="3928" t="s">
        <v>3811</v>
      </c>
      <c r="F2143" s="3928" t="s">
        <v>2675</v>
      </c>
      <c r="G2143" s="3928" t="s">
        <v>24</v>
      </c>
      <c r="H2143" s="3928" t="s">
        <v>2263</v>
      </c>
      <c r="I2143" s="3928" t="s">
        <v>857</v>
      </c>
    </row>
    <row r="2144" spans="1:9" ht="11.25" customHeight="1">
      <c r="A2144" s="3928" t="s">
        <v>2258</v>
      </c>
      <c r="B2144" s="3928" t="s">
        <v>14</v>
      </c>
      <c r="C2144" s="3928" t="s">
        <v>3812</v>
      </c>
      <c r="D2144" s="3928" t="s">
        <v>3813</v>
      </c>
      <c r="E2144" s="3928" t="s">
        <v>3814</v>
      </c>
      <c r="F2144" s="3928" t="s">
        <v>49</v>
      </c>
      <c r="G2144" s="3928" t="s">
        <v>24</v>
      </c>
      <c r="H2144" s="3928" t="s">
        <v>2263</v>
      </c>
      <c r="I2144" s="3928" t="s">
        <v>857</v>
      </c>
    </row>
    <row r="2145" spans="1:9" ht="11.25" customHeight="1">
      <c r="A2145" s="3928" t="s">
        <v>2258</v>
      </c>
      <c r="B2145" s="3928" t="s">
        <v>14</v>
      </c>
      <c r="C2145" s="3928" t="s">
        <v>6975</v>
      </c>
      <c r="D2145" s="3928" t="s">
        <v>6976</v>
      </c>
      <c r="E2145" s="3928" t="s">
        <v>6977</v>
      </c>
      <c r="F2145" s="3928" t="s">
        <v>3852</v>
      </c>
      <c r="G2145" s="3928" t="s">
        <v>6978</v>
      </c>
      <c r="H2145" s="3928" t="s">
        <v>24</v>
      </c>
      <c r="I2145" s="3928" t="s">
        <v>857</v>
      </c>
    </row>
    <row r="2146" spans="1:9" ht="11.25" customHeight="1">
      <c r="A2146" s="3928" t="s">
        <v>2258</v>
      </c>
      <c r="B2146" s="3928" t="s">
        <v>14</v>
      </c>
      <c r="C2146" s="3928" t="s">
        <v>3818</v>
      </c>
      <c r="D2146" s="3928" t="s">
        <v>3819</v>
      </c>
      <c r="E2146" s="3928" t="s">
        <v>3820</v>
      </c>
      <c r="F2146" s="3928" t="s">
        <v>2675</v>
      </c>
      <c r="G2146" s="3928" t="s">
        <v>24</v>
      </c>
      <c r="H2146" s="3928" t="s">
        <v>2263</v>
      </c>
      <c r="I2146" s="3928" t="s">
        <v>857</v>
      </c>
    </row>
    <row r="2147" spans="1:9" ht="11.25" customHeight="1">
      <c r="A2147" s="3928" t="s">
        <v>2258</v>
      </c>
      <c r="B2147" s="3928" t="s">
        <v>14</v>
      </c>
      <c r="C2147" s="3928" t="s">
        <v>6979</v>
      </c>
      <c r="D2147" s="3928" t="s">
        <v>6980</v>
      </c>
      <c r="E2147" s="3928" t="s">
        <v>6981</v>
      </c>
      <c r="F2147" s="3928" t="s">
        <v>6982</v>
      </c>
      <c r="G2147" s="3928" t="s">
        <v>6983</v>
      </c>
      <c r="H2147" s="3928" t="s">
        <v>24</v>
      </c>
      <c r="I2147" s="3928" t="s">
        <v>857</v>
      </c>
    </row>
    <row r="2148" spans="1:9" ht="11.25" customHeight="1">
      <c r="A2148" s="3928" t="s">
        <v>2258</v>
      </c>
      <c r="B2148" s="3928" t="s">
        <v>14</v>
      </c>
      <c r="C2148" s="3928" t="s">
        <v>3821</v>
      </c>
      <c r="D2148" s="3928" t="s">
        <v>3822</v>
      </c>
      <c r="E2148" s="3928" t="s">
        <v>3823</v>
      </c>
      <c r="F2148" s="3928" t="s">
        <v>2473</v>
      </c>
      <c r="G2148" s="3928" t="s">
        <v>24</v>
      </c>
      <c r="H2148" s="3928" t="s">
        <v>24</v>
      </c>
      <c r="I2148" s="3928" t="s">
        <v>857</v>
      </c>
    </row>
    <row r="2149" spans="1:9" ht="11.25" customHeight="1">
      <c r="A2149" s="3928" t="s">
        <v>2258</v>
      </c>
      <c r="B2149" s="3928" t="s">
        <v>14</v>
      </c>
      <c r="C2149" s="3928" t="s">
        <v>3824</v>
      </c>
      <c r="D2149" s="3928" t="s">
        <v>3825</v>
      </c>
      <c r="E2149" s="3928" t="s">
        <v>3826</v>
      </c>
      <c r="F2149" s="3928" t="s">
        <v>2424</v>
      </c>
      <c r="G2149" s="3928" t="s">
        <v>24</v>
      </c>
      <c r="H2149" s="3928" t="s">
        <v>24</v>
      </c>
      <c r="I2149" s="3928" t="s">
        <v>857</v>
      </c>
    </row>
    <row r="2150" spans="1:9" ht="11.25" customHeight="1">
      <c r="A2150" s="3928" t="s">
        <v>2258</v>
      </c>
      <c r="B2150" s="3928" t="s">
        <v>14</v>
      </c>
      <c r="C2150" s="3928" t="s">
        <v>3830</v>
      </c>
      <c r="D2150" s="3928" t="s">
        <v>3831</v>
      </c>
      <c r="E2150" s="3928" t="s">
        <v>3832</v>
      </c>
      <c r="F2150" s="3928" t="s">
        <v>3833</v>
      </c>
      <c r="G2150" s="3928" t="s">
        <v>3834</v>
      </c>
      <c r="H2150" s="3928" t="s">
        <v>2475</v>
      </c>
      <c r="I2150" s="3928" t="s">
        <v>857</v>
      </c>
    </row>
    <row r="2151" spans="1:9" ht="11.25" customHeight="1">
      <c r="A2151" s="3928" t="s">
        <v>2258</v>
      </c>
      <c r="B2151" s="3928" t="s">
        <v>14</v>
      </c>
      <c r="C2151" s="3928" t="s">
        <v>3835</v>
      </c>
      <c r="D2151" s="3928" t="s">
        <v>3836</v>
      </c>
      <c r="E2151" s="3928" t="s">
        <v>3837</v>
      </c>
      <c r="F2151" s="3928" t="s">
        <v>2409</v>
      </c>
      <c r="G2151" s="3928" t="s">
        <v>24</v>
      </c>
      <c r="H2151" s="3928" t="s">
        <v>2263</v>
      </c>
      <c r="I2151" s="3928" t="s">
        <v>857</v>
      </c>
    </row>
    <row r="2152" spans="1:9" ht="11.25" customHeight="1">
      <c r="A2152" s="3928" t="s">
        <v>2258</v>
      </c>
      <c r="B2152" s="3928" t="s">
        <v>14</v>
      </c>
      <c r="C2152" s="3928" t="s">
        <v>3838</v>
      </c>
      <c r="D2152" s="3928" t="s">
        <v>3839</v>
      </c>
      <c r="E2152" s="3928" t="s">
        <v>3840</v>
      </c>
      <c r="F2152" s="3928" t="s">
        <v>3841</v>
      </c>
      <c r="G2152" s="3928" t="s">
        <v>24</v>
      </c>
      <c r="H2152" s="3928" t="s">
        <v>24</v>
      </c>
      <c r="I2152" s="3928" t="s">
        <v>857</v>
      </c>
    </row>
    <row r="2153" spans="1:9" ht="11.25" customHeight="1">
      <c r="A2153" s="3928" t="s">
        <v>2258</v>
      </c>
      <c r="B2153" s="3928" t="s">
        <v>14</v>
      </c>
      <c r="C2153" s="3928" t="s">
        <v>3842</v>
      </c>
      <c r="D2153" s="3928" t="s">
        <v>3843</v>
      </c>
      <c r="E2153" s="3928" t="s">
        <v>3844</v>
      </c>
      <c r="F2153" s="3928" t="s">
        <v>2642</v>
      </c>
      <c r="G2153" s="3928" t="s">
        <v>3845</v>
      </c>
      <c r="H2153" s="3928" t="s">
        <v>2945</v>
      </c>
      <c r="I2153" s="3928" t="s">
        <v>857</v>
      </c>
    </row>
    <row r="2154" spans="1:9" ht="11.25" customHeight="1">
      <c r="A2154" s="3928" t="s">
        <v>2258</v>
      </c>
      <c r="B2154" s="3928" t="s">
        <v>14</v>
      </c>
      <c r="C2154" s="3928" t="s">
        <v>3846</v>
      </c>
      <c r="D2154" s="3928" t="s">
        <v>3847</v>
      </c>
      <c r="E2154" s="3928" t="s">
        <v>3848</v>
      </c>
      <c r="F2154" s="3928" t="s">
        <v>2642</v>
      </c>
      <c r="G2154" s="3928" t="s">
        <v>24</v>
      </c>
      <c r="H2154" s="3928" t="s">
        <v>3068</v>
      </c>
      <c r="I2154" s="3928" t="s">
        <v>857</v>
      </c>
    </row>
    <row r="2155" spans="1:9" ht="11.25" customHeight="1">
      <c r="A2155" s="3928" t="s">
        <v>2258</v>
      </c>
      <c r="B2155" s="3928" t="s">
        <v>14</v>
      </c>
      <c r="C2155" s="3928" t="s">
        <v>3853</v>
      </c>
      <c r="D2155" s="3928" t="s">
        <v>3854</v>
      </c>
      <c r="E2155" s="3928" t="s">
        <v>3855</v>
      </c>
      <c r="F2155" s="3928" t="s">
        <v>2397</v>
      </c>
      <c r="G2155" s="3928" t="s">
        <v>24</v>
      </c>
      <c r="H2155" s="3928" t="s">
        <v>24</v>
      </c>
      <c r="I2155" s="3928" t="s">
        <v>857</v>
      </c>
    </row>
    <row r="2156" spans="1:9" ht="11.25" customHeight="1">
      <c r="A2156" s="3928" t="s">
        <v>2258</v>
      </c>
      <c r="B2156" s="3928" t="s">
        <v>14</v>
      </c>
      <c r="C2156" s="3928" t="s">
        <v>3860</v>
      </c>
      <c r="D2156" s="3928" t="s">
        <v>3861</v>
      </c>
      <c r="E2156" s="3928" t="s">
        <v>3862</v>
      </c>
      <c r="F2156" s="3928" t="s">
        <v>2409</v>
      </c>
      <c r="G2156" s="3928" t="s">
        <v>24</v>
      </c>
      <c r="H2156" s="3928" t="s">
        <v>2263</v>
      </c>
      <c r="I2156" s="3928" t="s">
        <v>857</v>
      </c>
    </row>
    <row r="2157" spans="1:9" ht="11.25" customHeight="1">
      <c r="A2157" s="3928" t="s">
        <v>2258</v>
      </c>
      <c r="B2157" s="3928" t="s">
        <v>14</v>
      </c>
      <c r="C2157" s="3928" t="s">
        <v>3863</v>
      </c>
      <c r="D2157" s="3928" t="s">
        <v>3864</v>
      </c>
      <c r="E2157" s="3928" t="s">
        <v>3062</v>
      </c>
      <c r="F2157" s="3928" t="s">
        <v>3310</v>
      </c>
      <c r="G2157" s="3928" t="s">
        <v>24</v>
      </c>
      <c r="H2157" s="3928" t="s">
        <v>24</v>
      </c>
      <c r="I2157" s="3928" t="s">
        <v>857</v>
      </c>
    </row>
    <row r="2158" spans="1:9" ht="11.25" customHeight="1">
      <c r="A2158" s="3928" t="s">
        <v>2258</v>
      </c>
      <c r="B2158" s="3928" t="s">
        <v>14</v>
      </c>
      <c r="C2158" s="3928" t="s">
        <v>3865</v>
      </c>
      <c r="D2158" s="3928" t="s">
        <v>3866</v>
      </c>
      <c r="E2158" s="3928" t="s">
        <v>3867</v>
      </c>
      <c r="F2158" s="3928" t="s">
        <v>3868</v>
      </c>
      <c r="G2158" s="3928" t="s">
        <v>24</v>
      </c>
      <c r="H2158" s="3928" t="s">
        <v>24</v>
      </c>
      <c r="I2158" s="3928" t="s">
        <v>857</v>
      </c>
    </row>
    <row r="2159" spans="1:9" ht="11.25" customHeight="1">
      <c r="A2159" s="3928" t="s">
        <v>2258</v>
      </c>
      <c r="B2159" s="3928" t="s">
        <v>14</v>
      </c>
      <c r="C2159" s="3928" t="s">
        <v>3872</v>
      </c>
      <c r="D2159" s="3928" t="s">
        <v>3873</v>
      </c>
      <c r="E2159" s="3928" t="s">
        <v>3114</v>
      </c>
      <c r="F2159" s="3928" t="s">
        <v>3874</v>
      </c>
      <c r="G2159" s="3928" t="s">
        <v>24</v>
      </c>
      <c r="H2159" s="3928" t="s">
        <v>24</v>
      </c>
      <c r="I2159" s="3928" t="s">
        <v>857</v>
      </c>
    </row>
    <row r="2160" spans="1:9" ht="11.25" customHeight="1">
      <c r="A2160" s="3928" t="s">
        <v>2258</v>
      </c>
      <c r="B2160" s="3928" t="s">
        <v>14</v>
      </c>
      <c r="C2160" s="3928" t="s">
        <v>3875</v>
      </c>
      <c r="D2160" s="3928" t="s">
        <v>3876</v>
      </c>
      <c r="E2160" s="3928" t="s">
        <v>3114</v>
      </c>
      <c r="F2160" s="3928" t="s">
        <v>3877</v>
      </c>
      <c r="G2160" s="3928" t="s">
        <v>3545</v>
      </c>
      <c r="H2160" s="3928" t="s">
        <v>24</v>
      </c>
      <c r="I2160" s="3928" t="s">
        <v>857</v>
      </c>
    </row>
    <row r="2161" spans="1:9" ht="11.25" customHeight="1">
      <c r="A2161" s="3928" t="s">
        <v>2258</v>
      </c>
      <c r="B2161" s="3928" t="s">
        <v>14</v>
      </c>
      <c r="C2161" s="3928" t="s">
        <v>6984</v>
      </c>
      <c r="D2161" s="3928" t="s">
        <v>6985</v>
      </c>
      <c r="E2161" s="3928" t="s">
        <v>6986</v>
      </c>
      <c r="F2161" s="3928" t="s">
        <v>3153</v>
      </c>
      <c r="G2161" s="3928" t="s">
        <v>6987</v>
      </c>
      <c r="H2161" s="3928" t="s">
        <v>24</v>
      </c>
      <c r="I2161" s="3928" t="s">
        <v>857</v>
      </c>
    </row>
    <row r="2162" spans="1:9" ht="11.25" customHeight="1">
      <c r="A2162" s="3928" t="s">
        <v>2258</v>
      </c>
      <c r="B2162" s="3928" t="s">
        <v>14</v>
      </c>
      <c r="C2162" s="3928" t="s">
        <v>6988</v>
      </c>
      <c r="D2162" s="3928" t="s">
        <v>6989</v>
      </c>
      <c r="E2162" s="3928" t="s">
        <v>3114</v>
      </c>
      <c r="F2162" s="3928" t="s">
        <v>6990</v>
      </c>
      <c r="G2162" s="3928" t="s">
        <v>24</v>
      </c>
      <c r="H2162" s="3928" t="s">
        <v>24</v>
      </c>
      <c r="I2162" s="3928" t="s">
        <v>857</v>
      </c>
    </row>
    <row r="2163" spans="1:9" ht="11.25" customHeight="1">
      <c r="A2163" s="3928" t="s">
        <v>2258</v>
      </c>
      <c r="B2163" s="3928" t="s">
        <v>14</v>
      </c>
      <c r="C2163" s="3928" t="s">
        <v>6991</v>
      </c>
      <c r="D2163" s="3928" t="s">
        <v>6992</v>
      </c>
      <c r="E2163" s="3928" t="s">
        <v>3114</v>
      </c>
      <c r="F2163" s="3928" t="s">
        <v>6993</v>
      </c>
      <c r="G2163" s="3928" t="s">
        <v>24</v>
      </c>
      <c r="H2163" s="3928" t="s">
        <v>24</v>
      </c>
      <c r="I2163" s="3928" t="s">
        <v>857</v>
      </c>
    </row>
    <row r="2164" spans="1:9" ht="11.25" customHeight="1">
      <c r="A2164" s="3928" t="s">
        <v>2258</v>
      </c>
      <c r="B2164" s="3928" t="s">
        <v>14</v>
      </c>
      <c r="C2164" s="3928" t="s">
        <v>3891</v>
      </c>
      <c r="D2164" s="3928" t="s">
        <v>3892</v>
      </c>
      <c r="E2164" s="3928" t="s">
        <v>3893</v>
      </c>
      <c r="F2164" s="3928" t="s">
        <v>2624</v>
      </c>
      <c r="G2164" s="3928" t="s">
        <v>3894</v>
      </c>
      <c r="H2164" s="3928" t="s">
        <v>24</v>
      </c>
      <c r="I2164" s="3928" t="s">
        <v>857</v>
      </c>
    </row>
    <row r="2165" spans="1:9" ht="11.25" customHeight="1">
      <c r="A2165" s="3928" t="s">
        <v>2258</v>
      </c>
      <c r="B2165" s="3928" t="s">
        <v>14</v>
      </c>
      <c r="C2165" s="3928" t="s">
        <v>6994</v>
      </c>
      <c r="D2165" s="3928" t="s">
        <v>6995</v>
      </c>
      <c r="E2165" s="3928" t="s">
        <v>6996</v>
      </c>
      <c r="F2165" s="3928" t="s">
        <v>2469</v>
      </c>
      <c r="G2165" s="3928" t="s">
        <v>24</v>
      </c>
      <c r="H2165" s="3928" t="s">
        <v>24</v>
      </c>
      <c r="I2165" s="3928" t="s">
        <v>857</v>
      </c>
    </row>
    <row r="2166" spans="1:9" ht="11.25" customHeight="1">
      <c r="A2166" s="3928" t="s">
        <v>2258</v>
      </c>
      <c r="B2166" s="3928" t="s">
        <v>14</v>
      </c>
      <c r="C2166" s="3928" t="s">
        <v>6997</v>
      </c>
      <c r="D2166" s="3928" t="s">
        <v>6998</v>
      </c>
      <c r="E2166" s="3928" t="s">
        <v>6999</v>
      </c>
      <c r="F2166" s="3928" t="s">
        <v>2409</v>
      </c>
      <c r="G2166" s="3928" t="s">
        <v>24</v>
      </c>
      <c r="H2166" s="3928" t="s">
        <v>24</v>
      </c>
      <c r="I2166" s="3928" t="s">
        <v>857</v>
      </c>
    </row>
    <row r="2167" spans="1:9" ht="11.25" customHeight="1">
      <c r="A2167" s="3928" t="s">
        <v>2258</v>
      </c>
      <c r="B2167" s="3928" t="s">
        <v>14</v>
      </c>
      <c r="C2167" s="3928" t="s">
        <v>6386</v>
      </c>
      <c r="D2167" s="3928" t="s">
        <v>6387</v>
      </c>
      <c r="E2167" s="3928" t="s">
        <v>6388</v>
      </c>
      <c r="F2167" s="3928" t="s">
        <v>2409</v>
      </c>
      <c r="G2167" s="3928" t="s">
        <v>24</v>
      </c>
      <c r="H2167" s="3928" t="s">
        <v>6389</v>
      </c>
      <c r="I2167" s="3928" t="s">
        <v>857</v>
      </c>
    </row>
    <row r="2168" spans="1:9" ht="11.25" customHeight="1">
      <c r="A2168" s="3928" t="s">
        <v>2258</v>
      </c>
      <c r="B2168" s="3928" t="s">
        <v>14</v>
      </c>
      <c r="C2168" s="3928" t="s">
        <v>7000</v>
      </c>
      <c r="D2168" s="3928" t="s">
        <v>7001</v>
      </c>
      <c r="E2168" s="3928" t="s">
        <v>7002</v>
      </c>
      <c r="F2168" s="3928" t="s">
        <v>2552</v>
      </c>
      <c r="G2168" s="3928" t="s">
        <v>24</v>
      </c>
      <c r="H2168" s="3928" t="s">
        <v>2848</v>
      </c>
      <c r="I2168" s="3928" t="s">
        <v>857</v>
      </c>
    </row>
    <row r="2169" spans="1:9" ht="11.25" customHeight="1">
      <c r="A2169" s="3928" t="s">
        <v>2258</v>
      </c>
      <c r="B2169" s="3928" t="s">
        <v>14</v>
      </c>
      <c r="C2169" s="3928" t="s">
        <v>7003</v>
      </c>
      <c r="D2169" s="3928" t="s">
        <v>7004</v>
      </c>
      <c r="E2169" s="3928" t="s">
        <v>7005</v>
      </c>
      <c r="F2169" s="3928" t="s">
        <v>2552</v>
      </c>
      <c r="G2169" s="3928" t="s">
        <v>24</v>
      </c>
      <c r="H2169" s="3928" t="s">
        <v>7006</v>
      </c>
      <c r="I2169" s="3928" t="s">
        <v>857</v>
      </c>
    </row>
    <row r="2170" spans="1:9" ht="11.25" customHeight="1">
      <c r="A2170" s="3928" t="s">
        <v>2258</v>
      </c>
      <c r="B2170" s="3928" t="s">
        <v>14</v>
      </c>
      <c r="C2170" s="3928" t="s">
        <v>7007</v>
      </c>
      <c r="D2170" s="3928" t="s">
        <v>7008</v>
      </c>
      <c r="E2170" s="3928" t="s">
        <v>7009</v>
      </c>
      <c r="F2170" s="3928" t="s">
        <v>2486</v>
      </c>
      <c r="G2170" s="3928" t="s">
        <v>24</v>
      </c>
      <c r="H2170" s="3928" t="s">
        <v>24</v>
      </c>
      <c r="I2170" s="3928" t="s">
        <v>857</v>
      </c>
    </row>
    <row r="2171" spans="1:9" ht="11.25" customHeight="1">
      <c r="A2171" s="3928" t="s">
        <v>2258</v>
      </c>
      <c r="B2171" s="3928" t="s">
        <v>14</v>
      </c>
      <c r="C2171" s="3928" t="s">
        <v>7010</v>
      </c>
      <c r="D2171" s="3928" t="s">
        <v>7011</v>
      </c>
      <c r="E2171" s="3928" t="s">
        <v>7012</v>
      </c>
      <c r="F2171" s="3928" t="s">
        <v>2409</v>
      </c>
      <c r="G2171" s="3928" t="s">
        <v>24</v>
      </c>
      <c r="H2171" s="3928" t="s">
        <v>7013</v>
      </c>
      <c r="I2171" s="3928" t="s">
        <v>857</v>
      </c>
    </row>
    <row r="2172" spans="1:9" ht="11.25" customHeight="1">
      <c r="A2172" s="3928" t="s">
        <v>2258</v>
      </c>
      <c r="B2172" s="3928" t="s">
        <v>14</v>
      </c>
      <c r="C2172" s="3928" t="s">
        <v>7014</v>
      </c>
      <c r="D2172" s="3928" t="s">
        <v>7015</v>
      </c>
      <c r="E2172" s="3928" t="s">
        <v>7016</v>
      </c>
      <c r="F2172" s="3928" t="s">
        <v>2929</v>
      </c>
      <c r="G2172" s="3928" t="s">
        <v>24</v>
      </c>
      <c r="H2172" s="3928" t="s">
        <v>24</v>
      </c>
      <c r="I2172" s="3928" t="s">
        <v>857</v>
      </c>
    </row>
    <row r="2173" spans="1:9" ht="11.25" customHeight="1">
      <c r="A2173" s="3928" t="s">
        <v>2258</v>
      </c>
      <c r="B2173" s="3928" t="s">
        <v>14</v>
      </c>
      <c r="C2173" s="3928" t="s">
        <v>7017</v>
      </c>
      <c r="D2173" s="3928" t="s">
        <v>7018</v>
      </c>
      <c r="E2173" s="3928" t="s">
        <v>7019</v>
      </c>
      <c r="F2173" s="3928" t="s">
        <v>3153</v>
      </c>
      <c r="G2173" s="3928" t="s">
        <v>24</v>
      </c>
      <c r="H2173" s="3928" t="s">
        <v>24</v>
      </c>
      <c r="I2173" s="3928" t="s">
        <v>857</v>
      </c>
    </row>
    <row r="2174" spans="1:9" ht="11.25" customHeight="1">
      <c r="A2174" s="3928" t="s">
        <v>2258</v>
      </c>
      <c r="B2174" s="3928" t="s">
        <v>14</v>
      </c>
      <c r="C2174" s="3928" t="s">
        <v>3907</v>
      </c>
      <c r="D2174" s="3928" t="s">
        <v>3908</v>
      </c>
      <c r="E2174" s="3928" t="s">
        <v>3909</v>
      </c>
      <c r="F2174" s="3928" t="s">
        <v>2780</v>
      </c>
      <c r="G2174" s="3928" t="s">
        <v>24</v>
      </c>
      <c r="H2174" s="3928" t="s">
        <v>2263</v>
      </c>
      <c r="I2174" s="3928" t="s">
        <v>857</v>
      </c>
    </row>
    <row r="2175" spans="1:9" ht="11.25" customHeight="1">
      <c r="A2175" s="3928" t="s">
        <v>2258</v>
      </c>
      <c r="B2175" s="3928" t="s">
        <v>14</v>
      </c>
      <c r="C2175" s="3928" t="s">
        <v>7020</v>
      </c>
      <c r="D2175" s="3928" t="s">
        <v>7021</v>
      </c>
      <c r="E2175" s="3928" t="s">
        <v>7022</v>
      </c>
      <c r="F2175" s="3928" t="s">
        <v>49</v>
      </c>
      <c r="G2175" s="3928" t="s">
        <v>24</v>
      </c>
      <c r="H2175" s="3928" t="s">
        <v>24</v>
      </c>
      <c r="I2175" s="3928" t="s">
        <v>857</v>
      </c>
    </row>
    <row r="2176" spans="1:9" ht="11.25" customHeight="1">
      <c r="A2176" s="3928" t="s">
        <v>2258</v>
      </c>
      <c r="B2176" s="3928" t="s">
        <v>14</v>
      </c>
      <c r="C2176" s="3928" t="s">
        <v>7023</v>
      </c>
      <c r="D2176" s="3928" t="s">
        <v>7024</v>
      </c>
      <c r="E2176" s="3928" t="s">
        <v>7025</v>
      </c>
      <c r="F2176" s="3928" t="s">
        <v>2429</v>
      </c>
      <c r="G2176" s="3928" t="s">
        <v>24</v>
      </c>
      <c r="H2176" s="3928" t="s">
        <v>24</v>
      </c>
      <c r="I2176" s="3928" t="s">
        <v>857</v>
      </c>
    </row>
    <row r="2177" spans="1:9" ht="11.25" customHeight="1">
      <c r="A2177" s="3928" t="s">
        <v>2258</v>
      </c>
      <c r="B2177" s="3928" t="s">
        <v>14</v>
      </c>
      <c r="C2177" s="3928" t="s">
        <v>6390</v>
      </c>
      <c r="D2177" s="3928" t="s">
        <v>6391</v>
      </c>
      <c r="E2177" s="3928" t="s">
        <v>6392</v>
      </c>
      <c r="F2177" s="3928" t="s">
        <v>2289</v>
      </c>
      <c r="G2177" s="3928" t="s">
        <v>24</v>
      </c>
      <c r="H2177" s="3928" t="s">
        <v>2263</v>
      </c>
      <c r="I2177" s="3928" t="s">
        <v>857</v>
      </c>
    </row>
    <row r="2178" spans="1:9" ht="11.25" customHeight="1">
      <c r="A2178" s="3928" t="s">
        <v>2258</v>
      </c>
      <c r="B2178" s="3928" t="s">
        <v>14</v>
      </c>
      <c r="C2178" s="3928" t="s">
        <v>3925</v>
      </c>
      <c r="D2178" s="3928" t="s">
        <v>3926</v>
      </c>
      <c r="E2178" s="3928" t="s">
        <v>3927</v>
      </c>
      <c r="F2178" s="3928" t="s">
        <v>2419</v>
      </c>
      <c r="G2178" s="3928" t="s">
        <v>24</v>
      </c>
      <c r="H2178" s="3928" t="s">
        <v>3928</v>
      </c>
      <c r="I2178" s="3928" t="s">
        <v>857</v>
      </c>
    </row>
    <row r="2179" spans="1:9" ht="11.25" customHeight="1">
      <c r="A2179" s="3928" t="s">
        <v>2258</v>
      </c>
      <c r="B2179" s="3928" t="s">
        <v>14</v>
      </c>
      <c r="C2179" s="3928" t="s">
        <v>7026</v>
      </c>
      <c r="D2179" s="3928" t="s">
        <v>3926</v>
      </c>
      <c r="E2179" s="3928" t="s">
        <v>3927</v>
      </c>
      <c r="F2179" s="3928" t="s">
        <v>7027</v>
      </c>
      <c r="G2179" s="3928" t="s">
        <v>24</v>
      </c>
      <c r="H2179" s="3928" t="s">
        <v>3928</v>
      </c>
      <c r="I2179" s="3928" t="s">
        <v>857</v>
      </c>
    </row>
    <row r="2180" spans="1:9" ht="11.25" customHeight="1">
      <c r="A2180" s="3928" t="s">
        <v>2258</v>
      </c>
      <c r="B2180" s="3928" t="s">
        <v>14</v>
      </c>
      <c r="C2180" s="3928" t="s">
        <v>3929</v>
      </c>
      <c r="D2180" s="3928" t="s">
        <v>3930</v>
      </c>
      <c r="E2180" s="3928" t="s">
        <v>3931</v>
      </c>
      <c r="F2180" s="3928" t="s">
        <v>2429</v>
      </c>
      <c r="G2180" s="3928" t="s">
        <v>24</v>
      </c>
      <c r="H2180" s="3928" t="s">
        <v>3932</v>
      </c>
      <c r="I2180" s="3928" t="s">
        <v>857</v>
      </c>
    </row>
    <row r="2181" spans="1:9" ht="11.25" customHeight="1">
      <c r="A2181" s="3928" t="s">
        <v>2258</v>
      </c>
      <c r="B2181" s="3928" t="s">
        <v>14</v>
      </c>
      <c r="C2181" s="3928" t="s">
        <v>3933</v>
      </c>
      <c r="D2181" s="3928" t="s">
        <v>3934</v>
      </c>
      <c r="E2181" s="3928" t="s">
        <v>3935</v>
      </c>
      <c r="F2181" s="3928" t="s">
        <v>2294</v>
      </c>
      <c r="G2181" s="3928" t="s">
        <v>24</v>
      </c>
      <c r="H2181" s="3928" t="s">
        <v>2263</v>
      </c>
      <c r="I2181" s="3928" t="s">
        <v>857</v>
      </c>
    </row>
    <row r="2182" spans="1:9" ht="11.25" customHeight="1">
      <c r="A2182" s="3928" t="s">
        <v>2258</v>
      </c>
      <c r="B2182" s="3928" t="s">
        <v>14</v>
      </c>
      <c r="C2182" s="3928" t="s">
        <v>3939</v>
      </c>
      <c r="D2182" s="3928" t="s">
        <v>3940</v>
      </c>
      <c r="E2182" s="3928" t="s">
        <v>3941</v>
      </c>
      <c r="F2182" s="3928" t="s">
        <v>2567</v>
      </c>
      <c r="G2182" s="3928" t="s">
        <v>24</v>
      </c>
      <c r="H2182" s="3928" t="s">
        <v>24</v>
      </c>
      <c r="I2182" s="3928" t="s">
        <v>857</v>
      </c>
    </row>
    <row r="2183" spans="1:9" ht="11.25" customHeight="1">
      <c r="A2183" s="3928" t="s">
        <v>2258</v>
      </c>
      <c r="B2183" s="3928" t="s">
        <v>14</v>
      </c>
      <c r="C2183" s="3928" t="s">
        <v>3942</v>
      </c>
      <c r="D2183" s="3928" t="s">
        <v>3943</v>
      </c>
      <c r="E2183" s="3928" t="s">
        <v>3944</v>
      </c>
      <c r="F2183" s="3928" t="s">
        <v>2473</v>
      </c>
      <c r="G2183" s="3928" t="s">
        <v>24</v>
      </c>
      <c r="H2183" s="3928" t="s">
        <v>2263</v>
      </c>
      <c r="I2183" s="3928" t="s">
        <v>857</v>
      </c>
    </row>
    <row r="2184" spans="1:9" ht="11.25" customHeight="1">
      <c r="A2184" s="3928" t="s">
        <v>2258</v>
      </c>
      <c r="B2184" s="3928" t="s">
        <v>14</v>
      </c>
      <c r="C2184" s="3928" t="s">
        <v>7028</v>
      </c>
      <c r="D2184" s="3928" t="s">
        <v>7029</v>
      </c>
      <c r="E2184" s="3928" t="s">
        <v>7030</v>
      </c>
      <c r="F2184" s="3928" t="s">
        <v>7031</v>
      </c>
      <c r="G2184" s="3928" t="s">
        <v>24</v>
      </c>
      <c r="H2184" s="3928" t="s">
        <v>24</v>
      </c>
      <c r="I2184" s="3928" t="s">
        <v>857</v>
      </c>
    </row>
    <row r="2185" spans="1:9" ht="11.25" customHeight="1">
      <c r="A2185" s="3928" t="s">
        <v>2258</v>
      </c>
      <c r="B2185" s="3928" t="s">
        <v>14</v>
      </c>
      <c r="C2185" s="3928" t="s">
        <v>6393</v>
      </c>
      <c r="D2185" s="3928" t="s">
        <v>6394</v>
      </c>
      <c r="E2185" s="3928" t="s">
        <v>6395</v>
      </c>
      <c r="F2185" s="3928" t="s">
        <v>2325</v>
      </c>
      <c r="G2185" s="3928" t="s">
        <v>24</v>
      </c>
      <c r="H2185" s="3928" t="s">
        <v>3068</v>
      </c>
      <c r="I2185" s="3928" t="s">
        <v>857</v>
      </c>
    </row>
    <row r="2186" spans="1:9" ht="11.25" customHeight="1">
      <c r="A2186" s="3928" t="s">
        <v>2258</v>
      </c>
      <c r="B2186" s="3928" t="s">
        <v>14</v>
      </c>
      <c r="C2186" s="3928" t="s">
        <v>3948</v>
      </c>
      <c r="D2186" s="3928" t="s">
        <v>3949</v>
      </c>
      <c r="E2186" s="3928" t="s">
        <v>3950</v>
      </c>
      <c r="F2186" s="3928" t="s">
        <v>2289</v>
      </c>
      <c r="G2186" s="3928" t="s">
        <v>3951</v>
      </c>
      <c r="H2186" s="3928" t="s">
        <v>24</v>
      </c>
      <c r="I2186" s="3928" t="s">
        <v>857</v>
      </c>
    </row>
    <row r="2187" spans="1:9" ht="11.25" customHeight="1">
      <c r="A2187" s="3928" t="s">
        <v>2258</v>
      </c>
      <c r="B2187" s="3928" t="s">
        <v>14</v>
      </c>
      <c r="C2187" s="3928" t="s">
        <v>7032</v>
      </c>
      <c r="D2187" s="3928" t="s">
        <v>7033</v>
      </c>
      <c r="E2187" s="3928" t="s">
        <v>7034</v>
      </c>
      <c r="F2187" s="3928" t="s">
        <v>2271</v>
      </c>
      <c r="G2187" s="3928" t="s">
        <v>24</v>
      </c>
      <c r="H2187" s="3928" t="s">
        <v>2475</v>
      </c>
      <c r="I2187" s="3928" t="s">
        <v>857</v>
      </c>
    </row>
    <row r="2188" spans="1:9" ht="11.25" customHeight="1">
      <c r="A2188" s="3928" t="s">
        <v>2258</v>
      </c>
      <c r="B2188" s="3928" t="s">
        <v>14</v>
      </c>
      <c r="C2188" s="3928" t="s">
        <v>7035</v>
      </c>
      <c r="D2188" s="3928" t="s">
        <v>7036</v>
      </c>
      <c r="E2188" s="3928" t="s">
        <v>7037</v>
      </c>
      <c r="F2188" s="3928" t="s">
        <v>2289</v>
      </c>
      <c r="G2188" s="3928" t="s">
        <v>24</v>
      </c>
      <c r="H2188" s="3928" t="s">
        <v>24</v>
      </c>
      <c r="I2188" s="3928" t="s">
        <v>857</v>
      </c>
    </row>
    <row r="2189" spans="1:9" ht="11.25" customHeight="1">
      <c r="A2189" s="3928" t="s">
        <v>2258</v>
      </c>
      <c r="B2189" s="3928" t="s">
        <v>14</v>
      </c>
      <c r="C2189" s="3928" t="s">
        <v>7038</v>
      </c>
      <c r="D2189" s="3928" t="s">
        <v>7039</v>
      </c>
      <c r="E2189" s="3928" t="s">
        <v>7040</v>
      </c>
      <c r="F2189" s="3928" t="s">
        <v>2289</v>
      </c>
      <c r="G2189" s="3928" t="s">
        <v>24</v>
      </c>
      <c r="H2189" s="3928" t="s">
        <v>24</v>
      </c>
      <c r="I2189" s="3928" t="s">
        <v>857</v>
      </c>
    </row>
    <row r="2190" spans="1:9" ht="11.25" customHeight="1">
      <c r="A2190" s="3928" t="s">
        <v>2258</v>
      </c>
      <c r="B2190" s="3928" t="s">
        <v>14</v>
      </c>
      <c r="C2190" s="3928" t="s">
        <v>7041</v>
      </c>
      <c r="D2190" s="3928" t="s">
        <v>7042</v>
      </c>
      <c r="E2190" s="3928" t="s">
        <v>7043</v>
      </c>
      <c r="F2190" s="3928" t="s">
        <v>2535</v>
      </c>
      <c r="G2190" s="3928" t="s">
        <v>24</v>
      </c>
      <c r="H2190" s="3928" t="s">
        <v>2263</v>
      </c>
      <c r="I2190" s="3928" t="s">
        <v>857</v>
      </c>
    </row>
    <row r="2191" spans="1:9" ht="11.25" customHeight="1">
      <c r="A2191" s="3928" t="s">
        <v>2258</v>
      </c>
      <c r="B2191" s="3928" t="s">
        <v>14</v>
      </c>
      <c r="C2191" s="3928" t="s">
        <v>7044</v>
      </c>
      <c r="D2191" s="3928" t="s">
        <v>7045</v>
      </c>
      <c r="E2191" s="3928" t="s">
        <v>7046</v>
      </c>
      <c r="F2191" s="3928" t="s">
        <v>2974</v>
      </c>
      <c r="G2191" s="3928" t="s">
        <v>7047</v>
      </c>
      <c r="H2191" s="3928" t="s">
        <v>24</v>
      </c>
      <c r="I2191" s="3928" t="s">
        <v>857</v>
      </c>
    </row>
    <row r="2192" spans="1:9" ht="11.25" customHeight="1">
      <c r="A2192" s="3928" t="s">
        <v>2258</v>
      </c>
      <c r="B2192" s="3928" t="s">
        <v>14</v>
      </c>
      <c r="C2192" s="3928" t="s">
        <v>3967</v>
      </c>
      <c r="D2192" s="3928" t="s">
        <v>3968</v>
      </c>
      <c r="E2192" s="3928" t="s">
        <v>3969</v>
      </c>
      <c r="F2192" s="3928" t="s">
        <v>3970</v>
      </c>
      <c r="G2192" s="3928" t="s">
        <v>24</v>
      </c>
      <c r="H2192" s="3928" t="s">
        <v>24</v>
      </c>
      <c r="I2192" s="3928" t="s">
        <v>857</v>
      </c>
    </row>
    <row r="2193" spans="1:9" ht="11.25" customHeight="1">
      <c r="A2193" s="3928" t="s">
        <v>2258</v>
      </c>
      <c r="B2193" s="3928" t="s">
        <v>14</v>
      </c>
      <c r="C2193" s="3928" t="s">
        <v>3971</v>
      </c>
      <c r="D2193" s="3928" t="s">
        <v>3972</v>
      </c>
      <c r="E2193" s="3928" t="s">
        <v>3973</v>
      </c>
      <c r="F2193" s="3928" t="s">
        <v>2796</v>
      </c>
      <c r="G2193" s="3928" t="s">
        <v>24</v>
      </c>
      <c r="H2193" s="3928" t="s">
        <v>3068</v>
      </c>
      <c r="I2193" s="3928" t="s">
        <v>857</v>
      </c>
    </row>
    <row r="2194" spans="1:9" ht="11.25" customHeight="1">
      <c r="A2194" s="3928" t="s">
        <v>2258</v>
      </c>
      <c r="B2194" s="3928" t="s">
        <v>14</v>
      </c>
      <c r="C2194" s="3928" t="s">
        <v>3974</v>
      </c>
      <c r="D2194" s="3928" t="s">
        <v>3975</v>
      </c>
      <c r="E2194" s="3928" t="s">
        <v>3976</v>
      </c>
      <c r="F2194" s="3928" t="s">
        <v>2780</v>
      </c>
      <c r="G2194" s="3928" t="s">
        <v>24</v>
      </c>
      <c r="H2194" s="3928" t="s">
        <v>24</v>
      </c>
      <c r="I2194" s="3928" t="s">
        <v>857</v>
      </c>
    </row>
    <row r="2195" spans="1:9" ht="11.25" customHeight="1">
      <c r="A2195" s="3928" t="s">
        <v>2258</v>
      </c>
      <c r="B2195" s="3928" t="s">
        <v>14</v>
      </c>
      <c r="C2195" s="3928" t="s">
        <v>7048</v>
      </c>
      <c r="D2195" s="3928" t="s">
        <v>7049</v>
      </c>
      <c r="E2195" s="3928" t="s">
        <v>7050</v>
      </c>
      <c r="F2195" s="3928" t="s">
        <v>3841</v>
      </c>
      <c r="G2195" s="3928" t="s">
        <v>24</v>
      </c>
      <c r="H2195" s="3928" t="s">
        <v>7051</v>
      </c>
      <c r="I2195" s="3928" t="s">
        <v>857</v>
      </c>
    </row>
    <row r="2196" spans="1:9" ht="11.25" customHeight="1">
      <c r="A2196" s="3928" t="s">
        <v>2258</v>
      </c>
      <c r="B2196" s="3928" t="s">
        <v>14</v>
      </c>
      <c r="C2196" s="3928" t="s">
        <v>3980</v>
      </c>
      <c r="D2196" s="3928" t="s">
        <v>3981</v>
      </c>
      <c r="E2196" s="3928" t="s">
        <v>3982</v>
      </c>
      <c r="F2196" s="3928" t="s">
        <v>2289</v>
      </c>
      <c r="G2196" s="3928" t="s">
        <v>24</v>
      </c>
      <c r="H2196" s="3928" t="s">
        <v>2263</v>
      </c>
      <c r="I2196" s="3928" t="s">
        <v>857</v>
      </c>
    </row>
    <row r="2197" spans="1:9" ht="11.25" customHeight="1">
      <c r="A2197" s="3928" t="s">
        <v>2258</v>
      </c>
      <c r="B2197" s="3928" t="s">
        <v>14</v>
      </c>
      <c r="C2197" s="3928" t="s">
        <v>6396</v>
      </c>
      <c r="D2197" s="3928" t="s">
        <v>6397</v>
      </c>
      <c r="E2197" s="3928" t="s">
        <v>6398</v>
      </c>
      <c r="F2197" s="3928" t="s">
        <v>49</v>
      </c>
      <c r="G2197" s="3928" t="s">
        <v>24</v>
      </c>
      <c r="H2197" s="3928" t="s">
        <v>6399</v>
      </c>
      <c r="I2197" s="3928" t="s">
        <v>857</v>
      </c>
    </row>
    <row r="2198" spans="1:9" ht="11.25" customHeight="1">
      <c r="A2198" s="3928" t="s">
        <v>2258</v>
      </c>
      <c r="B2198" s="3928" t="s">
        <v>14</v>
      </c>
      <c r="C2198" s="3928" t="s">
        <v>3983</v>
      </c>
      <c r="D2198" s="3928" t="s">
        <v>3984</v>
      </c>
      <c r="E2198" s="3928" t="s">
        <v>3985</v>
      </c>
      <c r="F2198" s="3928" t="s">
        <v>2701</v>
      </c>
      <c r="G2198" s="3928" t="s">
        <v>24</v>
      </c>
      <c r="H2198" s="3928" t="s">
        <v>2475</v>
      </c>
      <c r="I2198" s="3928" t="s">
        <v>857</v>
      </c>
    </row>
    <row r="2199" spans="1:9" ht="11.25" customHeight="1">
      <c r="A2199" s="3928" t="s">
        <v>2258</v>
      </c>
      <c r="B2199" s="3928" t="s">
        <v>14</v>
      </c>
      <c r="C2199" s="3928" t="s">
        <v>7052</v>
      </c>
      <c r="D2199" s="3928" t="s">
        <v>7053</v>
      </c>
      <c r="E2199" s="3928" t="s">
        <v>7054</v>
      </c>
      <c r="F2199" s="3928" t="s">
        <v>7055</v>
      </c>
      <c r="G2199" s="3928" t="s">
        <v>24</v>
      </c>
      <c r="H2199" s="3928" t="s">
        <v>7056</v>
      </c>
      <c r="I2199" s="3928" t="s">
        <v>857</v>
      </c>
    </row>
    <row r="2200" spans="1:9" ht="11.25" customHeight="1">
      <c r="A2200" s="3928" t="s">
        <v>2258</v>
      </c>
      <c r="B2200" s="3928" t="s">
        <v>14</v>
      </c>
      <c r="C2200" s="3928" t="s">
        <v>3989</v>
      </c>
      <c r="D2200" s="3928" t="s">
        <v>3990</v>
      </c>
      <c r="E2200" s="3928" t="s">
        <v>3991</v>
      </c>
      <c r="F2200" s="3928" t="s">
        <v>2294</v>
      </c>
      <c r="G2200" s="3928" t="s">
        <v>24</v>
      </c>
      <c r="H2200" s="3928" t="s">
        <v>3992</v>
      </c>
      <c r="I2200" s="3928" t="s">
        <v>857</v>
      </c>
    </row>
    <row r="2201" spans="1:9" ht="11.25" customHeight="1">
      <c r="A2201" s="3928" t="s">
        <v>2258</v>
      </c>
      <c r="B2201" s="3928" t="s">
        <v>14</v>
      </c>
      <c r="C2201" s="3928" t="s">
        <v>7057</v>
      </c>
      <c r="D2201" s="3928" t="s">
        <v>7058</v>
      </c>
      <c r="E2201" s="3928" t="s">
        <v>2463</v>
      </c>
      <c r="F2201" s="3928" t="s">
        <v>2513</v>
      </c>
      <c r="G2201" s="3928" t="s">
        <v>24</v>
      </c>
      <c r="H2201" s="3928" t="s">
        <v>2263</v>
      </c>
      <c r="I2201" s="3928" t="s">
        <v>857</v>
      </c>
    </row>
    <row r="2202" spans="1:9" ht="11.25" customHeight="1">
      <c r="A2202" s="3928" t="s">
        <v>2258</v>
      </c>
      <c r="B2202" s="3928" t="s">
        <v>14</v>
      </c>
      <c r="C2202" s="3928" t="s">
        <v>7059</v>
      </c>
      <c r="D2202" s="3928" t="s">
        <v>7060</v>
      </c>
      <c r="E2202" s="3928" t="s">
        <v>7061</v>
      </c>
      <c r="F2202" s="3928" t="s">
        <v>2469</v>
      </c>
      <c r="G2202" s="3928" t="s">
        <v>24</v>
      </c>
      <c r="H2202" s="3928" t="s">
        <v>24</v>
      </c>
      <c r="I2202" s="3928" t="s">
        <v>857</v>
      </c>
    </row>
    <row r="2203" spans="1:9" ht="11.25" customHeight="1">
      <c r="A2203" s="3928" t="s">
        <v>2258</v>
      </c>
      <c r="B2203" s="3928" t="s">
        <v>14</v>
      </c>
      <c r="C2203" s="3928" t="s">
        <v>4002</v>
      </c>
      <c r="D2203" s="3928" t="s">
        <v>4003</v>
      </c>
      <c r="E2203" s="3928" t="s">
        <v>4004</v>
      </c>
      <c r="F2203" s="3928" t="s">
        <v>3051</v>
      </c>
      <c r="G2203" s="3928" t="s">
        <v>4005</v>
      </c>
      <c r="H2203" s="3928" t="s">
        <v>24</v>
      </c>
      <c r="I2203" s="3928" t="s">
        <v>857</v>
      </c>
    </row>
    <row r="2204" spans="1:9" ht="11.25" customHeight="1">
      <c r="A2204" s="3928" t="s">
        <v>2258</v>
      </c>
      <c r="B2204" s="3928" t="s">
        <v>14</v>
      </c>
      <c r="C2204" s="3928" t="s">
        <v>4026</v>
      </c>
      <c r="D2204" s="3928" t="s">
        <v>4027</v>
      </c>
      <c r="E2204" s="3928" t="s">
        <v>4028</v>
      </c>
      <c r="F2204" s="3928" t="s">
        <v>2473</v>
      </c>
      <c r="G2204" s="3928" t="s">
        <v>4029</v>
      </c>
      <c r="H2204" s="3928" t="s">
        <v>24</v>
      </c>
      <c r="I2204" s="3928" t="s">
        <v>857</v>
      </c>
    </row>
    <row r="2205" spans="1:9" ht="11.25" customHeight="1">
      <c r="A2205" s="3928" t="s">
        <v>2258</v>
      </c>
      <c r="B2205" s="3928" t="s">
        <v>14</v>
      </c>
      <c r="C2205" s="3928" t="s">
        <v>4030</v>
      </c>
      <c r="D2205" s="3928" t="s">
        <v>4031</v>
      </c>
      <c r="E2205" s="3928" t="s">
        <v>4032</v>
      </c>
      <c r="F2205" s="3928" t="s">
        <v>3420</v>
      </c>
      <c r="G2205" s="3928" t="s">
        <v>24</v>
      </c>
      <c r="H2205" s="3928" t="s">
        <v>24</v>
      </c>
      <c r="I2205" s="3928" t="s">
        <v>857</v>
      </c>
    </row>
    <row r="2206" spans="1:9" ht="11.25" customHeight="1">
      <c r="A2206" s="3928" t="s">
        <v>2258</v>
      </c>
      <c r="B2206" s="3928" t="s">
        <v>14</v>
      </c>
      <c r="C2206" s="3928" t="s">
        <v>7062</v>
      </c>
      <c r="D2206" s="3928" t="s">
        <v>7063</v>
      </c>
      <c r="E2206" s="3928" t="s">
        <v>7064</v>
      </c>
      <c r="F2206" s="3928" t="s">
        <v>2473</v>
      </c>
      <c r="G2206" s="3928" t="s">
        <v>24</v>
      </c>
      <c r="H2206" s="3928" t="s">
        <v>24</v>
      </c>
      <c r="I2206" s="3928" t="s">
        <v>857</v>
      </c>
    </row>
    <row r="2207" spans="1:9" ht="11.25" customHeight="1">
      <c r="A2207" s="3928" t="s">
        <v>2258</v>
      </c>
      <c r="B2207" s="3928" t="s">
        <v>14</v>
      </c>
      <c r="C2207" s="3928" t="s">
        <v>4052</v>
      </c>
      <c r="D2207" s="3928" t="s">
        <v>4053</v>
      </c>
      <c r="E2207" s="3928" t="s">
        <v>4054</v>
      </c>
      <c r="F2207" s="3928" t="s">
        <v>2796</v>
      </c>
      <c r="G2207" s="3928" t="s">
        <v>24</v>
      </c>
      <c r="H2207" s="3928" t="s">
        <v>3297</v>
      </c>
      <c r="I2207" s="3928" t="s">
        <v>857</v>
      </c>
    </row>
    <row r="2208" spans="1:9" ht="11.25" customHeight="1">
      <c r="A2208" s="3928" t="s">
        <v>2258</v>
      </c>
      <c r="B2208" s="3928" t="s">
        <v>14</v>
      </c>
      <c r="C2208" s="3928" t="s">
        <v>4059</v>
      </c>
      <c r="D2208" s="3928" t="s">
        <v>4060</v>
      </c>
      <c r="E2208" s="3928" t="s">
        <v>4061</v>
      </c>
      <c r="F2208" s="3928" t="s">
        <v>4062</v>
      </c>
      <c r="G2208" s="3928" t="s">
        <v>24</v>
      </c>
      <c r="H2208" s="3928" t="s">
        <v>24</v>
      </c>
      <c r="I2208" s="3928" t="s">
        <v>857</v>
      </c>
    </row>
    <row r="2209" spans="1:9" ht="11.25" customHeight="1">
      <c r="A2209" s="3928" t="s">
        <v>2258</v>
      </c>
      <c r="B2209" s="3928" t="s">
        <v>14</v>
      </c>
      <c r="C2209" s="3928" t="s">
        <v>4066</v>
      </c>
      <c r="D2209" s="3928" t="s">
        <v>4067</v>
      </c>
      <c r="E2209" s="3928" t="s">
        <v>4068</v>
      </c>
      <c r="F2209" s="3928" t="s">
        <v>2675</v>
      </c>
      <c r="G2209" s="3928" t="s">
        <v>4069</v>
      </c>
      <c r="H2209" s="3928" t="s">
        <v>24</v>
      </c>
      <c r="I2209" s="3928" t="s">
        <v>857</v>
      </c>
    </row>
    <row r="2210" spans="1:9" ht="11.25" customHeight="1">
      <c r="A2210" s="3928" t="s">
        <v>2258</v>
      </c>
      <c r="B2210" s="3928" t="s">
        <v>14</v>
      </c>
      <c r="C2210" s="3928" t="s">
        <v>7065</v>
      </c>
      <c r="D2210" s="3928" t="s">
        <v>7066</v>
      </c>
      <c r="E2210" s="3928" t="s">
        <v>7067</v>
      </c>
      <c r="F2210" s="3928" t="s">
        <v>2473</v>
      </c>
      <c r="G2210" s="3928" t="s">
        <v>24</v>
      </c>
      <c r="H2210" s="3928" t="s">
        <v>24</v>
      </c>
      <c r="I2210" s="3928" t="s">
        <v>857</v>
      </c>
    </row>
    <row r="2211" spans="1:9" ht="11.25" customHeight="1">
      <c r="A2211" s="3928" t="s">
        <v>2258</v>
      </c>
      <c r="B2211" s="3928" t="s">
        <v>14</v>
      </c>
      <c r="C2211" s="3928" t="s">
        <v>4076</v>
      </c>
      <c r="D2211" s="3928" t="s">
        <v>4077</v>
      </c>
      <c r="E2211" s="3928" t="s">
        <v>4078</v>
      </c>
      <c r="F2211" s="3928" t="s">
        <v>2304</v>
      </c>
      <c r="G2211" s="3928" t="s">
        <v>24</v>
      </c>
      <c r="H2211" s="3928" t="s">
        <v>24</v>
      </c>
      <c r="I2211" s="3928" t="s">
        <v>857</v>
      </c>
    </row>
    <row r="2212" spans="1:9" ht="11.25" customHeight="1">
      <c r="A2212" s="3928" t="s">
        <v>2258</v>
      </c>
      <c r="B2212" s="3928" t="s">
        <v>14</v>
      </c>
      <c r="C2212" s="3928" t="s">
        <v>4082</v>
      </c>
      <c r="D2212" s="3928" t="s">
        <v>4083</v>
      </c>
      <c r="E2212" s="3928" t="s">
        <v>4084</v>
      </c>
      <c r="F2212" s="3928" t="s">
        <v>2780</v>
      </c>
      <c r="G2212" s="3928" t="s">
        <v>24</v>
      </c>
      <c r="H2212" s="3928" t="s">
        <v>4085</v>
      </c>
      <c r="I2212" s="3928" t="s">
        <v>857</v>
      </c>
    </row>
    <row r="2213" spans="1:9" ht="11.25" customHeight="1">
      <c r="A2213" s="3928" t="s">
        <v>2258</v>
      </c>
      <c r="B2213" s="3928" t="s">
        <v>14</v>
      </c>
      <c r="C2213" s="3928" t="s">
        <v>4086</v>
      </c>
      <c r="D2213" s="3928" t="s">
        <v>4087</v>
      </c>
      <c r="E2213" s="3928" t="s">
        <v>4088</v>
      </c>
      <c r="F2213" s="3928" t="s">
        <v>2409</v>
      </c>
      <c r="G2213" s="3928" t="s">
        <v>24</v>
      </c>
      <c r="H2213" s="3928" t="s">
        <v>2772</v>
      </c>
      <c r="I2213" s="3928" t="s">
        <v>857</v>
      </c>
    </row>
    <row r="2214" spans="1:9" ht="11.25" customHeight="1">
      <c r="A2214" s="3928" t="s">
        <v>2258</v>
      </c>
      <c r="B2214" s="3928" t="s">
        <v>14</v>
      </c>
      <c r="C2214" s="3928" t="s">
        <v>4089</v>
      </c>
      <c r="D2214" s="3928" t="s">
        <v>4090</v>
      </c>
      <c r="E2214" s="3928" t="s">
        <v>4091</v>
      </c>
      <c r="F2214" s="3928" t="s">
        <v>2262</v>
      </c>
      <c r="G2214" s="3928" t="s">
        <v>24</v>
      </c>
      <c r="H2214" s="3928" t="s">
        <v>24</v>
      </c>
      <c r="I2214" s="3928" t="s">
        <v>857</v>
      </c>
    </row>
    <row r="2215" spans="1:9" ht="11.25" customHeight="1">
      <c r="A2215" s="3928" t="s">
        <v>2258</v>
      </c>
      <c r="B2215" s="3928" t="s">
        <v>14</v>
      </c>
      <c r="C2215" s="3928" t="s">
        <v>4092</v>
      </c>
      <c r="D2215" s="3928" t="s">
        <v>4093</v>
      </c>
      <c r="E2215" s="3928" t="s">
        <v>4094</v>
      </c>
      <c r="F2215" s="3928" t="s">
        <v>2304</v>
      </c>
      <c r="G2215" s="3928" t="s">
        <v>24</v>
      </c>
      <c r="H2215" s="3928" t="s">
        <v>24</v>
      </c>
      <c r="I2215" s="3928" t="s">
        <v>857</v>
      </c>
    </row>
    <row r="2216" spans="1:9" ht="11.25" customHeight="1">
      <c r="A2216" s="3928" t="s">
        <v>2258</v>
      </c>
      <c r="B2216" s="3928" t="s">
        <v>14</v>
      </c>
      <c r="C2216" s="3928" t="s">
        <v>4095</v>
      </c>
      <c r="D2216" s="3928" t="s">
        <v>4096</v>
      </c>
      <c r="E2216" s="3928" t="s">
        <v>4097</v>
      </c>
      <c r="F2216" s="3928" t="s">
        <v>2409</v>
      </c>
      <c r="G2216" s="3928" t="s">
        <v>4098</v>
      </c>
      <c r="H2216" s="3928" t="s">
        <v>24</v>
      </c>
      <c r="I2216" s="3928" t="s">
        <v>857</v>
      </c>
    </row>
    <row r="2217" spans="1:9" ht="11.25" customHeight="1">
      <c r="A2217" s="3928" t="s">
        <v>2258</v>
      </c>
      <c r="B2217" s="3928" t="s">
        <v>14</v>
      </c>
      <c r="C2217" s="3928" t="s">
        <v>7068</v>
      </c>
      <c r="D2217" s="3928" t="s">
        <v>7069</v>
      </c>
      <c r="E2217" s="3928" t="s">
        <v>7070</v>
      </c>
      <c r="F2217" s="3928" t="s">
        <v>2289</v>
      </c>
      <c r="G2217" s="3928" t="s">
        <v>2789</v>
      </c>
      <c r="H2217" s="3928" t="s">
        <v>24</v>
      </c>
      <c r="I2217" s="3928" t="s">
        <v>857</v>
      </c>
    </row>
    <row r="2218" spans="1:9" ht="11.25" customHeight="1">
      <c r="A2218" s="3928" t="s">
        <v>2258</v>
      </c>
      <c r="B2218" s="3928" t="s">
        <v>14</v>
      </c>
      <c r="C2218" s="3928" t="s">
        <v>7071</v>
      </c>
      <c r="D2218" s="3928" t="s">
        <v>7072</v>
      </c>
      <c r="E2218" s="3928" t="s">
        <v>7073</v>
      </c>
      <c r="F2218" s="3928" t="s">
        <v>2451</v>
      </c>
      <c r="G2218" s="3928" t="s">
        <v>24</v>
      </c>
      <c r="H2218" s="3928" t="s">
        <v>2314</v>
      </c>
      <c r="I2218" s="3928" t="s">
        <v>857</v>
      </c>
    </row>
    <row r="2219" spans="1:9" ht="11.25" customHeight="1">
      <c r="A2219" s="3928" t="s">
        <v>2258</v>
      </c>
      <c r="B2219" s="3928" t="s">
        <v>14</v>
      </c>
      <c r="C2219" s="3928" t="s">
        <v>4102</v>
      </c>
      <c r="D2219" s="3928" t="s">
        <v>4103</v>
      </c>
      <c r="E2219" s="3928" t="s">
        <v>4104</v>
      </c>
      <c r="F2219" s="3928" t="s">
        <v>2397</v>
      </c>
      <c r="G2219" s="3928" t="s">
        <v>4105</v>
      </c>
      <c r="H2219" s="3928" t="s">
        <v>2475</v>
      </c>
      <c r="I2219" s="3928" t="s">
        <v>857</v>
      </c>
    </row>
    <row r="2220" spans="1:9" ht="11.25" customHeight="1">
      <c r="A2220" s="3928" t="s">
        <v>2258</v>
      </c>
      <c r="B2220" s="3928" t="s">
        <v>14</v>
      </c>
      <c r="C2220" s="3928" t="s">
        <v>7074</v>
      </c>
      <c r="D2220" s="3928" t="s">
        <v>7075</v>
      </c>
      <c r="E2220" s="3928" t="s">
        <v>7076</v>
      </c>
      <c r="F2220" s="3928" t="s">
        <v>2567</v>
      </c>
      <c r="G2220" s="3928" t="s">
        <v>24</v>
      </c>
      <c r="H2220" s="3928" t="s">
        <v>24</v>
      </c>
      <c r="I2220" s="3928" t="s">
        <v>857</v>
      </c>
    </row>
    <row r="2221" spans="1:9" ht="11.25" customHeight="1">
      <c r="A2221" s="3928" t="s">
        <v>2258</v>
      </c>
      <c r="B2221" s="3928" t="s">
        <v>14</v>
      </c>
      <c r="C2221" s="3928" t="s">
        <v>4110</v>
      </c>
      <c r="D2221" s="3928" t="s">
        <v>4111</v>
      </c>
      <c r="E2221" s="3928" t="s">
        <v>4112</v>
      </c>
      <c r="F2221" s="3928" t="s">
        <v>2375</v>
      </c>
      <c r="G2221" s="3928" t="s">
        <v>24</v>
      </c>
      <c r="H2221" s="3928" t="s">
        <v>2314</v>
      </c>
      <c r="I2221" s="3928" t="s">
        <v>857</v>
      </c>
    </row>
    <row r="2222" spans="1:9" ht="11.25" customHeight="1">
      <c r="A2222" s="3928" t="s">
        <v>2258</v>
      </c>
      <c r="B2222" s="3928" t="s">
        <v>14</v>
      </c>
      <c r="C2222" s="3928" t="s">
        <v>4116</v>
      </c>
      <c r="D2222" s="3928" t="s">
        <v>4117</v>
      </c>
      <c r="E2222" s="3928" t="s">
        <v>4118</v>
      </c>
      <c r="F2222" s="3928" t="s">
        <v>3580</v>
      </c>
      <c r="G2222" s="3928" t="s">
        <v>24</v>
      </c>
      <c r="H2222" s="3928" t="s">
        <v>24</v>
      </c>
      <c r="I2222" s="3928" t="s">
        <v>857</v>
      </c>
    </row>
    <row r="2223" spans="1:9" ht="11.25" customHeight="1">
      <c r="A2223" s="3928" t="s">
        <v>2258</v>
      </c>
      <c r="B2223" s="3928" t="s">
        <v>14</v>
      </c>
      <c r="C2223" s="3928" t="s">
        <v>7077</v>
      </c>
      <c r="D2223" s="3928" t="s">
        <v>4126</v>
      </c>
      <c r="E2223" s="3928" t="s">
        <v>4127</v>
      </c>
      <c r="F2223" s="3928" t="s">
        <v>2974</v>
      </c>
      <c r="G2223" s="3928" t="s">
        <v>24</v>
      </c>
      <c r="H2223" s="3928" t="s">
        <v>3518</v>
      </c>
      <c r="I2223" s="3928" t="s">
        <v>857</v>
      </c>
    </row>
    <row r="2224" spans="1:9" ht="11.25" customHeight="1">
      <c r="A2224" s="3928" t="s">
        <v>2258</v>
      </c>
      <c r="B2224" s="3928" t="s">
        <v>14</v>
      </c>
      <c r="C2224" s="3928" t="s">
        <v>4128</v>
      </c>
      <c r="D2224" s="3928" t="s">
        <v>4129</v>
      </c>
      <c r="E2224" s="3928" t="s">
        <v>4130</v>
      </c>
      <c r="F2224" s="3928" t="s">
        <v>2289</v>
      </c>
      <c r="G2224" s="3928" t="s">
        <v>24</v>
      </c>
      <c r="H2224" s="3928" t="s">
        <v>24</v>
      </c>
      <c r="I2224" s="3928" t="s">
        <v>857</v>
      </c>
    </row>
    <row r="2225" spans="1:9" ht="11.25" customHeight="1">
      <c r="A2225" s="3928" t="s">
        <v>2258</v>
      </c>
      <c r="B2225" s="3928" t="s">
        <v>14</v>
      </c>
      <c r="C2225" s="3928" t="s">
        <v>4134</v>
      </c>
      <c r="D2225" s="3928" t="s">
        <v>4135</v>
      </c>
      <c r="E2225" s="3928" t="s">
        <v>4136</v>
      </c>
      <c r="F2225" s="3928" t="s">
        <v>3205</v>
      </c>
      <c r="G2225" s="3928" t="s">
        <v>24</v>
      </c>
      <c r="H2225" s="3928" t="s">
        <v>24</v>
      </c>
      <c r="I2225" s="3928" t="s">
        <v>857</v>
      </c>
    </row>
    <row r="2226" spans="1:9" ht="11.25" customHeight="1">
      <c r="A2226" s="3928" t="s">
        <v>2258</v>
      </c>
      <c r="B2226" s="3928" t="s">
        <v>14</v>
      </c>
      <c r="C2226" s="3928" t="s">
        <v>7078</v>
      </c>
      <c r="D2226" s="3928" t="s">
        <v>7079</v>
      </c>
      <c r="E2226" s="3928" t="s">
        <v>7080</v>
      </c>
      <c r="F2226" s="3928" t="s">
        <v>7081</v>
      </c>
      <c r="G2226" s="3928" t="s">
        <v>24</v>
      </c>
      <c r="H2226" s="3928" t="s">
        <v>7082</v>
      </c>
      <c r="I2226" s="3928" t="s">
        <v>857</v>
      </c>
    </row>
    <row r="2227" spans="1:9" ht="11.25" customHeight="1">
      <c r="A2227" s="3928" t="s">
        <v>2258</v>
      </c>
      <c r="B2227" s="3928" t="s">
        <v>14</v>
      </c>
      <c r="C2227" s="3928" t="s">
        <v>4157</v>
      </c>
      <c r="D2227" s="3928" t="s">
        <v>4158</v>
      </c>
      <c r="E2227" s="3928" t="s">
        <v>4159</v>
      </c>
      <c r="F2227" s="3928" t="s">
        <v>2289</v>
      </c>
      <c r="G2227" s="3928" t="s">
        <v>24</v>
      </c>
      <c r="H2227" s="3928" t="s">
        <v>2263</v>
      </c>
      <c r="I2227" s="3928" t="s">
        <v>857</v>
      </c>
    </row>
    <row r="2228" spans="1:9" ht="11.25" customHeight="1">
      <c r="A2228" s="3928" t="s">
        <v>2258</v>
      </c>
      <c r="B2228" s="3928" t="s">
        <v>14</v>
      </c>
      <c r="C2228" s="3928" t="s">
        <v>4163</v>
      </c>
      <c r="D2228" s="3928" t="s">
        <v>4164</v>
      </c>
      <c r="E2228" s="3928" t="s">
        <v>4165</v>
      </c>
      <c r="F2228" s="3928" t="s">
        <v>4166</v>
      </c>
      <c r="G2228" s="3928" t="s">
        <v>24</v>
      </c>
      <c r="H2228" s="3928" t="s">
        <v>24</v>
      </c>
      <c r="I2228" s="3928" t="s">
        <v>857</v>
      </c>
    </row>
    <row r="2229" spans="1:9" ht="11.25" customHeight="1">
      <c r="A2229" s="3928" t="s">
        <v>2258</v>
      </c>
      <c r="B2229" s="3928" t="s">
        <v>14</v>
      </c>
      <c r="C2229" s="3928" t="s">
        <v>4174</v>
      </c>
      <c r="D2229" s="3928" t="s">
        <v>4175</v>
      </c>
      <c r="E2229" s="3928" t="s">
        <v>4176</v>
      </c>
      <c r="F2229" s="3928" t="s">
        <v>2414</v>
      </c>
      <c r="G2229" s="3928" t="s">
        <v>24</v>
      </c>
      <c r="H2229" s="3928" t="s">
        <v>24</v>
      </c>
      <c r="I2229" s="3928" t="s">
        <v>857</v>
      </c>
    </row>
    <row r="2230" spans="1:9" ht="11.25" customHeight="1">
      <c r="A2230" s="3928" t="s">
        <v>2258</v>
      </c>
      <c r="B2230" s="3928" t="s">
        <v>14</v>
      </c>
      <c r="C2230" s="3928" t="s">
        <v>4177</v>
      </c>
      <c r="D2230" s="3928" t="s">
        <v>4178</v>
      </c>
      <c r="E2230" s="3928" t="s">
        <v>3114</v>
      </c>
      <c r="F2230" s="3928" t="s">
        <v>4179</v>
      </c>
      <c r="G2230" s="3928" t="s">
        <v>24</v>
      </c>
      <c r="H2230" s="3928" t="s">
        <v>4180</v>
      </c>
      <c r="I2230" s="3928" t="s">
        <v>857</v>
      </c>
    </row>
    <row r="2231" spans="1:9" ht="11.25" customHeight="1">
      <c r="A2231" s="3928" t="s">
        <v>2258</v>
      </c>
      <c r="B2231" s="3928" t="s">
        <v>14</v>
      </c>
      <c r="C2231" s="3928" t="s">
        <v>4181</v>
      </c>
      <c r="D2231" s="3928" t="s">
        <v>4182</v>
      </c>
      <c r="E2231" s="3928" t="s">
        <v>3114</v>
      </c>
      <c r="F2231" s="3928" t="s">
        <v>4183</v>
      </c>
      <c r="G2231" s="3928" t="s">
        <v>4184</v>
      </c>
      <c r="H2231" s="3928" t="s">
        <v>4185</v>
      </c>
      <c r="I2231" s="3928" t="s">
        <v>857</v>
      </c>
    </row>
    <row r="2232" spans="1:9" ht="11.25" customHeight="1">
      <c r="A2232" s="3928" t="s">
        <v>2258</v>
      </c>
      <c r="B2232" s="3928" t="s">
        <v>14</v>
      </c>
      <c r="C2232" s="3928" t="s">
        <v>7083</v>
      </c>
      <c r="D2232" s="3928" t="s">
        <v>7084</v>
      </c>
      <c r="E2232" s="3928" t="s">
        <v>3114</v>
      </c>
      <c r="F2232" s="3928" t="s">
        <v>7085</v>
      </c>
      <c r="G2232" s="3928" t="s">
        <v>4185</v>
      </c>
      <c r="H2232" s="3928" t="s">
        <v>24</v>
      </c>
      <c r="I2232" s="3928" t="s">
        <v>857</v>
      </c>
    </row>
    <row r="2233" spans="1:9" ht="11.25" customHeight="1">
      <c r="A2233" s="3928" t="s">
        <v>2258</v>
      </c>
      <c r="B2233" s="3928" t="s">
        <v>14</v>
      </c>
      <c r="C2233" s="3928" t="s">
        <v>4189</v>
      </c>
      <c r="D2233" s="3928" t="s">
        <v>4190</v>
      </c>
      <c r="E2233" s="3928" t="s">
        <v>4191</v>
      </c>
      <c r="F2233" s="3928" t="s">
        <v>2289</v>
      </c>
      <c r="G2233" s="3928" t="s">
        <v>24</v>
      </c>
      <c r="H2233" s="3928" t="s">
        <v>2263</v>
      </c>
      <c r="I2233" s="3928" t="s">
        <v>857</v>
      </c>
    </row>
    <row r="2234" spans="1:9" ht="11.25" customHeight="1">
      <c r="A2234" s="3928" t="s">
        <v>2258</v>
      </c>
      <c r="B2234" s="3928" t="s">
        <v>14</v>
      </c>
      <c r="C2234" s="3928" t="s">
        <v>7086</v>
      </c>
      <c r="D2234" s="3928" t="s">
        <v>7087</v>
      </c>
      <c r="E2234" s="3928" t="s">
        <v>7088</v>
      </c>
      <c r="F2234" s="3928" t="s">
        <v>2289</v>
      </c>
      <c r="G2234" s="3928" t="s">
        <v>24</v>
      </c>
      <c r="H2234" s="3928" t="s">
        <v>7089</v>
      </c>
      <c r="I2234" s="3928" t="s">
        <v>857</v>
      </c>
    </row>
    <row r="2235" spans="1:9" ht="11.25" customHeight="1">
      <c r="A2235" s="3928" t="s">
        <v>2258</v>
      </c>
      <c r="B2235" s="3928" t="s">
        <v>14</v>
      </c>
      <c r="C2235" s="3928" t="s">
        <v>6400</v>
      </c>
      <c r="D2235" s="3928" t="s">
        <v>6401</v>
      </c>
      <c r="E2235" s="3928" t="s">
        <v>6402</v>
      </c>
      <c r="F2235" s="3928" t="s">
        <v>2289</v>
      </c>
      <c r="G2235" s="3928" t="s">
        <v>24</v>
      </c>
      <c r="H2235" s="3928" t="s">
        <v>2263</v>
      </c>
      <c r="I2235" s="3928" t="s">
        <v>857</v>
      </c>
    </row>
    <row r="2236" spans="1:9" ht="11.25" customHeight="1">
      <c r="A2236" s="3928" t="s">
        <v>2258</v>
      </c>
      <c r="B2236" s="3928" t="s">
        <v>14</v>
      </c>
      <c r="C2236" s="3928" t="s">
        <v>4192</v>
      </c>
      <c r="D2236" s="3928" t="s">
        <v>4193</v>
      </c>
      <c r="E2236" s="3928" t="s">
        <v>4194</v>
      </c>
      <c r="F2236" s="3928" t="s">
        <v>2289</v>
      </c>
      <c r="G2236" s="3928" t="s">
        <v>24</v>
      </c>
      <c r="H2236" s="3928" t="s">
        <v>2263</v>
      </c>
      <c r="I2236" s="3928" t="s">
        <v>857</v>
      </c>
    </row>
    <row r="2237" spans="1:9" ht="11.25" customHeight="1">
      <c r="A2237" s="3928" t="s">
        <v>2258</v>
      </c>
      <c r="B2237" s="3928" t="s">
        <v>14</v>
      </c>
      <c r="C2237" s="3928" t="s">
        <v>4195</v>
      </c>
      <c r="D2237" s="3928" t="s">
        <v>4196</v>
      </c>
      <c r="E2237" s="3928" t="s">
        <v>4197</v>
      </c>
      <c r="F2237" s="3928" t="s">
        <v>2638</v>
      </c>
      <c r="G2237" s="3928" t="s">
        <v>24</v>
      </c>
      <c r="H2237" s="3928" t="s">
        <v>2263</v>
      </c>
      <c r="I2237" s="3928" t="s">
        <v>857</v>
      </c>
    </row>
    <row r="2238" spans="1:9" ht="11.25" customHeight="1">
      <c r="A2238" s="3928" t="s">
        <v>2258</v>
      </c>
      <c r="B2238" s="3928" t="s">
        <v>14</v>
      </c>
      <c r="C2238" s="3928" t="s">
        <v>7090</v>
      </c>
      <c r="D2238" s="3928" t="s">
        <v>7091</v>
      </c>
      <c r="E2238" s="3928" t="s">
        <v>7092</v>
      </c>
      <c r="F2238" s="3928" t="s">
        <v>2638</v>
      </c>
      <c r="G2238" s="3928" t="s">
        <v>24</v>
      </c>
      <c r="H2238" s="3928" t="s">
        <v>24</v>
      </c>
      <c r="I2238" s="3928" t="s">
        <v>857</v>
      </c>
    </row>
    <row r="2239" spans="1:9" ht="11.25" customHeight="1">
      <c r="A2239" s="3928" t="s">
        <v>2258</v>
      </c>
      <c r="B2239" s="3928" t="s">
        <v>14</v>
      </c>
      <c r="C2239" s="3928" t="s">
        <v>7093</v>
      </c>
      <c r="D2239" s="3928" t="s">
        <v>7094</v>
      </c>
      <c r="E2239" s="3928" t="s">
        <v>7095</v>
      </c>
      <c r="F2239" s="3928" t="s">
        <v>2638</v>
      </c>
      <c r="G2239" s="3928" t="s">
        <v>24</v>
      </c>
      <c r="H2239" s="3928" t="s">
        <v>24</v>
      </c>
      <c r="I2239" s="3928" t="s">
        <v>857</v>
      </c>
    </row>
    <row r="2240" spans="1:9" ht="11.25" customHeight="1">
      <c r="A2240" s="3928" t="s">
        <v>2258</v>
      </c>
      <c r="B2240" s="3928" t="s">
        <v>14</v>
      </c>
      <c r="C2240" s="3928" t="s">
        <v>4204</v>
      </c>
      <c r="D2240" s="3928" t="s">
        <v>4202</v>
      </c>
      <c r="E2240" s="3928" t="s">
        <v>4203</v>
      </c>
      <c r="F2240" s="3928" t="s">
        <v>2974</v>
      </c>
      <c r="G2240" s="3928" t="s">
        <v>4205</v>
      </c>
      <c r="H2240" s="3928" t="s">
        <v>4206</v>
      </c>
      <c r="I2240" s="3928" t="s">
        <v>857</v>
      </c>
    </row>
    <row r="2241" spans="1:9" ht="11.25" customHeight="1">
      <c r="A2241" s="3928" t="s">
        <v>2258</v>
      </c>
      <c r="B2241" s="3928" t="s">
        <v>14</v>
      </c>
      <c r="C2241" s="3928" t="s">
        <v>4207</v>
      </c>
      <c r="D2241" s="3928" t="s">
        <v>4208</v>
      </c>
      <c r="E2241" s="3928" t="s">
        <v>4209</v>
      </c>
      <c r="F2241" s="3928" t="s">
        <v>3082</v>
      </c>
      <c r="G2241" s="3928" t="s">
        <v>4210</v>
      </c>
      <c r="H2241" s="3928" t="s">
        <v>2945</v>
      </c>
      <c r="I2241" s="3928" t="s">
        <v>857</v>
      </c>
    </row>
    <row r="2242" spans="1:9" ht="11.25" customHeight="1">
      <c r="A2242" s="3928" t="s">
        <v>2258</v>
      </c>
      <c r="B2242" s="3928" t="s">
        <v>14</v>
      </c>
      <c r="C2242" s="3928" t="s">
        <v>7096</v>
      </c>
      <c r="D2242" s="3928" t="s">
        <v>7097</v>
      </c>
      <c r="E2242" s="3928" t="s">
        <v>6586</v>
      </c>
      <c r="F2242" s="3928" t="s">
        <v>6476</v>
      </c>
      <c r="G2242" s="3928" t="s">
        <v>6588</v>
      </c>
      <c r="H2242" s="3928" t="s">
        <v>6589</v>
      </c>
      <c r="I2242" s="3928" t="s">
        <v>857</v>
      </c>
    </row>
    <row r="2243" spans="1:9" ht="11.25" customHeight="1">
      <c r="A2243" s="3928" t="s">
        <v>2258</v>
      </c>
      <c r="B2243" s="3928" t="s">
        <v>14</v>
      </c>
      <c r="C2243" s="3928" t="s">
        <v>7098</v>
      </c>
      <c r="D2243" s="3928" t="s">
        <v>7099</v>
      </c>
      <c r="E2243" s="3928" t="s">
        <v>6586</v>
      </c>
      <c r="F2243" s="3928" t="s">
        <v>2826</v>
      </c>
      <c r="G2243" s="3928" t="s">
        <v>6588</v>
      </c>
      <c r="H2243" s="3928" t="s">
        <v>6589</v>
      </c>
      <c r="I2243" s="3928" t="s">
        <v>857</v>
      </c>
    </row>
    <row r="2244" spans="1:9" ht="11.25" customHeight="1">
      <c r="A2244" s="3928" t="s">
        <v>2258</v>
      </c>
      <c r="B2244" s="3928" t="s">
        <v>14</v>
      </c>
      <c r="C2244" s="3928" t="s">
        <v>7100</v>
      </c>
      <c r="D2244" s="3928" t="s">
        <v>7101</v>
      </c>
      <c r="E2244" s="3928" t="s">
        <v>6586</v>
      </c>
      <c r="F2244" s="3928" t="s">
        <v>7102</v>
      </c>
      <c r="G2244" s="3928" t="s">
        <v>24</v>
      </c>
      <c r="H2244" s="3928" t="s">
        <v>6589</v>
      </c>
      <c r="I2244" s="3928" t="s">
        <v>857</v>
      </c>
    </row>
    <row r="2245" spans="1:9" ht="11.25" customHeight="1">
      <c r="A2245" s="3928" t="s">
        <v>2258</v>
      </c>
      <c r="B2245" s="3928" t="s">
        <v>14</v>
      </c>
      <c r="C2245" s="3928" t="s">
        <v>7103</v>
      </c>
      <c r="D2245" s="3928" t="s">
        <v>7104</v>
      </c>
      <c r="E2245" s="3928" t="s">
        <v>6586</v>
      </c>
      <c r="F2245" s="3928" t="s">
        <v>7105</v>
      </c>
      <c r="G2245" s="3928" t="s">
        <v>7106</v>
      </c>
      <c r="H2245" s="3928" t="s">
        <v>6589</v>
      </c>
      <c r="I2245" s="3928" t="s">
        <v>857</v>
      </c>
    </row>
    <row r="2246" spans="1:9" ht="11.25" customHeight="1">
      <c r="A2246" s="3928" t="s">
        <v>2258</v>
      </c>
      <c r="B2246" s="3928" t="s">
        <v>14</v>
      </c>
      <c r="C2246" s="3928" t="s">
        <v>4230</v>
      </c>
      <c r="D2246" s="3928" t="s">
        <v>4231</v>
      </c>
      <c r="E2246" s="3928" t="s">
        <v>4232</v>
      </c>
      <c r="F2246" s="3928" t="s">
        <v>2375</v>
      </c>
      <c r="G2246" s="3928" t="s">
        <v>4233</v>
      </c>
      <c r="H2246" s="3928" t="s">
        <v>24</v>
      </c>
      <c r="I2246" s="3928" t="s">
        <v>857</v>
      </c>
    </row>
    <row r="2247" spans="1:9" ht="11.25" customHeight="1">
      <c r="A2247" s="3928" t="s">
        <v>2258</v>
      </c>
      <c r="B2247" s="3928" t="s">
        <v>14</v>
      </c>
      <c r="C2247" s="3928" t="s">
        <v>4234</v>
      </c>
      <c r="D2247" s="3928" t="s">
        <v>4235</v>
      </c>
      <c r="E2247" s="3928" t="s">
        <v>4236</v>
      </c>
      <c r="F2247" s="3928" t="s">
        <v>2771</v>
      </c>
      <c r="G2247" s="3928" t="s">
        <v>24</v>
      </c>
      <c r="H2247" s="3928" t="s">
        <v>3068</v>
      </c>
      <c r="I2247" s="3928" t="s">
        <v>857</v>
      </c>
    </row>
    <row r="2248" spans="1:9" ht="11.25" customHeight="1">
      <c r="A2248" s="3928" t="s">
        <v>2258</v>
      </c>
      <c r="B2248" s="3928" t="s">
        <v>14</v>
      </c>
      <c r="C2248" s="3928" t="s">
        <v>4237</v>
      </c>
      <c r="D2248" s="3928" t="s">
        <v>4238</v>
      </c>
      <c r="E2248" s="3928" t="s">
        <v>4239</v>
      </c>
      <c r="F2248" s="3928" t="s">
        <v>2262</v>
      </c>
      <c r="G2248" s="3928" t="s">
        <v>4240</v>
      </c>
      <c r="H2248" s="3928" t="s">
        <v>24</v>
      </c>
      <c r="I2248" s="3928" t="s">
        <v>857</v>
      </c>
    </row>
    <row r="2249" spans="1:9" ht="11.25" customHeight="1">
      <c r="A2249" s="3928" t="s">
        <v>2258</v>
      </c>
      <c r="B2249" s="3928" t="s">
        <v>14</v>
      </c>
      <c r="C2249" s="3928" t="s">
        <v>7107</v>
      </c>
      <c r="D2249" s="3928" t="s">
        <v>7108</v>
      </c>
      <c r="E2249" s="3928" t="s">
        <v>7109</v>
      </c>
      <c r="F2249" s="3928" t="s">
        <v>2289</v>
      </c>
      <c r="G2249" s="3928" t="s">
        <v>24</v>
      </c>
      <c r="H2249" s="3928" t="s">
        <v>24</v>
      </c>
      <c r="I2249" s="3928" t="s">
        <v>857</v>
      </c>
    </row>
    <row r="2250" spans="1:9" ht="11.25" customHeight="1">
      <c r="A2250" s="3928" t="s">
        <v>2258</v>
      </c>
      <c r="B2250" s="3928" t="s">
        <v>14</v>
      </c>
      <c r="C2250" s="3928" t="s">
        <v>7110</v>
      </c>
      <c r="D2250" s="3928" t="s">
        <v>7111</v>
      </c>
      <c r="E2250" s="3928" t="s">
        <v>7112</v>
      </c>
      <c r="F2250" s="3928" t="s">
        <v>2513</v>
      </c>
      <c r="G2250" s="3928" t="s">
        <v>24</v>
      </c>
      <c r="H2250" s="3928" t="s">
        <v>24</v>
      </c>
      <c r="I2250" s="3928" t="s">
        <v>857</v>
      </c>
    </row>
    <row r="2251" spans="1:9" ht="11.25" customHeight="1">
      <c r="A2251" s="3928" t="s">
        <v>2258</v>
      </c>
      <c r="B2251" s="3928" t="s">
        <v>14</v>
      </c>
      <c r="C2251" s="3928" t="s">
        <v>7113</v>
      </c>
      <c r="D2251" s="3928" t="s">
        <v>7114</v>
      </c>
      <c r="E2251" s="3928" t="s">
        <v>7115</v>
      </c>
      <c r="F2251" s="3928" t="s">
        <v>2304</v>
      </c>
      <c r="G2251" s="3928" t="s">
        <v>24</v>
      </c>
      <c r="H2251" s="3928" t="s">
        <v>24</v>
      </c>
      <c r="I2251" s="3928" t="s">
        <v>857</v>
      </c>
    </row>
    <row r="2252" spans="1:9" ht="11.25" customHeight="1">
      <c r="A2252" s="3928" t="s">
        <v>2258</v>
      </c>
      <c r="B2252" s="3928" t="s">
        <v>14</v>
      </c>
      <c r="C2252" s="3928" t="s">
        <v>7116</v>
      </c>
      <c r="D2252" s="3928" t="s">
        <v>7117</v>
      </c>
      <c r="E2252" s="3928" t="s">
        <v>7118</v>
      </c>
      <c r="F2252" s="3928" t="s">
        <v>2344</v>
      </c>
      <c r="G2252" s="3928" t="s">
        <v>24</v>
      </c>
      <c r="H2252" s="3928" t="s">
        <v>24</v>
      </c>
      <c r="I2252" s="3928" t="s">
        <v>857</v>
      </c>
    </row>
    <row r="2253" spans="1:9" ht="11.25" customHeight="1">
      <c r="A2253" s="3928" t="s">
        <v>2258</v>
      </c>
      <c r="B2253" s="3928" t="s">
        <v>14</v>
      </c>
      <c r="C2253" s="3928" t="s">
        <v>7119</v>
      </c>
      <c r="D2253" s="3928" t="s">
        <v>7120</v>
      </c>
      <c r="E2253" s="3928" t="s">
        <v>7121</v>
      </c>
      <c r="F2253" s="3928" t="s">
        <v>2675</v>
      </c>
      <c r="G2253" s="3928" t="s">
        <v>24</v>
      </c>
      <c r="H2253" s="3928" t="s">
        <v>24</v>
      </c>
      <c r="I2253" s="3928" t="s">
        <v>857</v>
      </c>
    </row>
    <row r="2254" spans="1:9" ht="11.25" customHeight="1">
      <c r="A2254" s="3928" t="s">
        <v>2258</v>
      </c>
      <c r="B2254" s="3928" t="s">
        <v>14</v>
      </c>
      <c r="C2254" s="3928" t="s">
        <v>4266</v>
      </c>
      <c r="D2254" s="3928" t="s">
        <v>4267</v>
      </c>
      <c r="E2254" s="3928" t="s">
        <v>4268</v>
      </c>
      <c r="F2254" s="3928" t="s">
        <v>2344</v>
      </c>
      <c r="G2254" s="3928" t="s">
        <v>24</v>
      </c>
      <c r="H2254" s="3928" t="s">
        <v>2263</v>
      </c>
      <c r="I2254" s="3928" t="s">
        <v>857</v>
      </c>
    </row>
    <row r="2255" spans="1:9" ht="11.25" customHeight="1">
      <c r="A2255" s="3928" t="s">
        <v>2258</v>
      </c>
      <c r="B2255" s="3928" t="s">
        <v>14</v>
      </c>
      <c r="C2255" s="3928" t="s">
        <v>7122</v>
      </c>
      <c r="D2255" s="3928" t="s">
        <v>7123</v>
      </c>
      <c r="E2255" s="3928" t="s">
        <v>7124</v>
      </c>
      <c r="F2255" s="3928" t="s">
        <v>4792</v>
      </c>
      <c r="G2255" s="3928" t="s">
        <v>24</v>
      </c>
      <c r="H2255" s="3928" t="s">
        <v>24</v>
      </c>
      <c r="I2255" s="3928" t="s">
        <v>857</v>
      </c>
    </row>
    <row r="2256" spans="1:9" ht="11.25" customHeight="1">
      <c r="A2256" s="3928" t="s">
        <v>2258</v>
      </c>
      <c r="B2256" s="3928" t="s">
        <v>14</v>
      </c>
      <c r="C2256" s="3928" t="s">
        <v>7125</v>
      </c>
      <c r="D2256" s="3928" t="s">
        <v>7126</v>
      </c>
      <c r="E2256" s="3928" t="s">
        <v>7127</v>
      </c>
      <c r="F2256" s="3928" t="s">
        <v>2638</v>
      </c>
      <c r="G2256" s="3928" t="s">
        <v>24</v>
      </c>
      <c r="H2256" s="3928" t="s">
        <v>24</v>
      </c>
      <c r="I2256" s="3928" t="s">
        <v>857</v>
      </c>
    </row>
    <row r="2257" spans="1:9" ht="11.25" customHeight="1">
      <c r="A2257" s="3928" t="s">
        <v>2258</v>
      </c>
      <c r="B2257" s="3928" t="s">
        <v>14</v>
      </c>
      <c r="C2257" s="3928" t="s">
        <v>7128</v>
      </c>
      <c r="D2257" s="3928" t="s">
        <v>7129</v>
      </c>
      <c r="E2257" s="3928" t="s">
        <v>7130</v>
      </c>
      <c r="F2257" s="3928" t="s">
        <v>2344</v>
      </c>
      <c r="G2257" s="3928" t="s">
        <v>24</v>
      </c>
      <c r="H2257" s="3928" t="s">
        <v>24</v>
      </c>
      <c r="I2257" s="3928" t="s">
        <v>857</v>
      </c>
    </row>
    <row r="2258" spans="1:9" ht="11.25" customHeight="1">
      <c r="A2258" s="3928" t="s">
        <v>2258</v>
      </c>
      <c r="B2258" s="3928" t="s">
        <v>14</v>
      </c>
      <c r="C2258" s="3928" t="s">
        <v>7131</v>
      </c>
      <c r="D2258" s="3928" t="s">
        <v>7132</v>
      </c>
      <c r="E2258" s="3928" t="s">
        <v>6586</v>
      </c>
      <c r="F2258" s="3928" t="s">
        <v>5657</v>
      </c>
      <c r="G2258" s="3928" t="s">
        <v>7133</v>
      </c>
      <c r="H2258" s="3928" t="s">
        <v>6589</v>
      </c>
      <c r="I2258" s="3928" t="s">
        <v>857</v>
      </c>
    </row>
    <row r="2259" spans="1:9" ht="11.25" customHeight="1">
      <c r="A2259" s="3928" t="s">
        <v>2258</v>
      </c>
      <c r="B2259" s="3928" t="s">
        <v>14</v>
      </c>
      <c r="C2259" s="3928" t="s">
        <v>7134</v>
      </c>
      <c r="D2259" s="3928" t="s">
        <v>7135</v>
      </c>
      <c r="E2259" s="3928" t="s">
        <v>6586</v>
      </c>
      <c r="F2259" s="3928" t="s">
        <v>7136</v>
      </c>
      <c r="G2259" s="3928" t="s">
        <v>6588</v>
      </c>
      <c r="H2259" s="3928" t="s">
        <v>6589</v>
      </c>
      <c r="I2259" s="3928" t="s">
        <v>857</v>
      </c>
    </row>
    <row r="2260" spans="1:9" ht="11.25" customHeight="1">
      <c r="A2260" s="3928" t="s">
        <v>2258</v>
      </c>
      <c r="B2260" s="3928" t="s">
        <v>14</v>
      </c>
      <c r="C2260" s="3928" t="s">
        <v>4304</v>
      </c>
      <c r="D2260" s="3928" t="s">
        <v>4305</v>
      </c>
      <c r="E2260" s="3928" t="s">
        <v>4306</v>
      </c>
      <c r="F2260" s="3928" t="s">
        <v>2289</v>
      </c>
      <c r="G2260" s="3928" t="s">
        <v>24</v>
      </c>
      <c r="H2260" s="3928" t="s">
        <v>2263</v>
      </c>
      <c r="I2260" s="3928" t="s">
        <v>857</v>
      </c>
    </row>
    <row r="2261" spans="1:9" ht="11.25" customHeight="1">
      <c r="A2261" s="3928" t="s">
        <v>2258</v>
      </c>
      <c r="B2261" s="3928" t="s">
        <v>14</v>
      </c>
      <c r="C2261" s="3928" t="s">
        <v>4307</v>
      </c>
      <c r="D2261" s="3928" t="s">
        <v>4308</v>
      </c>
      <c r="E2261" s="3928" t="s">
        <v>4032</v>
      </c>
      <c r="F2261" s="3928" t="s">
        <v>2513</v>
      </c>
      <c r="G2261" s="3928" t="s">
        <v>24</v>
      </c>
      <c r="H2261" s="3928" t="s">
        <v>24</v>
      </c>
      <c r="I2261" s="3928" t="s">
        <v>857</v>
      </c>
    </row>
    <row r="2262" spans="1:9" ht="11.25" customHeight="1">
      <c r="A2262" s="3928" t="s">
        <v>2258</v>
      </c>
      <c r="B2262" s="3928" t="s">
        <v>14</v>
      </c>
      <c r="C2262" s="3928" t="s">
        <v>4309</v>
      </c>
      <c r="D2262" s="3928" t="s">
        <v>4310</v>
      </c>
      <c r="E2262" s="3928" t="s">
        <v>4311</v>
      </c>
      <c r="F2262" s="3928" t="s">
        <v>2414</v>
      </c>
      <c r="G2262" s="3928" t="s">
        <v>24</v>
      </c>
      <c r="H2262" s="3928" t="s">
        <v>2263</v>
      </c>
      <c r="I2262" s="3928" t="s">
        <v>857</v>
      </c>
    </row>
    <row r="2263" spans="1:9" ht="11.25" customHeight="1">
      <c r="A2263" s="3928" t="s">
        <v>2258</v>
      </c>
      <c r="B2263" s="3928" t="s">
        <v>14</v>
      </c>
      <c r="C2263" s="3928" t="s">
        <v>4315</v>
      </c>
      <c r="D2263" s="3928" t="s">
        <v>4316</v>
      </c>
      <c r="E2263" s="3928" t="s">
        <v>4317</v>
      </c>
      <c r="F2263" s="3928" t="s">
        <v>2289</v>
      </c>
      <c r="G2263" s="3928" t="s">
        <v>24</v>
      </c>
      <c r="H2263" s="3928" t="s">
        <v>2263</v>
      </c>
      <c r="I2263" s="3928" t="s">
        <v>857</v>
      </c>
    </row>
    <row r="2264" spans="1:9" ht="11.25" customHeight="1">
      <c r="A2264" s="3928" t="s">
        <v>2258</v>
      </c>
      <c r="B2264" s="3928" t="s">
        <v>14</v>
      </c>
      <c r="C2264" s="3928" t="s">
        <v>4318</v>
      </c>
      <c r="D2264" s="3928" t="s">
        <v>4319</v>
      </c>
      <c r="E2264" s="3928" t="s">
        <v>4320</v>
      </c>
      <c r="F2264" s="3928" t="s">
        <v>2289</v>
      </c>
      <c r="G2264" s="3928" t="s">
        <v>24</v>
      </c>
      <c r="H2264" s="3928" t="s">
        <v>2263</v>
      </c>
      <c r="I2264" s="3928" t="s">
        <v>857</v>
      </c>
    </row>
    <row r="2265" spans="1:9" ht="11.25" customHeight="1">
      <c r="A2265" s="3928" t="s">
        <v>2258</v>
      </c>
      <c r="B2265" s="3928" t="s">
        <v>14</v>
      </c>
      <c r="C2265" s="3928" t="s">
        <v>4324</v>
      </c>
      <c r="D2265" s="3928" t="s">
        <v>4325</v>
      </c>
      <c r="E2265" s="3928" t="s">
        <v>4326</v>
      </c>
      <c r="F2265" s="3928" t="s">
        <v>2929</v>
      </c>
      <c r="G2265" s="3928" t="s">
        <v>24</v>
      </c>
      <c r="H2265" s="3928" t="s">
        <v>2263</v>
      </c>
      <c r="I2265" s="3928" t="s">
        <v>857</v>
      </c>
    </row>
    <row r="2266" spans="1:9" ht="11.25" customHeight="1">
      <c r="A2266" s="3928" t="s">
        <v>2258</v>
      </c>
      <c r="B2266" s="3928" t="s">
        <v>14</v>
      </c>
      <c r="C2266" s="3928" t="s">
        <v>7137</v>
      </c>
      <c r="D2266" s="3928" t="s">
        <v>7138</v>
      </c>
      <c r="E2266" s="3928" t="s">
        <v>7139</v>
      </c>
      <c r="F2266" s="3928" t="s">
        <v>2424</v>
      </c>
      <c r="G2266" s="3928" t="s">
        <v>24</v>
      </c>
      <c r="H2266" s="3928" t="s">
        <v>24</v>
      </c>
      <c r="I2266" s="3928" t="s">
        <v>857</v>
      </c>
    </row>
    <row r="2267" spans="1:9" ht="11.25" customHeight="1">
      <c r="A2267" s="3928" t="s">
        <v>2258</v>
      </c>
      <c r="B2267" s="3928" t="s">
        <v>14</v>
      </c>
      <c r="C2267" s="3928" t="s">
        <v>6403</v>
      </c>
      <c r="D2267" s="3928" t="s">
        <v>6404</v>
      </c>
      <c r="E2267" s="3928" t="s">
        <v>6405</v>
      </c>
      <c r="F2267" s="3928" t="s">
        <v>2304</v>
      </c>
      <c r="G2267" s="3928" t="s">
        <v>24</v>
      </c>
      <c r="H2267" s="3928" t="s">
        <v>2263</v>
      </c>
      <c r="I2267" s="3928" t="s">
        <v>857</v>
      </c>
    </row>
    <row r="2268" spans="1:9" ht="11.25" customHeight="1">
      <c r="A2268" s="3928" t="s">
        <v>2258</v>
      </c>
      <c r="B2268" s="3928" t="s">
        <v>14</v>
      </c>
      <c r="C2268" s="3928" t="s">
        <v>4336</v>
      </c>
      <c r="D2268" s="3928" t="s">
        <v>4337</v>
      </c>
      <c r="E2268" s="3928" t="s">
        <v>4338</v>
      </c>
      <c r="F2268" s="3928" t="s">
        <v>2289</v>
      </c>
      <c r="G2268" s="3928" t="s">
        <v>4339</v>
      </c>
      <c r="H2268" s="3928" t="s">
        <v>24</v>
      </c>
      <c r="I2268" s="3928" t="s">
        <v>857</v>
      </c>
    </row>
    <row r="2269" spans="1:9" ht="11.25" customHeight="1">
      <c r="A2269" s="3928" t="s">
        <v>2258</v>
      </c>
      <c r="B2269" s="3928" t="s">
        <v>14</v>
      </c>
      <c r="C2269" s="3928" t="s">
        <v>4343</v>
      </c>
      <c r="D2269" s="3928" t="s">
        <v>4344</v>
      </c>
      <c r="E2269" s="3928" t="s">
        <v>4345</v>
      </c>
      <c r="F2269" s="3928" t="s">
        <v>2567</v>
      </c>
      <c r="G2269" s="3928" t="s">
        <v>2630</v>
      </c>
      <c r="H2269" s="3928" t="s">
        <v>24</v>
      </c>
      <c r="I2269" s="3928" t="s">
        <v>857</v>
      </c>
    </row>
    <row r="2270" spans="1:9" ht="11.25" customHeight="1">
      <c r="A2270" s="3928" t="s">
        <v>2258</v>
      </c>
      <c r="B2270" s="3928" t="s">
        <v>14</v>
      </c>
      <c r="C2270" s="3928" t="s">
        <v>4346</v>
      </c>
      <c r="D2270" s="3928" t="s">
        <v>4347</v>
      </c>
      <c r="E2270" s="3928" t="s">
        <v>4348</v>
      </c>
      <c r="F2270" s="3928" t="s">
        <v>2826</v>
      </c>
      <c r="G2270" s="3928" t="s">
        <v>4349</v>
      </c>
      <c r="H2270" s="3928" t="s">
        <v>24</v>
      </c>
      <c r="I2270" s="3928" t="s">
        <v>857</v>
      </c>
    </row>
    <row r="2271" spans="1:9" ht="11.25" customHeight="1">
      <c r="A2271" s="3928" t="s">
        <v>2258</v>
      </c>
      <c r="B2271" s="3928" t="s">
        <v>14</v>
      </c>
      <c r="C2271" s="3928" t="s">
        <v>4354</v>
      </c>
      <c r="D2271" s="3928" t="s">
        <v>4355</v>
      </c>
      <c r="E2271" s="3928" t="s">
        <v>4356</v>
      </c>
      <c r="F2271" s="3928" t="s">
        <v>49</v>
      </c>
      <c r="G2271" s="3928" t="s">
        <v>4357</v>
      </c>
      <c r="H2271" s="3928" t="s">
        <v>4358</v>
      </c>
      <c r="I2271" s="3928" t="s">
        <v>857</v>
      </c>
    </row>
    <row r="2272" spans="1:9" ht="11.25" customHeight="1">
      <c r="A2272" s="3928" t="s">
        <v>2258</v>
      </c>
      <c r="B2272" s="3928" t="s">
        <v>14</v>
      </c>
      <c r="C2272" s="3928" t="s">
        <v>4359</v>
      </c>
      <c r="D2272" s="3928" t="s">
        <v>4355</v>
      </c>
      <c r="E2272" s="3928" t="s">
        <v>4360</v>
      </c>
      <c r="F2272" s="3928" t="s">
        <v>49</v>
      </c>
      <c r="G2272" s="3928" t="s">
        <v>4361</v>
      </c>
      <c r="H2272" s="3928" t="s">
        <v>24</v>
      </c>
      <c r="I2272" s="3928" t="s">
        <v>857</v>
      </c>
    </row>
    <row r="2273" spans="1:9" ht="11.25" customHeight="1">
      <c r="A2273" s="3928" t="s">
        <v>2258</v>
      </c>
      <c r="B2273" s="3928" t="s">
        <v>14</v>
      </c>
      <c r="C2273" s="3928" t="s">
        <v>6406</v>
      </c>
      <c r="D2273" s="3928" t="s">
        <v>6407</v>
      </c>
      <c r="E2273" s="3928" t="s">
        <v>6408</v>
      </c>
      <c r="F2273" s="3928" t="s">
        <v>4721</v>
      </c>
      <c r="G2273" s="3928" t="s">
        <v>6409</v>
      </c>
      <c r="H2273" s="3928" t="s">
        <v>24</v>
      </c>
      <c r="I2273" s="3928" t="s">
        <v>857</v>
      </c>
    </row>
    <row r="2274" spans="1:9" ht="11.25" customHeight="1">
      <c r="A2274" s="3928" t="s">
        <v>2258</v>
      </c>
      <c r="B2274" s="3928" t="s">
        <v>14</v>
      </c>
      <c r="C2274" s="3928" t="s">
        <v>7140</v>
      </c>
      <c r="D2274" s="3928" t="s">
        <v>7141</v>
      </c>
      <c r="E2274" s="3928" t="s">
        <v>7142</v>
      </c>
      <c r="F2274" s="3928" t="s">
        <v>2409</v>
      </c>
      <c r="G2274" s="3928" t="s">
        <v>24</v>
      </c>
      <c r="H2274" s="3928" t="s">
        <v>24</v>
      </c>
      <c r="I2274" s="3928" t="s">
        <v>857</v>
      </c>
    </row>
    <row r="2275" spans="1:9" ht="11.25" customHeight="1">
      <c r="A2275" s="3928" t="s">
        <v>2258</v>
      </c>
      <c r="B2275" s="3928" t="s">
        <v>14</v>
      </c>
      <c r="C2275" s="3928" t="s">
        <v>7143</v>
      </c>
      <c r="D2275" s="3928" t="s">
        <v>7144</v>
      </c>
      <c r="E2275" s="3928" t="s">
        <v>7145</v>
      </c>
      <c r="F2275" s="3928" t="s">
        <v>2414</v>
      </c>
      <c r="G2275" s="3928" t="s">
        <v>24</v>
      </c>
      <c r="H2275" s="3928" t="s">
        <v>24</v>
      </c>
      <c r="I2275" s="3928" t="s">
        <v>857</v>
      </c>
    </row>
    <row r="2276" spans="1:9" ht="11.25" customHeight="1">
      <c r="A2276" s="3928" t="s">
        <v>2258</v>
      </c>
      <c r="B2276" s="3928" t="s">
        <v>14</v>
      </c>
      <c r="C2276" s="3928" t="s">
        <v>7146</v>
      </c>
      <c r="D2276" s="3928" t="s">
        <v>7147</v>
      </c>
      <c r="E2276" s="3928" t="s">
        <v>7148</v>
      </c>
      <c r="F2276" s="3928" t="s">
        <v>2796</v>
      </c>
      <c r="G2276" s="3928" t="s">
        <v>7149</v>
      </c>
      <c r="H2276" s="3928" t="s">
        <v>24</v>
      </c>
      <c r="I2276" s="3928" t="s">
        <v>857</v>
      </c>
    </row>
    <row r="2277" spans="1:9" ht="11.25" customHeight="1">
      <c r="A2277" s="3928" t="s">
        <v>2258</v>
      </c>
      <c r="B2277" s="3928" t="s">
        <v>14</v>
      </c>
      <c r="C2277" s="3928" t="s">
        <v>4374</v>
      </c>
      <c r="D2277" s="3928" t="s">
        <v>4375</v>
      </c>
      <c r="E2277" s="3928" t="s">
        <v>4376</v>
      </c>
      <c r="F2277" s="3928" t="s">
        <v>2567</v>
      </c>
      <c r="G2277" s="3928" t="s">
        <v>4377</v>
      </c>
      <c r="H2277" s="3928" t="s">
        <v>24</v>
      </c>
      <c r="I2277" s="3928" t="s">
        <v>857</v>
      </c>
    </row>
    <row r="2278" spans="1:9" ht="11.25" customHeight="1">
      <c r="A2278" s="3928" t="s">
        <v>2258</v>
      </c>
      <c r="B2278" s="3928" t="s">
        <v>14</v>
      </c>
      <c r="C2278" s="3928" t="s">
        <v>7150</v>
      </c>
      <c r="D2278" s="3928" t="s">
        <v>7151</v>
      </c>
      <c r="E2278" s="3928" t="s">
        <v>7152</v>
      </c>
      <c r="F2278" s="3928" t="s">
        <v>4226</v>
      </c>
      <c r="G2278" s="3928" t="s">
        <v>24</v>
      </c>
      <c r="H2278" s="3928" t="s">
        <v>2263</v>
      </c>
      <c r="I2278" s="3928" t="s">
        <v>857</v>
      </c>
    </row>
    <row r="2279" spans="1:9" ht="11.25" customHeight="1">
      <c r="A2279" s="3928" t="s">
        <v>2258</v>
      </c>
      <c r="B2279" s="3928" t="s">
        <v>14</v>
      </c>
      <c r="C2279" s="3928" t="s">
        <v>7153</v>
      </c>
      <c r="D2279" s="3928" t="s">
        <v>7151</v>
      </c>
      <c r="E2279" s="3928" t="s">
        <v>7152</v>
      </c>
      <c r="F2279" s="3928" t="s">
        <v>2907</v>
      </c>
      <c r="G2279" s="3928" t="s">
        <v>24</v>
      </c>
      <c r="H2279" s="3928" t="s">
        <v>24</v>
      </c>
      <c r="I2279" s="3928" t="s">
        <v>857</v>
      </c>
    </row>
    <row r="2280" spans="1:9" ht="11.25" customHeight="1">
      <c r="A2280" s="3928" t="s">
        <v>2258</v>
      </c>
      <c r="B2280" s="3928" t="s">
        <v>14</v>
      </c>
      <c r="C2280" s="3928" t="s">
        <v>7154</v>
      </c>
      <c r="D2280" s="3928" t="s">
        <v>7155</v>
      </c>
      <c r="E2280" s="3928" t="s">
        <v>7156</v>
      </c>
      <c r="F2280" s="3928" t="s">
        <v>2409</v>
      </c>
      <c r="G2280" s="3928" t="s">
        <v>7157</v>
      </c>
      <c r="H2280" s="3928" t="s">
        <v>24</v>
      </c>
      <c r="I2280" s="3928" t="s">
        <v>857</v>
      </c>
    </row>
    <row r="2281" spans="1:9" ht="11.25" customHeight="1">
      <c r="A2281" s="3928" t="s">
        <v>2258</v>
      </c>
      <c r="B2281" s="3928" t="s">
        <v>14</v>
      </c>
      <c r="C2281" s="3928" t="s">
        <v>7158</v>
      </c>
      <c r="D2281" s="3928" t="s">
        <v>7159</v>
      </c>
      <c r="E2281" s="3928" t="s">
        <v>7160</v>
      </c>
      <c r="F2281" s="3928" t="s">
        <v>2289</v>
      </c>
      <c r="G2281" s="3928" t="s">
        <v>7161</v>
      </c>
      <c r="H2281" s="3928" t="s">
        <v>24</v>
      </c>
      <c r="I2281" s="3928" t="s">
        <v>857</v>
      </c>
    </row>
    <row r="2282" spans="1:9" ht="11.25" customHeight="1">
      <c r="A2282" s="3928" t="s">
        <v>2258</v>
      </c>
      <c r="B2282" s="3928" t="s">
        <v>14</v>
      </c>
      <c r="C2282" s="3928" t="s">
        <v>7162</v>
      </c>
      <c r="D2282" s="3928" t="s">
        <v>7163</v>
      </c>
      <c r="E2282" s="3928" t="s">
        <v>7164</v>
      </c>
      <c r="F2282" s="3928" t="s">
        <v>4839</v>
      </c>
      <c r="G2282" s="3928" t="s">
        <v>7165</v>
      </c>
      <c r="H2282" s="3928" t="s">
        <v>7166</v>
      </c>
      <c r="I2282" s="3928" t="s">
        <v>857</v>
      </c>
    </row>
    <row r="2283" spans="1:9" ht="11.25" customHeight="1">
      <c r="A2283" s="3928" t="s">
        <v>2258</v>
      </c>
      <c r="B2283" s="3928" t="s">
        <v>14</v>
      </c>
      <c r="C2283" s="3928" t="s">
        <v>7167</v>
      </c>
      <c r="D2283" s="3928" t="s">
        <v>7168</v>
      </c>
      <c r="E2283" s="3928" t="s">
        <v>7169</v>
      </c>
      <c r="F2283" s="3928" t="s">
        <v>2397</v>
      </c>
      <c r="G2283" s="3928" t="s">
        <v>7170</v>
      </c>
      <c r="H2283" s="3928" t="s">
        <v>24</v>
      </c>
      <c r="I2283" s="3928" t="s">
        <v>857</v>
      </c>
    </row>
    <row r="2284" spans="1:9" ht="11.25" customHeight="1">
      <c r="A2284" s="3928" t="s">
        <v>2258</v>
      </c>
      <c r="B2284" s="3928" t="s">
        <v>14</v>
      </c>
      <c r="C2284" s="3928" t="s">
        <v>4381</v>
      </c>
      <c r="D2284" s="3928" t="s">
        <v>4382</v>
      </c>
      <c r="E2284" s="3928" t="s">
        <v>4383</v>
      </c>
      <c r="F2284" s="3928" t="s">
        <v>2294</v>
      </c>
      <c r="G2284" s="3928" t="s">
        <v>4384</v>
      </c>
      <c r="H2284" s="3928" t="s">
        <v>24</v>
      </c>
      <c r="I2284" s="3928" t="s">
        <v>857</v>
      </c>
    </row>
    <row r="2285" spans="1:9" ht="11.25" customHeight="1">
      <c r="A2285" s="3928" t="s">
        <v>2258</v>
      </c>
      <c r="B2285" s="3928" t="s">
        <v>14</v>
      </c>
      <c r="C2285" s="3928" t="s">
        <v>7171</v>
      </c>
      <c r="D2285" s="3928" t="s">
        <v>4393</v>
      </c>
      <c r="E2285" s="3928" t="s">
        <v>7172</v>
      </c>
      <c r="F2285" s="3928" t="s">
        <v>2325</v>
      </c>
      <c r="G2285" s="3928" t="s">
        <v>24</v>
      </c>
      <c r="H2285" s="3928" t="s">
        <v>7173</v>
      </c>
      <c r="I2285" s="3928" t="s">
        <v>857</v>
      </c>
    </row>
    <row r="2286" spans="1:9" ht="11.25" customHeight="1">
      <c r="A2286" s="3928" t="s">
        <v>2258</v>
      </c>
      <c r="B2286" s="3928" t="s">
        <v>14</v>
      </c>
      <c r="C2286" s="3928" t="s">
        <v>4396</v>
      </c>
      <c r="D2286" s="3928" t="s">
        <v>4397</v>
      </c>
      <c r="E2286" s="3928" t="s">
        <v>4398</v>
      </c>
      <c r="F2286" s="3928" t="s">
        <v>49</v>
      </c>
      <c r="G2286" s="3928" t="s">
        <v>24</v>
      </c>
      <c r="H2286" s="3928" t="s">
        <v>24</v>
      </c>
      <c r="I2286" s="3928" t="s">
        <v>857</v>
      </c>
    </row>
    <row r="2287" spans="1:9" ht="11.25" customHeight="1">
      <c r="A2287" s="3928" t="s">
        <v>2258</v>
      </c>
      <c r="B2287" s="3928" t="s">
        <v>14</v>
      </c>
      <c r="C2287" s="3928" t="s">
        <v>7174</v>
      </c>
      <c r="D2287" s="3928" t="s">
        <v>7175</v>
      </c>
      <c r="E2287" s="3928" t="s">
        <v>7176</v>
      </c>
      <c r="F2287" s="3928" t="s">
        <v>2294</v>
      </c>
      <c r="G2287" s="3928" t="s">
        <v>24</v>
      </c>
      <c r="H2287" s="3928" t="s">
        <v>2848</v>
      </c>
      <c r="I2287" s="3928" t="s">
        <v>857</v>
      </c>
    </row>
    <row r="2288" spans="1:9" ht="11.25" customHeight="1">
      <c r="A2288" s="3928" t="s">
        <v>2258</v>
      </c>
      <c r="B2288" s="3928" t="s">
        <v>14</v>
      </c>
      <c r="C2288" s="3928" t="s">
        <v>7177</v>
      </c>
      <c r="D2288" s="3928" t="s">
        <v>7178</v>
      </c>
      <c r="E2288" s="3928" t="s">
        <v>7179</v>
      </c>
      <c r="F2288" s="3928" t="s">
        <v>2289</v>
      </c>
      <c r="G2288" s="3928" t="s">
        <v>24</v>
      </c>
      <c r="H2288" s="3928" t="s">
        <v>2263</v>
      </c>
      <c r="I2288" s="3928" t="s">
        <v>857</v>
      </c>
    </row>
    <row r="2289" spans="1:9" ht="11.25" customHeight="1">
      <c r="A2289" s="3928" t="s">
        <v>2258</v>
      </c>
      <c r="B2289" s="3928" t="s">
        <v>14</v>
      </c>
      <c r="C2289" s="3928" t="s">
        <v>7180</v>
      </c>
      <c r="D2289" s="3928" t="s">
        <v>7181</v>
      </c>
      <c r="E2289" s="3928" t="s">
        <v>7182</v>
      </c>
      <c r="F2289" s="3928" t="s">
        <v>3051</v>
      </c>
      <c r="G2289" s="3928" t="s">
        <v>24</v>
      </c>
      <c r="H2289" s="3928" t="s">
        <v>2263</v>
      </c>
      <c r="I2289" s="3928" t="s">
        <v>857</v>
      </c>
    </row>
    <row r="2290" spans="1:9" ht="11.25" customHeight="1">
      <c r="A2290" s="3928" t="s">
        <v>2258</v>
      </c>
      <c r="B2290" s="3928" t="s">
        <v>14</v>
      </c>
      <c r="C2290" s="3928" t="s">
        <v>7183</v>
      </c>
      <c r="D2290" s="3928" t="s">
        <v>7184</v>
      </c>
      <c r="E2290" s="3928" t="s">
        <v>7185</v>
      </c>
      <c r="F2290" s="3928" t="s">
        <v>2294</v>
      </c>
      <c r="G2290" s="3928" t="s">
        <v>7186</v>
      </c>
      <c r="H2290" s="3928" t="s">
        <v>24</v>
      </c>
      <c r="I2290" s="3928" t="s">
        <v>857</v>
      </c>
    </row>
    <row r="2291" spans="1:9" ht="11.25" customHeight="1">
      <c r="A2291" s="3928" t="s">
        <v>2258</v>
      </c>
      <c r="B2291" s="3928" t="s">
        <v>14</v>
      </c>
      <c r="C2291" s="3928" t="s">
        <v>4402</v>
      </c>
      <c r="D2291" s="3928" t="s">
        <v>4403</v>
      </c>
      <c r="E2291" s="3928" t="s">
        <v>4404</v>
      </c>
      <c r="F2291" s="3928" t="s">
        <v>2309</v>
      </c>
      <c r="G2291" s="3928" t="s">
        <v>2443</v>
      </c>
      <c r="H2291" s="3928" t="s">
        <v>24</v>
      </c>
      <c r="I2291" s="3928" t="s">
        <v>857</v>
      </c>
    </row>
    <row r="2292" spans="1:9" ht="11.25" customHeight="1">
      <c r="A2292" s="3928" t="s">
        <v>2258</v>
      </c>
      <c r="B2292" s="3928" t="s">
        <v>14</v>
      </c>
      <c r="C2292" s="3928" t="s">
        <v>4407</v>
      </c>
      <c r="D2292" s="3928" t="s">
        <v>4403</v>
      </c>
      <c r="E2292" s="3928" t="s">
        <v>4406</v>
      </c>
      <c r="F2292" s="3928" t="s">
        <v>4408</v>
      </c>
      <c r="G2292" s="3928" t="s">
        <v>4409</v>
      </c>
      <c r="H2292" s="3928" t="s">
        <v>24</v>
      </c>
      <c r="I2292" s="3928" t="s">
        <v>857</v>
      </c>
    </row>
    <row r="2293" spans="1:9" ht="11.25" customHeight="1">
      <c r="A2293" s="3928" t="s">
        <v>2258</v>
      </c>
      <c r="B2293" s="3928" t="s">
        <v>14</v>
      </c>
      <c r="C2293" s="3928" t="s">
        <v>4418</v>
      </c>
      <c r="D2293" s="3928" t="s">
        <v>4419</v>
      </c>
      <c r="E2293" s="3928" t="s">
        <v>4420</v>
      </c>
      <c r="F2293" s="3928" t="s">
        <v>2325</v>
      </c>
      <c r="G2293" s="3928" t="s">
        <v>4421</v>
      </c>
      <c r="H2293" s="3928" t="s">
        <v>24</v>
      </c>
      <c r="I2293" s="3928" t="s">
        <v>857</v>
      </c>
    </row>
    <row r="2294" spans="1:9" ht="11.25" customHeight="1">
      <c r="A2294" s="3928" t="s">
        <v>2258</v>
      </c>
      <c r="B2294" s="3928" t="s">
        <v>14</v>
      </c>
      <c r="C2294" s="3928" t="s">
        <v>4422</v>
      </c>
      <c r="D2294" s="3928" t="s">
        <v>4423</v>
      </c>
      <c r="E2294" s="3928" t="s">
        <v>4424</v>
      </c>
      <c r="F2294" s="3928" t="s">
        <v>2289</v>
      </c>
      <c r="G2294" s="3928" t="s">
        <v>24</v>
      </c>
      <c r="H2294" s="3928" t="s">
        <v>24</v>
      </c>
      <c r="I2294" s="3928" t="s">
        <v>857</v>
      </c>
    </row>
    <row r="2295" spans="1:9" ht="11.25" customHeight="1">
      <c r="A2295" s="3928" t="s">
        <v>2258</v>
      </c>
      <c r="B2295" s="3928" t="s">
        <v>14</v>
      </c>
      <c r="C2295" s="3928" t="s">
        <v>7187</v>
      </c>
      <c r="D2295" s="3928" t="s">
        <v>7188</v>
      </c>
      <c r="E2295" s="3928" t="s">
        <v>7189</v>
      </c>
      <c r="F2295" s="3928" t="s">
        <v>2309</v>
      </c>
      <c r="G2295" s="3928" t="s">
        <v>24</v>
      </c>
      <c r="H2295" s="3928" t="s">
        <v>7190</v>
      </c>
      <c r="I2295" s="3928" t="s">
        <v>857</v>
      </c>
    </row>
    <row r="2296" spans="1:9" ht="11.25" customHeight="1">
      <c r="A2296" s="3928" t="s">
        <v>2258</v>
      </c>
      <c r="B2296" s="3928" t="s">
        <v>14</v>
      </c>
      <c r="C2296" s="3928" t="s">
        <v>7191</v>
      </c>
      <c r="D2296" s="3928" t="s">
        <v>7192</v>
      </c>
      <c r="E2296" s="3928" t="s">
        <v>7193</v>
      </c>
      <c r="F2296" s="3928" t="s">
        <v>2325</v>
      </c>
      <c r="G2296" s="3928" t="s">
        <v>24</v>
      </c>
      <c r="H2296" s="3928" t="s">
        <v>2848</v>
      </c>
      <c r="I2296" s="3928" t="s">
        <v>857</v>
      </c>
    </row>
    <row r="2297" spans="1:9" ht="11.25" customHeight="1">
      <c r="A2297" s="3928" t="s">
        <v>2258</v>
      </c>
      <c r="B2297" s="3928" t="s">
        <v>14</v>
      </c>
      <c r="C2297" s="3928" t="s">
        <v>7194</v>
      </c>
      <c r="D2297" s="3928" t="s">
        <v>7195</v>
      </c>
      <c r="E2297" s="3928" t="s">
        <v>7196</v>
      </c>
      <c r="F2297" s="3928" t="s">
        <v>7197</v>
      </c>
      <c r="G2297" s="3928" t="s">
        <v>24</v>
      </c>
      <c r="H2297" s="3928" t="s">
        <v>24</v>
      </c>
      <c r="I2297" s="3928" t="s">
        <v>857</v>
      </c>
    </row>
    <row r="2298" spans="1:9" ht="11.25" customHeight="1">
      <c r="A2298" s="3928" t="s">
        <v>2258</v>
      </c>
      <c r="B2298" s="3928" t="s">
        <v>14</v>
      </c>
      <c r="C2298" s="3928" t="s">
        <v>7198</v>
      </c>
      <c r="D2298" s="3928" t="s">
        <v>7199</v>
      </c>
      <c r="E2298" s="3928" t="s">
        <v>7200</v>
      </c>
      <c r="F2298" s="3928" t="s">
        <v>2638</v>
      </c>
      <c r="G2298" s="3928" t="s">
        <v>2443</v>
      </c>
      <c r="H2298" s="3928" t="s">
        <v>24</v>
      </c>
      <c r="I2298" s="3928" t="s">
        <v>857</v>
      </c>
    </row>
    <row r="2299" spans="1:9" ht="11.25" customHeight="1">
      <c r="A2299" s="3928" t="s">
        <v>2258</v>
      </c>
      <c r="B2299" s="3928" t="s">
        <v>14</v>
      </c>
      <c r="C2299" s="3928" t="s">
        <v>7201</v>
      </c>
      <c r="D2299" s="3928" t="s">
        <v>7202</v>
      </c>
      <c r="E2299" s="3928" t="s">
        <v>7203</v>
      </c>
      <c r="F2299" s="3928" t="s">
        <v>2325</v>
      </c>
      <c r="G2299" s="3928" t="s">
        <v>24</v>
      </c>
      <c r="H2299" s="3928" t="s">
        <v>2848</v>
      </c>
      <c r="I2299" s="3928" t="s">
        <v>857</v>
      </c>
    </row>
    <row r="2300" spans="1:9" ht="11.25" customHeight="1">
      <c r="A2300" s="3928" t="s">
        <v>2258</v>
      </c>
      <c r="B2300" s="3928" t="s">
        <v>14</v>
      </c>
      <c r="C2300" s="3928" t="s">
        <v>7204</v>
      </c>
      <c r="D2300" s="3928" t="s">
        <v>7205</v>
      </c>
      <c r="E2300" s="3928" t="s">
        <v>7206</v>
      </c>
      <c r="F2300" s="3928" t="s">
        <v>2299</v>
      </c>
      <c r="G2300" s="3928" t="s">
        <v>7207</v>
      </c>
      <c r="H2300" s="3928" t="s">
        <v>24</v>
      </c>
      <c r="I2300" s="3928" t="s">
        <v>857</v>
      </c>
    </row>
    <row r="2301" spans="1:9" ht="11.25" customHeight="1">
      <c r="A2301" s="3928" t="s">
        <v>2258</v>
      </c>
      <c r="B2301" s="3928" t="s">
        <v>14</v>
      </c>
      <c r="C2301" s="3928" t="s">
        <v>4446</v>
      </c>
      <c r="D2301" s="3928" t="s">
        <v>4447</v>
      </c>
      <c r="E2301" s="3928" t="s">
        <v>4448</v>
      </c>
      <c r="F2301" s="3928" t="s">
        <v>2771</v>
      </c>
      <c r="G2301" s="3928" t="s">
        <v>4449</v>
      </c>
      <c r="H2301" s="3928" t="s">
        <v>2263</v>
      </c>
      <c r="I2301" s="3928" t="s">
        <v>857</v>
      </c>
    </row>
    <row r="2302" spans="1:9" ht="11.25" customHeight="1">
      <c r="A2302" s="3928" t="s">
        <v>2258</v>
      </c>
      <c r="B2302" s="3928" t="s">
        <v>14</v>
      </c>
      <c r="C2302" s="3928" t="s">
        <v>4450</v>
      </c>
      <c r="D2302" s="3928" t="s">
        <v>4451</v>
      </c>
      <c r="E2302" s="3928" t="s">
        <v>4452</v>
      </c>
      <c r="F2302" s="3928" t="s">
        <v>2675</v>
      </c>
      <c r="G2302" s="3928" t="s">
        <v>24</v>
      </c>
      <c r="H2302" s="3928" t="s">
        <v>2263</v>
      </c>
      <c r="I2302" s="3928" t="s">
        <v>857</v>
      </c>
    </row>
    <row r="2303" spans="1:9" ht="11.25" customHeight="1">
      <c r="A2303" s="3928" t="s">
        <v>2258</v>
      </c>
      <c r="B2303" s="3928" t="s">
        <v>14</v>
      </c>
      <c r="C2303" s="3928" t="s">
        <v>7208</v>
      </c>
      <c r="D2303" s="3928" t="s">
        <v>7209</v>
      </c>
      <c r="E2303" s="3928" t="s">
        <v>7210</v>
      </c>
      <c r="F2303" s="3928" t="s">
        <v>2409</v>
      </c>
      <c r="G2303" s="3928" t="s">
        <v>5953</v>
      </c>
      <c r="H2303" s="3928" t="s">
        <v>2945</v>
      </c>
      <c r="I2303" s="3928" t="s">
        <v>857</v>
      </c>
    </row>
    <row r="2304" spans="1:9" ht="11.25" customHeight="1">
      <c r="A2304" s="3928" t="s">
        <v>2258</v>
      </c>
      <c r="B2304" s="3928" t="s">
        <v>14</v>
      </c>
      <c r="C2304" s="3928" t="s">
        <v>4457</v>
      </c>
      <c r="D2304" s="3928" t="s">
        <v>4458</v>
      </c>
      <c r="E2304" s="3928" t="s">
        <v>4459</v>
      </c>
      <c r="F2304" s="3928" t="s">
        <v>2375</v>
      </c>
      <c r="G2304" s="3928" t="s">
        <v>24</v>
      </c>
      <c r="H2304" s="3928" t="s">
        <v>24</v>
      </c>
      <c r="I2304" s="3928" t="s">
        <v>857</v>
      </c>
    </row>
    <row r="2305" spans="1:9" ht="11.25" customHeight="1">
      <c r="A2305" s="3928" t="s">
        <v>2258</v>
      </c>
      <c r="B2305" s="3928" t="s">
        <v>14</v>
      </c>
      <c r="C2305" s="3928" t="s">
        <v>4460</v>
      </c>
      <c r="D2305" s="3928" t="s">
        <v>4461</v>
      </c>
      <c r="E2305" s="3928" t="s">
        <v>4462</v>
      </c>
      <c r="F2305" s="3928" t="s">
        <v>2325</v>
      </c>
      <c r="G2305" s="3928" t="s">
        <v>24</v>
      </c>
      <c r="H2305" s="3928" t="s">
        <v>24</v>
      </c>
      <c r="I2305" s="3928" t="s">
        <v>857</v>
      </c>
    </row>
    <row r="2306" spans="1:9" ht="11.25" customHeight="1">
      <c r="A2306" s="3928" t="s">
        <v>2258</v>
      </c>
      <c r="B2306" s="3928" t="s">
        <v>14</v>
      </c>
      <c r="C2306" s="3928" t="s">
        <v>7211</v>
      </c>
      <c r="D2306" s="3928" t="s">
        <v>7212</v>
      </c>
      <c r="E2306" s="3928" t="s">
        <v>7213</v>
      </c>
      <c r="F2306" s="3928" t="s">
        <v>2294</v>
      </c>
      <c r="G2306" s="3928" t="s">
        <v>7214</v>
      </c>
      <c r="H2306" s="3928" t="s">
        <v>7215</v>
      </c>
      <c r="I2306" s="3928" t="s">
        <v>857</v>
      </c>
    </row>
    <row r="2307" spans="1:9" ht="11.25" customHeight="1">
      <c r="A2307" s="3928" t="s">
        <v>2258</v>
      </c>
      <c r="B2307" s="3928" t="s">
        <v>14</v>
      </c>
      <c r="C2307" s="3928" t="s">
        <v>4467</v>
      </c>
      <c r="D2307" s="3928" t="s">
        <v>4468</v>
      </c>
      <c r="E2307" s="3928" t="s">
        <v>4469</v>
      </c>
      <c r="F2307" s="3928" t="s">
        <v>2397</v>
      </c>
      <c r="G2307" s="3928" t="s">
        <v>24</v>
      </c>
      <c r="H2307" s="3928" t="s">
        <v>2263</v>
      </c>
      <c r="I2307" s="3928" t="s">
        <v>857</v>
      </c>
    </row>
    <row r="2308" spans="1:9" ht="11.25" customHeight="1">
      <c r="A2308" s="3928" t="s">
        <v>2258</v>
      </c>
      <c r="B2308" s="3928" t="s">
        <v>14</v>
      </c>
      <c r="C2308" s="3928" t="s">
        <v>4470</v>
      </c>
      <c r="D2308" s="3928" t="s">
        <v>4468</v>
      </c>
      <c r="E2308" s="3928" t="s">
        <v>4471</v>
      </c>
      <c r="F2308" s="3928" t="s">
        <v>2262</v>
      </c>
      <c r="G2308" s="3928" t="s">
        <v>4472</v>
      </c>
      <c r="H2308" s="3928" t="s">
        <v>24</v>
      </c>
      <c r="I2308" s="3928" t="s">
        <v>857</v>
      </c>
    </row>
    <row r="2309" spans="1:9" ht="11.25" customHeight="1">
      <c r="A2309" s="3928" t="s">
        <v>2258</v>
      </c>
      <c r="B2309" s="3928" t="s">
        <v>14</v>
      </c>
      <c r="C2309" s="3928" t="s">
        <v>7216</v>
      </c>
      <c r="D2309" s="3928" t="s">
        <v>7217</v>
      </c>
      <c r="E2309" s="3928" t="s">
        <v>7218</v>
      </c>
      <c r="F2309" s="3928" t="s">
        <v>2325</v>
      </c>
      <c r="G2309" s="3928" t="s">
        <v>24</v>
      </c>
      <c r="H2309" s="3928" t="s">
        <v>2848</v>
      </c>
      <c r="I2309" s="3928" t="s">
        <v>857</v>
      </c>
    </row>
    <row r="2310" spans="1:9" ht="11.25" customHeight="1">
      <c r="A2310" s="3928" t="s">
        <v>2258</v>
      </c>
      <c r="B2310" s="3928" t="s">
        <v>14</v>
      </c>
      <c r="C2310" s="3928" t="s">
        <v>7219</v>
      </c>
      <c r="D2310" s="3928" t="s">
        <v>7220</v>
      </c>
      <c r="E2310" s="3928" t="s">
        <v>7221</v>
      </c>
      <c r="F2310" s="3928" t="s">
        <v>2289</v>
      </c>
      <c r="G2310" s="3928" t="s">
        <v>7222</v>
      </c>
      <c r="H2310" s="3928" t="s">
        <v>7223</v>
      </c>
      <c r="I2310" s="3928" t="s">
        <v>857</v>
      </c>
    </row>
    <row r="2311" spans="1:9" ht="11.25" customHeight="1">
      <c r="A2311" s="3928" t="s">
        <v>2258</v>
      </c>
      <c r="B2311" s="3928" t="s">
        <v>14</v>
      </c>
      <c r="C2311" s="3928" t="s">
        <v>7224</v>
      </c>
      <c r="D2311" s="3928" t="s">
        <v>7225</v>
      </c>
      <c r="E2311" s="3928" t="s">
        <v>7226</v>
      </c>
      <c r="F2311" s="3928" t="s">
        <v>2414</v>
      </c>
      <c r="G2311" s="3928" t="s">
        <v>24</v>
      </c>
      <c r="H2311" s="3928" t="s">
        <v>24</v>
      </c>
      <c r="I2311" s="3928" t="s">
        <v>857</v>
      </c>
    </row>
    <row r="2312" spans="1:9" ht="11.25" customHeight="1">
      <c r="A2312" s="3928" t="s">
        <v>2258</v>
      </c>
      <c r="B2312" s="3928" t="s">
        <v>14</v>
      </c>
      <c r="C2312" s="3928" t="s">
        <v>7227</v>
      </c>
      <c r="D2312" s="3928" t="s">
        <v>7228</v>
      </c>
      <c r="E2312" s="3928" t="s">
        <v>7229</v>
      </c>
      <c r="F2312" s="3928" t="s">
        <v>2802</v>
      </c>
      <c r="G2312" s="3928" t="s">
        <v>7230</v>
      </c>
      <c r="H2312" s="3928" t="s">
        <v>24</v>
      </c>
      <c r="I2312" s="3928" t="s">
        <v>857</v>
      </c>
    </row>
    <row r="2313" spans="1:9" ht="11.25" customHeight="1">
      <c r="A2313" s="3928" t="s">
        <v>2258</v>
      </c>
      <c r="B2313" s="3928" t="s">
        <v>14</v>
      </c>
      <c r="C2313" s="3928" t="s">
        <v>7231</v>
      </c>
      <c r="D2313" s="3928" t="s">
        <v>7232</v>
      </c>
      <c r="E2313" s="3928" t="s">
        <v>7233</v>
      </c>
      <c r="F2313" s="3928" t="s">
        <v>2325</v>
      </c>
      <c r="G2313" s="3928" t="s">
        <v>24</v>
      </c>
      <c r="H2313" s="3928" t="s">
        <v>7234</v>
      </c>
      <c r="I2313" s="3928" t="s">
        <v>857</v>
      </c>
    </row>
    <row r="2314" spans="1:9" ht="11.25" customHeight="1">
      <c r="A2314" s="3928" t="s">
        <v>2258</v>
      </c>
      <c r="B2314" s="3928" t="s">
        <v>14</v>
      </c>
      <c r="C2314" s="3928" t="s">
        <v>7235</v>
      </c>
      <c r="D2314" s="3928" t="s">
        <v>7236</v>
      </c>
      <c r="E2314" s="3928" t="s">
        <v>7237</v>
      </c>
      <c r="F2314" s="3928" t="s">
        <v>7238</v>
      </c>
      <c r="G2314" s="3928" t="s">
        <v>7239</v>
      </c>
      <c r="H2314" s="3928" t="s">
        <v>24</v>
      </c>
      <c r="I2314" s="3928" t="s">
        <v>857</v>
      </c>
    </row>
    <row r="2315" spans="1:9" ht="11.25" customHeight="1">
      <c r="A2315" s="3928" t="s">
        <v>2258</v>
      </c>
      <c r="B2315" s="3928" t="s">
        <v>14</v>
      </c>
      <c r="C2315" s="3928" t="s">
        <v>7240</v>
      </c>
      <c r="D2315" s="3928" t="s">
        <v>7241</v>
      </c>
      <c r="E2315" s="3928" t="s">
        <v>7242</v>
      </c>
      <c r="F2315" s="3928" t="s">
        <v>2486</v>
      </c>
      <c r="G2315" s="3928" t="s">
        <v>7243</v>
      </c>
      <c r="H2315" s="3928" t="s">
        <v>24</v>
      </c>
      <c r="I2315" s="3928" t="s">
        <v>857</v>
      </c>
    </row>
    <row r="2316" spans="1:9" ht="11.25" customHeight="1">
      <c r="A2316" s="3928" t="s">
        <v>2258</v>
      </c>
      <c r="B2316" s="3928" t="s">
        <v>14</v>
      </c>
      <c r="C2316" s="3928" t="s">
        <v>7244</v>
      </c>
      <c r="D2316" s="3928" t="s">
        <v>7245</v>
      </c>
      <c r="E2316" s="3928" t="s">
        <v>7246</v>
      </c>
      <c r="F2316" s="3928" t="s">
        <v>2469</v>
      </c>
      <c r="G2316" s="3928" t="s">
        <v>6656</v>
      </c>
      <c r="H2316" s="3928" t="s">
        <v>24</v>
      </c>
      <c r="I2316" s="3928" t="s">
        <v>857</v>
      </c>
    </row>
    <row r="2317" spans="1:9" ht="11.25" customHeight="1">
      <c r="A2317" s="3928" t="s">
        <v>2258</v>
      </c>
      <c r="B2317" s="3928" t="s">
        <v>14</v>
      </c>
      <c r="C2317" s="3928" t="s">
        <v>7247</v>
      </c>
      <c r="D2317" s="3928" t="s">
        <v>7248</v>
      </c>
      <c r="E2317" s="3928" t="s">
        <v>7249</v>
      </c>
      <c r="F2317" s="3928" t="s">
        <v>2325</v>
      </c>
      <c r="G2317" s="3928" t="s">
        <v>24</v>
      </c>
      <c r="H2317" s="3928" t="s">
        <v>24</v>
      </c>
      <c r="I2317" s="3928" t="s">
        <v>857</v>
      </c>
    </row>
    <row r="2318" spans="1:9" ht="11.25" customHeight="1">
      <c r="A2318" s="3928" t="s">
        <v>2258</v>
      </c>
      <c r="B2318" s="3928" t="s">
        <v>14</v>
      </c>
      <c r="C2318" s="3928" t="s">
        <v>7250</v>
      </c>
      <c r="D2318" s="3928" t="s">
        <v>7251</v>
      </c>
      <c r="E2318" s="3928" t="s">
        <v>4507</v>
      </c>
      <c r="F2318" s="3928" t="s">
        <v>7252</v>
      </c>
      <c r="G2318" s="3928" t="s">
        <v>24</v>
      </c>
      <c r="H2318" s="3928" t="s">
        <v>7253</v>
      </c>
      <c r="I2318" s="3928" t="s">
        <v>857</v>
      </c>
    </row>
    <row r="2319" spans="1:9" ht="11.25" customHeight="1">
      <c r="A2319" s="3928" t="s">
        <v>2258</v>
      </c>
      <c r="B2319" s="3928" t="s">
        <v>14</v>
      </c>
      <c r="C2319" s="3928" t="s">
        <v>4511</v>
      </c>
      <c r="D2319" s="3928" t="s">
        <v>4512</v>
      </c>
      <c r="E2319" s="3928" t="s">
        <v>4513</v>
      </c>
      <c r="F2319" s="3928" t="s">
        <v>2309</v>
      </c>
      <c r="G2319" s="3928" t="s">
        <v>4514</v>
      </c>
      <c r="H2319" s="3928" t="s">
        <v>24</v>
      </c>
      <c r="I2319" s="3928" t="s">
        <v>857</v>
      </c>
    </row>
    <row r="2320" spans="1:9" ht="11.25" customHeight="1">
      <c r="A2320" s="3928" t="s">
        <v>2258</v>
      </c>
      <c r="B2320" s="3928" t="s">
        <v>14</v>
      </c>
      <c r="C2320" s="3928" t="s">
        <v>7254</v>
      </c>
      <c r="D2320" s="3928" t="s">
        <v>7255</v>
      </c>
      <c r="E2320" s="3928" t="s">
        <v>7256</v>
      </c>
      <c r="F2320" s="3928" t="s">
        <v>2863</v>
      </c>
      <c r="G2320" s="3928" t="s">
        <v>7257</v>
      </c>
      <c r="H2320" s="3928" t="s">
        <v>24</v>
      </c>
      <c r="I2320" s="3928" t="s">
        <v>857</v>
      </c>
    </row>
    <row r="2321" spans="1:9" ht="11.25" customHeight="1">
      <c r="A2321" s="3928" t="s">
        <v>2258</v>
      </c>
      <c r="B2321" s="3928" t="s">
        <v>14</v>
      </c>
      <c r="C2321" s="3928" t="s">
        <v>4524</v>
      </c>
      <c r="D2321" s="3928" t="s">
        <v>4525</v>
      </c>
      <c r="E2321" s="3928" t="s">
        <v>4526</v>
      </c>
      <c r="F2321" s="3928" t="s">
        <v>49</v>
      </c>
      <c r="G2321" s="3928" t="s">
        <v>24</v>
      </c>
      <c r="H2321" s="3928" t="s">
        <v>24</v>
      </c>
      <c r="I2321" s="3928" t="s">
        <v>857</v>
      </c>
    </row>
    <row r="2322" spans="1:9" ht="11.25" customHeight="1">
      <c r="A2322" s="3928" t="s">
        <v>2258</v>
      </c>
      <c r="B2322" s="3928" t="s">
        <v>14</v>
      </c>
      <c r="C2322" s="3928" t="s">
        <v>4527</v>
      </c>
      <c r="D2322" s="3928" t="s">
        <v>4528</v>
      </c>
      <c r="E2322" s="3928" t="s">
        <v>4529</v>
      </c>
      <c r="F2322" s="3928" t="s">
        <v>2419</v>
      </c>
      <c r="G2322" s="3928" t="s">
        <v>3217</v>
      </c>
      <c r="H2322" s="3928" t="s">
        <v>24</v>
      </c>
      <c r="I2322" s="3928" t="s">
        <v>857</v>
      </c>
    </row>
    <row r="2323" spans="1:9" ht="11.25" customHeight="1">
      <c r="A2323" s="3928" t="s">
        <v>2258</v>
      </c>
      <c r="B2323" s="3928" t="s">
        <v>14</v>
      </c>
      <c r="C2323" s="3928" t="s">
        <v>4536</v>
      </c>
      <c r="D2323" s="3928" t="s">
        <v>4537</v>
      </c>
      <c r="E2323" s="3928" t="s">
        <v>4538</v>
      </c>
      <c r="F2323" s="3928" t="s">
        <v>2397</v>
      </c>
      <c r="G2323" s="3928" t="s">
        <v>24</v>
      </c>
      <c r="H2323" s="3928" t="s">
        <v>2475</v>
      </c>
      <c r="I2323" s="3928" t="s">
        <v>857</v>
      </c>
    </row>
    <row r="2324" spans="1:9" ht="11.25" customHeight="1">
      <c r="A2324" s="3928" t="s">
        <v>2258</v>
      </c>
      <c r="B2324" s="3928" t="s">
        <v>14</v>
      </c>
      <c r="C2324" s="3928" t="s">
        <v>7258</v>
      </c>
      <c r="D2324" s="3928" t="s">
        <v>7259</v>
      </c>
      <c r="E2324" s="3928" t="s">
        <v>7260</v>
      </c>
      <c r="F2324" s="3928" t="s">
        <v>2438</v>
      </c>
      <c r="G2324" s="3928" t="s">
        <v>7261</v>
      </c>
      <c r="H2324" s="3928" t="s">
        <v>24</v>
      </c>
      <c r="I2324" s="3928" t="s">
        <v>857</v>
      </c>
    </row>
    <row r="2325" spans="1:9" ht="11.25" customHeight="1">
      <c r="A2325" s="3928" t="s">
        <v>2258</v>
      </c>
      <c r="B2325" s="3928" t="s">
        <v>14</v>
      </c>
      <c r="C2325" s="3928" t="s">
        <v>7262</v>
      </c>
      <c r="D2325" s="3928" t="s">
        <v>7263</v>
      </c>
      <c r="E2325" s="3928" t="s">
        <v>7264</v>
      </c>
      <c r="F2325" s="3928" t="s">
        <v>2289</v>
      </c>
      <c r="G2325" s="3928" t="s">
        <v>7265</v>
      </c>
      <c r="H2325" s="3928" t="s">
        <v>24</v>
      </c>
      <c r="I2325" s="3928" t="s">
        <v>857</v>
      </c>
    </row>
    <row r="2326" spans="1:9" ht="11.25" customHeight="1">
      <c r="A2326" s="3928" t="s">
        <v>2258</v>
      </c>
      <c r="B2326" s="3928" t="s">
        <v>14</v>
      </c>
      <c r="C2326" s="3928" t="s">
        <v>7266</v>
      </c>
      <c r="D2326" s="3928" t="s">
        <v>7267</v>
      </c>
      <c r="E2326" s="3928" t="s">
        <v>7268</v>
      </c>
      <c r="F2326" s="3928" t="s">
        <v>2552</v>
      </c>
      <c r="G2326" s="3928" t="s">
        <v>24</v>
      </c>
      <c r="H2326" s="3928" t="s">
        <v>24</v>
      </c>
      <c r="I2326" s="3928" t="s">
        <v>857</v>
      </c>
    </row>
    <row r="2327" spans="1:9" ht="11.25" customHeight="1">
      <c r="A2327" s="3928" t="s">
        <v>2258</v>
      </c>
      <c r="B2327" s="3928" t="s">
        <v>14</v>
      </c>
      <c r="C2327" s="3928" t="s">
        <v>7269</v>
      </c>
      <c r="D2327" s="3928" t="s">
        <v>7270</v>
      </c>
      <c r="E2327" s="3928" t="s">
        <v>7271</v>
      </c>
      <c r="F2327" s="3928" t="s">
        <v>49</v>
      </c>
      <c r="G2327" s="3928" t="s">
        <v>24</v>
      </c>
      <c r="H2327" s="3928" t="s">
        <v>2848</v>
      </c>
      <c r="I2327" s="3928" t="s">
        <v>857</v>
      </c>
    </row>
    <row r="2328" spans="1:9" ht="11.25" customHeight="1">
      <c r="A2328" s="3928" t="s">
        <v>2258</v>
      </c>
      <c r="B2328" s="3928" t="s">
        <v>14</v>
      </c>
      <c r="C2328" s="3928" t="s">
        <v>7272</v>
      </c>
      <c r="D2328" s="3928" t="s">
        <v>7273</v>
      </c>
      <c r="E2328" s="3928" t="s">
        <v>7274</v>
      </c>
      <c r="F2328" s="3928" t="s">
        <v>49</v>
      </c>
      <c r="G2328" s="3928" t="s">
        <v>24</v>
      </c>
      <c r="H2328" s="3928" t="s">
        <v>24</v>
      </c>
      <c r="I2328" s="3928" t="s">
        <v>857</v>
      </c>
    </row>
    <row r="2329" spans="1:9" ht="11.25" customHeight="1">
      <c r="A2329" s="3928" t="s">
        <v>2258</v>
      </c>
      <c r="B2329" s="3928" t="s">
        <v>14</v>
      </c>
      <c r="C2329" s="3928" t="s">
        <v>7275</v>
      </c>
      <c r="D2329" s="3928" t="s">
        <v>4550</v>
      </c>
      <c r="E2329" s="3928" t="s">
        <v>4551</v>
      </c>
      <c r="F2329" s="3928" t="s">
        <v>7276</v>
      </c>
      <c r="G2329" s="3928" t="s">
        <v>24</v>
      </c>
      <c r="H2329" s="3928" t="s">
        <v>24</v>
      </c>
      <c r="I2329" s="3928" t="s">
        <v>857</v>
      </c>
    </row>
    <row r="2330" spans="1:9" ht="11.25" customHeight="1">
      <c r="A2330" s="3928" t="s">
        <v>2258</v>
      </c>
      <c r="B2330" s="3928" t="s">
        <v>14</v>
      </c>
      <c r="C2330" s="3928" t="s">
        <v>7277</v>
      </c>
      <c r="D2330" s="3928" t="s">
        <v>7278</v>
      </c>
      <c r="E2330" s="3928" t="s">
        <v>7279</v>
      </c>
      <c r="F2330" s="3928" t="s">
        <v>2464</v>
      </c>
      <c r="G2330" s="3928" t="s">
        <v>7280</v>
      </c>
      <c r="H2330" s="3928" t="s">
        <v>24</v>
      </c>
      <c r="I2330" s="3928" t="s">
        <v>857</v>
      </c>
    </row>
    <row r="2331" spans="1:9" ht="11.25" customHeight="1">
      <c r="A2331" s="3928" t="s">
        <v>2258</v>
      </c>
      <c r="B2331" s="3928" t="s">
        <v>14</v>
      </c>
      <c r="C2331" s="3928" t="s">
        <v>7281</v>
      </c>
      <c r="D2331" s="3928" t="s">
        <v>7282</v>
      </c>
      <c r="E2331" s="3928" t="s">
        <v>7283</v>
      </c>
      <c r="F2331" s="3928" t="s">
        <v>2397</v>
      </c>
      <c r="G2331" s="3928" t="s">
        <v>7284</v>
      </c>
      <c r="H2331" s="3928" t="s">
        <v>24</v>
      </c>
      <c r="I2331" s="3928" t="s">
        <v>857</v>
      </c>
    </row>
    <row r="2332" spans="1:9" ht="11.25" customHeight="1">
      <c r="A2332" s="3928" t="s">
        <v>2258</v>
      </c>
      <c r="B2332" s="3928" t="s">
        <v>14</v>
      </c>
      <c r="C2332" s="3928" t="s">
        <v>4572</v>
      </c>
      <c r="D2332" s="3928" t="s">
        <v>4573</v>
      </c>
      <c r="E2332" s="3928" t="s">
        <v>4574</v>
      </c>
      <c r="F2332" s="3928" t="s">
        <v>2424</v>
      </c>
      <c r="G2332" s="3928" t="s">
        <v>24</v>
      </c>
      <c r="H2332" s="3928" t="s">
        <v>24</v>
      </c>
      <c r="I2332" s="3928" t="s">
        <v>857</v>
      </c>
    </row>
    <row r="2333" spans="1:9" ht="11.25" customHeight="1">
      <c r="A2333" s="3928" t="s">
        <v>2258</v>
      </c>
      <c r="B2333" s="3928" t="s">
        <v>14</v>
      </c>
      <c r="C2333" s="3928" t="s">
        <v>4575</v>
      </c>
      <c r="D2333" s="3928" t="s">
        <v>4576</v>
      </c>
      <c r="E2333" s="3928" t="s">
        <v>4577</v>
      </c>
      <c r="F2333" s="3928" t="s">
        <v>2289</v>
      </c>
      <c r="G2333" s="3928" t="s">
        <v>4578</v>
      </c>
      <c r="H2333" s="3928" t="s">
        <v>24</v>
      </c>
      <c r="I2333" s="3928" t="s">
        <v>857</v>
      </c>
    </row>
    <row r="2334" spans="1:9" ht="11.25" customHeight="1">
      <c r="A2334" s="3928" t="s">
        <v>2258</v>
      </c>
      <c r="B2334" s="3928" t="s">
        <v>14</v>
      </c>
      <c r="C2334" s="3928" t="s">
        <v>7285</v>
      </c>
      <c r="D2334" s="3928" t="s">
        <v>7286</v>
      </c>
      <c r="E2334" s="3928" t="s">
        <v>7287</v>
      </c>
      <c r="F2334" s="3928" t="s">
        <v>2675</v>
      </c>
      <c r="G2334" s="3928" t="s">
        <v>24</v>
      </c>
      <c r="H2334" s="3928" t="s">
        <v>6924</v>
      </c>
      <c r="I2334" s="3928" t="s">
        <v>857</v>
      </c>
    </row>
    <row r="2335" spans="1:9" ht="11.25" customHeight="1">
      <c r="A2335" s="3928" t="s">
        <v>2258</v>
      </c>
      <c r="B2335" s="3928" t="s">
        <v>14</v>
      </c>
      <c r="C2335" s="3928" t="s">
        <v>4585</v>
      </c>
      <c r="D2335" s="3928" t="s">
        <v>4586</v>
      </c>
      <c r="E2335" s="3928" t="s">
        <v>4587</v>
      </c>
      <c r="F2335" s="3928" t="s">
        <v>4588</v>
      </c>
      <c r="G2335" s="3928" t="s">
        <v>4436</v>
      </c>
      <c r="H2335" s="3928" t="s">
        <v>24</v>
      </c>
      <c r="I2335" s="3928" t="s">
        <v>857</v>
      </c>
    </row>
    <row r="2336" spans="1:9" ht="11.25" customHeight="1">
      <c r="A2336" s="3928" t="s">
        <v>2258</v>
      </c>
      <c r="B2336" s="3928" t="s">
        <v>14</v>
      </c>
      <c r="C2336" s="3928" t="s">
        <v>7288</v>
      </c>
      <c r="D2336" s="3928" t="s">
        <v>7289</v>
      </c>
      <c r="E2336" s="3928" t="s">
        <v>7290</v>
      </c>
      <c r="F2336" s="3928" t="s">
        <v>2567</v>
      </c>
      <c r="G2336" s="3928" t="s">
        <v>7291</v>
      </c>
      <c r="H2336" s="3928" t="s">
        <v>24</v>
      </c>
      <c r="I2336" s="3928" t="s">
        <v>857</v>
      </c>
    </row>
    <row r="2337" spans="1:9" ht="11.25" customHeight="1">
      <c r="A2337" s="3928" t="s">
        <v>2258</v>
      </c>
      <c r="B2337" s="3928" t="s">
        <v>14</v>
      </c>
      <c r="C2337" s="3928" t="s">
        <v>4589</v>
      </c>
      <c r="D2337" s="3928" t="s">
        <v>4590</v>
      </c>
      <c r="E2337" s="3928" t="s">
        <v>4591</v>
      </c>
      <c r="F2337" s="3928" t="s">
        <v>2701</v>
      </c>
      <c r="G2337" s="3928" t="s">
        <v>24</v>
      </c>
      <c r="H2337" s="3928" t="s">
        <v>2263</v>
      </c>
      <c r="I2337" s="3928" t="s">
        <v>857</v>
      </c>
    </row>
    <row r="2338" spans="1:9" ht="11.25" customHeight="1">
      <c r="A2338" s="3928" t="s">
        <v>2258</v>
      </c>
      <c r="B2338" s="3928" t="s">
        <v>14</v>
      </c>
      <c r="C2338" s="3928" t="s">
        <v>7292</v>
      </c>
      <c r="D2338" s="3928" t="s">
        <v>7293</v>
      </c>
      <c r="E2338" s="3928" t="s">
        <v>7294</v>
      </c>
      <c r="F2338" s="3928" t="s">
        <v>3086</v>
      </c>
      <c r="G2338" s="3928" t="s">
        <v>7295</v>
      </c>
      <c r="H2338" s="3928" t="s">
        <v>24</v>
      </c>
      <c r="I2338" s="3928" t="s">
        <v>857</v>
      </c>
    </row>
    <row r="2339" spans="1:9" ht="11.25" customHeight="1">
      <c r="A2339" s="3928" t="s">
        <v>2258</v>
      </c>
      <c r="B2339" s="3928" t="s">
        <v>14</v>
      </c>
      <c r="C2339" s="3928" t="s">
        <v>7296</v>
      </c>
      <c r="D2339" s="3928" t="s">
        <v>7297</v>
      </c>
      <c r="E2339" s="3928" t="s">
        <v>7294</v>
      </c>
      <c r="F2339" s="3928" t="s">
        <v>7298</v>
      </c>
      <c r="G2339" s="3928" t="s">
        <v>24</v>
      </c>
      <c r="H2339" s="3928" t="s">
        <v>24</v>
      </c>
      <c r="I2339" s="3928" t="s">
        <v>857</v>
      </c>
    </row>
    <row r="2340" spans="1:9" ht="11.25" customHeight="1">
      <c r="A2340" s="3928" t="s">
        <v>2258</v>
      </c>
      <c r="B2340" s="3928" t="s">
        <v>14</v>
      </c>
      <c r="C2340" s="3928" t="s">
        <v>4592</v>
      </c>
      <c r="D2340" s="3928" t="s">
        <v>4593</v>
      </c>
      <c r="E2340" s="3928" t="s">
        <v>4594</v>
      </c>
      <c r="F2340" s="3928" t="s">
        <v>2701</v>
      </c>
      <c r="G2340" s="3928" t="s">
        <v>24</v>
      </c>
      <c r="H2340" s="3928" t="s">
        <v>24</v>
      </c>
      <c r="I2340" s="3928" t="s">
        <v>857</v>
      </c>
    </row>
    <row r="2341" spans="1:9" ht="11.25" customHeight="1">
      <c r="A2341" s="3928" t="s">
        <v>2258</v>
      </c>
      <c r="B2341" s="3928" t="s">
        <v>14</v>
      </c>
      <c r="C2341" s="3928" t="s">
        <v>4595</v>
      </c>
      <c r="D2341" s="3928" t="s">
        <v>4596</v>
      </c>
      <c r="E2341" s="3928" t="s">
        <v>4597</v>
      </c>
      <c r="F2341" s="3928" t="s">
        <v>2701</v>
      </c>
      <c r="G2341" s="3928" t="s">
        <v>4598</v>
      </c>
      <c r="H2341" s="3928" t="s">
        <v>24</v>
      </c>
      <c r="I2341" s="3928" t="s">
        <v>857</v>
      </c>
    </row>
    <row r="2342" spans="1:9" ht="11.25" customHeight="1">
      <c r="A2342" s="3928" t="s">
        <v>2258</v>
      </c>
      <c r="B2342" s="3928" t="s">
        <v>14</v>
      </c>
      <c r="C2342" s="3928" t="s">
        <v>7299</v>
      </c>
      <c r="D2342" s="3928" t="s">
        <v>4596</v>
      </c>
      <c r="E2342" s="3928" t="s">
        <v>7300</v>
      </c>
      <c r="F2342" s="3928" t="s">
        <v>2325</v>
      </c>
      <c r="G2342" s="3928" t="s">
        <v>24</v>
      </c>
      <c r="H2342" s="3928" t="s">
        <v>24</v>
      </c>
      <c r="I2342" s="3928" t="s">
        <v>857</v>
      </c>
    </row>
    <row r="2343" spans="1:9" ht="11.25" customHeight="1">
      <c r="A2343" s="3928" t="s">
        <v>2258</v>
      </c>
      <c r="B2343" s="3928" t="s">
        <v>14</v>
      </c>
      <c r="C2343" s="3928" t="s">
        <v>4599</v>
      </c>
      <c r="D2343" s="3928" t="s">
        <v>4600</v>
      </c>
      <c r="E2343" s="3928" t="s">
        <v>4601</v>
      </c>
      <c r="F2343" s="3928" t="s">
        <v>2486</v>
      </c>
      <c r="G2343" s="3928" t="s">
        <v>24</v>
      </c>
      <c r="H2343" s="3928" t="s">
        <v>3297</v>
      </c>
      <c r="I2343" s="3928" t="s">
        <v>857</v>
      </c>
    </row>
    <row r="2344" spans="1:9" ht="11.25" customHeight="1">
      <c r="A2344" s="3928" t="s">
        <v>2258</v>
      </c>
      <c r="B2344" s="3928" t="s">
        <v>14</v>
      </c>
      <c r="C2344" s="3928" t="s">
        <v>4602</v>
      </c>
      <c r="D2344" s="3928" t="s">
        <v>4603</v>
      </c>
      <c r="E2344" s="3928" t="s">
        <v>4604</v>
      </c>
      <c r="F2344" s="3928" t="s">
        <v>2552</v>
      </c>
      <c r="G2344" s="3928" t="s">
        <v>24</v>
      </c>
      <c r="H2344" s="3928" t="s">
        <v>24</v>
      </c>
      <c r="I2344" s="3928" t="s">
        <v>857</v>
      </c>
    </row>
    <row r="2345" spans="1:9" ht="11.25" customHeight="1">
      <c r="A2345" s="3928" t="s">
        <v>2258</v>
      </c>
      <c r="B2345" s="3928" t="s">
        <v>14</v>
      </c>
      <c r="C2345" s="3928" t="s">
        <v>4609</v>
      </c>
      <c r="D2345" s="3928" t="s">
        <v>4610</v>
      </c>
      <c r="E2345" s="3928" t="s">
        <v>4611</v>
      </c>
      <c r="F2345" s="3928" t="s">
        <v>2451</v>
      </c>
      <c r="G2345" s="3928" t="s">
        <v>24</v>
      </c>
      <c r="H2345" s="3928" t="s">
        <v>24</v>
      </c>
      <c r="I2345" s="3928" t="s">
        <v>857</v>
      </c>
    </row>
    <row r="2346" spans="1:9" ht="11.25" customHeight="1">
      <c r="A2346" s="3928" t="s">
        <v>2258</v>
      </c>
      <c r="B2346" s="3928" t="s">
        <v>14</v>
      </c>
      <c r="C2346" s="3928" t="s">
        <v>4612</v>
      </c>
      <c r="D2346" s="3928" t="s">
        <v>4613</v>
      </c>
      <c r="E2346" s="3928" t="s">
        <v>4614</v>
      </c>
      <c r="F2346" s="3928" t="s">
        <v>2424</v>
      </c>
      <c r="G2346" s="3928" t="s">
        <v>24</v>
      </c>
      <c r="H2346" s="3928" t="s">
        <v>24</v>
      </c>
      <c r="I2346" s="3928" t="s">
        <v>857</v>
      </c>
    </row>
    <row r="2347" spans="1:9" ht="11.25" customHeight="1">
      <c r="A2347" s="3928" t="s">
        <v>2258</v>
      </c>
      <c r="B2347" s="3928" t="s">
        <v>14</v>
      </c>
      <c r="C2347" s="3928" t="s">
        <v>7301</v>
      </c>
      <c r="D2347" s="3928" t="s">
        <v>7302</v>
      </c>
      <c r="E2347" s="3928" t="s">
        <v>7303</v>
      </c>
      <c r="F2347" s="3928" t="s">
        <v>2552</v>
      </c>
      <c r="G2347" s="3928" t="s">
        <v>7304</v>
      </c>
      <c r="H2347" s="3928" t="s">
        <v>24</v>
      </c>
      <c r="I2347" s="3928" t="s">
        <v>857</v>
      </c>
    </row>
    <row r="2348" spans="1:9" ht="11.25" customHeight="1">
      <c r="A2348" s="3928" t="s">
        <v>2258</v>
      </c>
      <c r="B2348" s="3928" t="s">
        <v>14</v>
      </c>
      <c r="C2348" s="3928" t="s">
        <v>7305</v>
      </c>
      <c r="D2348" s="3928" t="s">
        <v>7306</v>
      </c>
      <c r="E2348" s="3928" t="s">
        <v>7307</v>
      </c>
      <c r="F2348" s="3928" t="s">
        <v>49</v>
      </c>
      <c r="G2348" s="3928" t="s">
        <v>7308</v>
      </c>
      <c r="H2348" s="3928" t="s">
        <v>24</v>
      </c>
      <c r="I2348" s="3928" t="s">
        <v>857</v>
      </c>
    </row>
    <row r="2349" spans="1:9" ht="11.25" customHeight="1">
      <c r="A2349" s="3928" t="s">
        <v>2258</v>
      </c>
      <c r="B2349" s="3928" t="s">
        <v>14</v>
      </c>
      <c r="C2349" s="3928" t="s">
        <v>4636</v>
      </c>
      <c r="D2349" s="3928" t="s">
        <v>4637</v>
      </c>
      <c r="E2349" s="3928" t="s">
        <v>4638</v>
      </c>
      <c r="F2349" s="3928" t="s">
        <v>2414</v>
      </c>
      <c r="G2349" s="3928" t="s">
        <v>4639</v>
      </c>
      <c r="H2349" s="3928" t="s">
        <v>24</v>
      </c>
      <c r="I2349" s="3928" t="s">
        <v>857</v>
      </c>
    </row>
    <row r="2350" spans="1:9" ht="11.25" customHeight="1">
      <c r="A2350" s="3928" t="s">
        <v>2258</v>
      </c>
      <c r="B2350" s="3928" t="s">
        <v>14</v>
      </c>
      <c r="C2350" s="3928" t="s">
        <v>4640</v>
      </c>
      <c r="D2350" s="3928" t="s">
        <v>4641</v>
      </c>
      <c r="E2350" s="3928" t="s">
        <v>4642</v>
      </c>
      <c r="F2350" s="3928" t="s">
        <v>4166</v>
      </c>
      <c r="G2350" s="3928" t="s">
        <v>24</v>
      </c>
      <c r="H2350" s="3928" t="s">
        <v>3068</v>
      </c>
      <c r="I2350" s="3928" t="s">
        <v>857</v>
      </c>
    </row>
    <row r="2351" spans="1:9" ht="11.25" customHeight="1">
      <c r="A2351" s="3928" t="s">
        <v>2258</v>
      </c>
      <c r="B2351" s="3928" t="s">
        <v>14</v>
      </c>
      <c r="C2351" s="3928" t="s">
        <v>4650</v>
      </c>
      <c r="D2351" s="3928" t="s">
        <v>4651</v>
      </c>
      <c r="E2351" s="3928" t="s">
        <v>4652</v>
      </c>
      <c r="F2351" s="3928" t="s">
        <v>2486</v>
      </c>
      <c r="G2351" s="3928" t="s">
        <v>24</v>
      </c>
      <c r="H2351" s="3928" t="s">
        <v>24</v>
      </c>
      <c r="I2351" s="3928" t="s">
        <v>857</v>
      </c>
    </row>
    <row r="2352" spans="1:9" ht="11.25" customHeight="1">
      <c r="A2352" s="3928" t="s">
        <v>2258</v>
      </c>
      <c r="B2352" s="3928" t="s">
        <v>14</v>
      </c>
      <c r="C2352" s="3928" t="s">
        <v>4653</v>
      </c>
      <c r="D2352" s="3928" t="s">
        <v>4654</v>
      </c>
      <c r="E2352" s="3928" t="s">
        <v>4655</v>
      </c>
      <c r="F2352" s="3928" t="s">
        <v>2638</v>
      </c>
      <c r="G2352" s="3928" t="s">
        <v>24</v>
      </c>
      <c r="H2352" s="3928" t="s">
        <v>3168</v>
      </c>
      <c r="I2352" s="3928" t="s">
        <v>857</v>
      </c>
    </row>
    <row r="2353" spans="1:9" ht="11.25" customHeight="1">
      <c r="A2353" s="3928" t="s">
        <v>2258</v>
      </c>
      <c r="B2353" s="3928" t="s">
        <v>14</v>
      </c>
      <c r="C2353" s="3928" t="s">
        <v>7309</v>
      </c>
      <c r="D2353" s="3928" t="s">
        <v>7310</v>
      </c>
      <c r="E2353" s="3928" t="s">
        <v>7311</v>
      </c>
      <c r="F2353" s="3928" t="s">
        <v>3353</v>
      </c>
      <c r="G2353" s="3928" t="s">
        <v>7312</v>
      </c>
      <c r="H2353" s="3928" t="s">
        <v>24</v>
      </c>
      <c r="I2353" s="3928" t="s">
        <v>857</v>
      </c>
    </row>
    <row r="2354" spans="1:9" ht="11.25" customHeight="1">
      <c r="A2354" s="3928" t="s">
        <v>2258</v>
      </c>
      <c r="B2354" s="3928" t="s">
        <v>14</v>
      </c>
      <c r="C2354" s="3928" t="s">
        <v>7313</v>
      </c>
      <c r="D2354" s="3928" t="s">
        <v>7314</v>
      </c>
      <c r="E2354" s="3928" t="s">
        <v>7315</v>
      </c>
      <c r="F2354" s="3928" t="s">
        <v>3275</v>
      </c>
      <c r="G2354" s="3928" t="s">
        <v>6289</v>
      </c>
      <c r="H2354" s="3928" t="s">
        <v>24</v>
      </c>
      <c r="I2354" s="3928" t="s">
        <v>857</v>
      </c>
    </row>
    <row r="2355" spans="1:9" ht="11.25" customHeight="1">
      <c r="A2355" s="3928" t="s">
        <v>2258</v>
      </c>
      <c r="B2355" s="3928" t="s">
        <v>14</v>
      </c>
      <c r="C2355" s="3928" t="s">
        <v>4664</v>
      </c>
      <c r="D2355" s="3928" t="s">
        <v>4665</v>
      </c>
      <c r="E2355" s="3928" t="s">
        <v>4666</v>
      </c>
      <c r="F2355" s="3928" t="s">
        <v>2294</v>
      </c>
      <c r="G2355" s="3928" t="s">
        <v>4667</v>
      </c>
      <c r="H2355" s="3928" t="s">
        <v>2475</v>
      </c>
      <c r="I2355" s="3928" t="s">
        <v>857</v>
      </c>
    </row>
    <row r="2356" spans="1:9" ht="11.25" customHeight="1">
      <c r="A2356" s="3928" t="s">
        <v>2258</v>
      </c>
      <c r="B2356" s="3928" t="s">
        <v>14</v>
      </c>
      <c r="C2356" s="3928" t="s">
        <v>4676</v>
      </c>
      <c r="D2356" s="3928" t="s">
        <v>4677</v>
      </c>
      <c r="E2356" s="3928" t="s">
        <v>4678</v>
      </c>
      <c r="F2356" s="3928" t="s">
        <v>2513</v>
      </c>
      <c r="G2356" s="3928" t="s">
        <v>24</v>
      </c>
      <c r="H2356" s="3928" t="s">
        <v>2263</v>
      </c>
      <c r="I2356" s="3928" t="s">
        <v>857</v>
      </c>
    </row>
    <row r="2357" spans="1:9" ht="11.25" customHeight="1">
      <c r="A2357" s="3928" t="s">
        <v>2258</v>
      </c>
      <c r="B2357" s="3928" t="s">
        <v>14</v>
      </c>
      <c r="C2357" s="3928" t="s">
        <v>7316</v>
      </c>
      <c r="D2357" s="3928" t="s">
        <v>7317</v>
      </c>
      <c r="E2357" s="3928" t="s">
        <v>7318</v>
      </c>
      <c r="F2357" s="3928" t="s">
        <v>2409</v>
      </c>
      <c r="G2357" s="3928" t="s">
        <v>24</v>
      </c>
      <c r="H2357" s="3928" t="s">
        <v>24</v>
      </c>
      <c r="I2357" s="3928" t="s">
        <v>857</v>
      </c>
    </row>
    <row r="2358" spans="1:9" ht="11.25" customHeight="1">
      <c r="A2358" s="3928" t="s">
        <v>2258</v>
      </c>
      <c r="B2358" s="3928" t="s">
        <v>14</v>
      </c>
      <c r="C2358" s="3928" t="s">
        <v>7319</v>
      </c>
      <c r="D2358" s="3928" t="s">
        <v>7320</v>
      </c>
      <c r="E2358" s="3928" t="s">
        <v>7321</v>
      </c>
      <c r="F2358" s="3928" t="s">
        <v>7322</v>
      </c>
      <c r="G2358" s="3928" t="s">
        <v>7323</v>
      </c>
      <c r="H2358" s="3928" t="s">
        <v>24</v>
      </c>
      <c r="I2358" s="3928" t="s">
        <v>857</v>
      </c>
    </row>
    <row r="2359" spans="1:9" ht="11.25" customHeight="1">
      <c r="A2359" s="3928" t="s">
        <v>2258</v>
      </c>
      <c r="B2359" s="3928" t="s">
        <v>14</v>
      </c>
      <c r="C2359" s="3928" t="s">
        <v>4679</v>
      </c>
      <c r="D2359" s="3928" t="s">
        <v>4680</v>
      </c>
      <c r="E2359" s="3928" t="s">
        <v>4681</v>
      </c>
      <c r="F2359" s="3928" t="s">
        <v>2675</v>
      </c>
      <c r="G2359" s="3928" t="s">
        <v>4682</v>
      </c>
      <c r="H2359" s="3928" t="s">
        <v>24</v>
      </c>
      <c r="I2359" s="3928" t="s">
        <v>857</v>
      </c>
    </row>
    <row r="2360" spans="1:9" ht="11.25" customHeight="1">
      <c r="A2360" s="3928" t="s">
        <v>2258</v>
      </c>
      <c r="B2360" s="3928" t="s">
        <v>14</v>
      </c>
      <c r="C2360" s="3928" t="s">
        <v>4686</v>
      </c>
      <c r="D2360" s="3928" t="s">
        <v>4687</v>
      </c>
      <c r="E2360" s="3928" t="s">
        <v>4688</v>
      </c>
      <c r="F2360" s="3928" t="s">
        <v>2289</v>
      </c>
      <c r="G2360" s="3928" t="s">
        <v>4689</v>
      </c>
      <c r="H2360" s="3928" t="s">
        <v>24</v>
      </c>
      <c r="I2360" s="3928" t="s">
        <v>857</v>
      </c>
    </row>
    <row r="2361" spans="1:9" ht="11.25" customHeight="1">
      <c r="A2361" s="3928" t="s">
        <v>2258</v>
      </c>
      <c r="B2361" s="3928" t="s">
        <v>14</v>
      </c>
      <c r="C2361" s="3928" t="s">
        <v>7324</v>
      </c>
      <c r="D2361" s="3928" t="s">
        <v>7325</v>
      </c>
      <c r="E2361" s="3928" t="s">
        <v>7326</v>
      </c>
      <c r="F2361" s="3928" t="s">
        <v>2344</v>
      </c>
      <c r="G2361" s="3928" t="s">
        <v>7327</v>
      </c>
      <c r="H2361" s="3928" t="s">
        <v>24</v>
      </c>
      <c r="I2361" s="3928" t="s">
        <v>857</v>
      </c>
    </row>
    <row r="2362" spans="1:9" ht="11.25" customHeight="1">
      <c r="A2362" s="3928" t="s">
        <v>2258</v>
      </c>
      <c r="B2362" s="3928" t="s">
        <v>14</v>
      </c>
      <c r="C2362" s="3928" t="s">
        <v>4697</v>
      </c>
      <c r="D2362" s="3928" t="s">
        <v>4698</v>
      </c>
      <c r="E2362" s="3928" t="s">
        <v>4699</v>
      </c>
      <c r="F2362" s="3928" t="s">
        <v>2397</v>
      </c>
      <c r="G2362" s="3928" t="s">
        <v>4700</v>
      </c>
      <c r="H2362" s="3928" t="s">
        <v>24</v>
      </c>
      <c r="I2362" s="3928" t="s">
        <v>857</v>
      </c>
    </row>
    <row r="2363" spans="1:9" ht="11.25" customHeight="1">
      <c r="A2363" s="3928" t="s">
        <v>2258</v>
      </c>
      <c r="B2363" s="3928" t="s">
        <v>14</v>
      </c>
      <c r="C2363" s="3928" t="s">
        <v>7328</v>
      </c>
      <c r="D2363" s="3928" t="s">
        <v>7329</v>
      </c>
      <c r="E2363" s="3928" t="s">
        <v>7330</v>
      </c>
      <c r="F2363" s="3928" t="s">
        <v>2638</v>
      </c>
      <c r="G2363" s="3928" t="s">
        <v>24</v>
      </c>
      <c r="H2363" s="3928" t="s">
        <v>24</v>
      </c>
      <c r="I2363" s="3928" t="s">
        <v>857</v>
      </c>
    </row>
    <row r="2364" spans="1:9" ht="11.25" customHeight="1">
      <c r="A2364" s="3928" t="s">
        <v>2258</v>
      </c>
      <c r="B2364" s="3928" t="s">
        <v>14</v>
      </c>
      <c r="C2364" s="3928" t="s">
        <v>7331</v>
      </c>
      <c r="D2364" s="3928" t="s">
        <v>7332</v>
      </c>
      <c r="E2364" s="3928" t="s">
        <v>7333</v>
      </c>
      <c r="F2364" s="3928" t="s">
        <v>2587</v>
      </c>
      <c r="G2364" s="3928" t="s">
        <v>7334</v>
      </c>
      <c r="H2364" s="3928" t="s">
        <v>7335</v>
      </c>
      <c r="I2364" s="3928" t="s">
        <v>857</v>
      </c>
    </row>
    <row r="2365" spans="1:9" ht="11.25" customHeight="1">
      <c r="A2365" s="3928" t="s">
        <v>2258</v>
      </c>
      <c r="B2365" s="3928" t="s">
        <v>14</v>
      </c>
      <c r="C2365" s="3928" t="s">
        <v>4701</v>
      </c>
      <c r="D2365" s="3928" t="s">
        <v>4702</v>
      </c>
      <c r="E2365" s="3928" t="s">
        <v>4703</v>
      </c>
      <c r="F2365" s="3928" t="s">
        <v>49</v>
      </c>
      <c r="G2365" s="3928" t="s">
        <v>4704</v>
      </c>
      <c r="H2365" s="3928" t="s">
        <v>24</v>
      </c>
      <c r="I2365" s="3928" t="s">
        <v>857</v>
      </c>
    </row>
    <row r="2366" spans="1:9" ht="11.25" customHeight="1">
      <c r="A2366" s="3928" t="s">
        <v>2258</v>
      </c>
      <c r="B2366" s="3928" t="s">
        <v>14</v>
      </c>
      <c r="C2366" s="3928" t="s">
        <v>7336</v>
      </c>
      <c r="D2366" s="3928" t="s">
        <v>7337</v>
      </c>
      <c r="E2366" s="3928" t="s">
        <v>7338</v>
      </c>
      <c r="F2366" s="3928" t="s">
        <v>3509</v>
      </c>
      <c r="G2366" s="3928" t="s">
        <v>24</v>
      </c>
      <c r="H2366" s="3928" t="s">
        <v>7339</v>
      </c>
      <c r="I2366" s="3928" t="s">
        <v>857</v>
      </c>
    </row>
    <row r="2367" spans="1:9" ht="11.25" customHeight="1">
      <c r="A2367" s="3928" t="s">
        <v>2258</v>
      </c>
      <c r="B2367" s="3928" t="s">
        <v>14</v>
      </c>
      <c r="C2367" s="3928" t="s">
        <v>7340</v>
      </c>
      <c r="D2367" s="3928" t="s">
        <v>7341</v>
      </c>
      <c r="E2367" s="3928" t="s">
        <v>7342</v>
      </c>
      <c r="F2367" s="3928" t="s">
        <v>2262</v>
      </c>
      <c r="G2367" s="3928" t="s">
        <v>24</v>
      </c>
      <c r="H2367" s="3928" t="s">
        <v>7343</v>
      </c>
      <c r="I2367" s="3928" t="s">
        <v>857</v>
      </c>
    </row>
    <row r="2368" spans="1:9" ht="11.25" customHeight="1">
      <c r="A2368" s="3928" t="s">
        <v>2258</v>
      </c>
      <c r="B2368" s="3928" t="s">
        <v>14</v>
      </c>
      <c r="C2368" s="3928" t="s">
        <v>4708</v>
      </c>
      <c r="D2368" s="3928" t="s">
        <v>4709</v>
      </c>
      <c r="E2368" s="3928" t="s">
        <v>4710</v>
      </c>
      <c r="F2368" s="3928" t="s">
        <v>2771</v>
      </c>
      <c r="G2368" s="3928" t="s">
        <v>24</v>
      </c>
      <c r="H2368" s="3928" t="s">
        <v>24</v>
      </c>
      <c r="I2368" s="3928" t="s">
        <v>857</v>
      </c>
    </row>
    <row r="2369" spans="1:9" ht="11.25" customHeight="1">
      <c r="A2369" s="3928" t="s">
        <v>2258</v>
      </c>
      <c r="B2369" s="3928" t="s">
        <v>14</v>
      </c>
      <c r="C2369" s="3928" t="s">
        <v>4711</v>
      </c>
      <c r="D2369" s="3928" t="s">
        <v>4712</v>
      </c>
      <c r="E2369" s="3928" t="s">
        <v>4713</v>
      </c>
      <c r="F2369" s="3928" t="s">
        <v>2473</v>
      </c>
      <c r="G2369" s="3928" t="s">
        <v>24</v>
      </c>
      <c r="H2369" s="3928" t="s">
        <v>3012</v>
      </c>
      <c r="I2369" s="3928" t="s">
        <v>857</v>
      </c>
    </row>
    <row r="2370" spans="1:9" ht="11.25" customHeight="1">
      <c r="A2370" s="3928" t="s">
        <v>2258</v>
      </c>
      <c r="B2370" s="3928" t="s">
        <v>14</v>
      </c>
      <c r="C2370" s="3928" t="s">
        <v>7344</v>
      </c>
      <c r="D2370" s="3928" t="s">
        <v>7345</v>
      </c>
      <c r="E2370" s="3928" t="s">
        <v>7346</v>
      </c>
      <c r="F2370" s="3928" t="s">
        <v>2552</v>
      </c>
      <c r="G2370" s="3928" t="s">
        <v>7347</v>
      </c>
      <c r="H2370" s="3928" t="s">
        <v>2263</v>
      </c>
      <c r="I2370" s="3928" t="s">
        <v>857</v>
      </c>
    </row>
    <row r="2371" spans="1:9" ht="11.25" customHeight="1">
      <c r="A2371" s="3928" t="s">
        <v>2258</v>
      </c>
      <c r="B2371" s="3928" t="s">
        <v>14</v>
      </c>
      <c r="C2371" s="3928" t="s">
        <v>7348</v>
      </c>
      <c r="D2371" s="3928" t="s">
        <v>7345</v>
      </c>
      <c r="E2371" s="3928" t="s">
        <v>7346</v>
      </c>
      <c r="F2371" s="3928" t="s">
        <v>7349</v>
      </c>
      <c r="G2371" s="3928" t="s">
        <v>7347</v>
      </c>
      <c r="H2371" s="3928" t="s">
        <v>24</v>
      </c>
      <c r="I2371" s="3928" t="s">
        <v>857</v>
      </c>
    </row>
    <row r="2372" spans="1:9" ht="11.25" customHeight="1">
      <c r="A2372" s="3928" t="s">
        <v>2258</v>
      </c>
      <c r="B2372" s="3928" t="s">
        <v>14</v>
      </c>
      <c r="C2372" s="3928" t="s">
        <v>7350</v>
      </c>
      <c r="D2372" s="3928" t="s">
        <v>7351</v>
      </c>
      <c r="E2372" s="3928" t="s">
        <v>7352</v>
      </c>
      <c r="F2372" s="3928" t="s">
        <v>2289</v>
      </c>
      <c r="G2372" s="3928" t="s">
        <v>7353</v>
      </c>
      <c r="H2372" s="3928" t="s">
        <v>24</v>
      </c>
      <c r="I2372" s="3928" t="s">
        <v>857</v>
      </c>
    </row>
    <row r="2373" spans="1:9" ht="11.25" customHeight="1">
      <c r="A2373" s="3928" t="s">
        <v>2258</v>
      </c>
      <c r="B2373" s="3928" t="s">
        <v>14</v>
      </c>
      <c r="C2373" s="3928" t="s">
        <v>7354</v>
      </c>
      <c r="D2373" s="3928" t="s">
        <v>7355</v>
      </c>
      <c r="E2373" s="3928" t="s">
        <v>7356</v>
      </c>
      <c r="F2373" s="3928" t="s">
        <v>2701</v>
      </c>
      <c r="G2373" s="3928" t="s">
        <v>7357</v>
      </c>
      <c r="H2373" s="3928" t="s">
        <v>24</v>
      </c>
      <c r="I2373" s="3928" t="s">
        <v>857</v>
      </c>
    </row>
    <row r="2374" spans="1:9" ht="11.25" customHeight="1">
      <c r="A2374" s="3928" t="s">
        <v>2258</v>
      </c>
      <c r="B2374" s="3928" t="s">
        <v>14</v>
      </c>
      <c r="C2374" s="3928" t="s">
        <v>4718</v>
      </c>
      <c r="D2374" s="3928" t="s">
        <v>4719</v>
      </c>
      <c r="E2374" s="3928" t="s">
        <v>4720</v>
      </c>
      <c r="F2374" s="3928" t="s">
        <v>4721</v>
      </c>
      <c r="G2374" s="3928" t="s">
        <v>4722</v>
      </c>
      <c r="H2374" s="3928" t="s">
        <v>24</v>
      </c>
      <c r="I2374" s="3928" t="s">
        <v>857</v>
      </c>
    </row>
    <row r="2375" spans="1:9" ht="11.25" customHeight="1">
      <c r="A2375" s="3928" t="s">
        <v>2258</v>
      </c>
      <c r="B2375" s="3928" t="s">
        <v>14</v>
      </c>
      <c r="C2375" s="3928" t="s">
        <v>7358</v>
      </c>
      <c r="D2375" s="3928" t="s">
        <v>7359</v>
      </c>
      <c r="E2375" s="3928" t="s">
        <v>7360</v>
      </c>
      <c r="F2375" s="3928" t="s">
        <v>2289</v>
      </c>
      <c r="G2375" s="3928" t="s">
        <v>24</v>
      </c>
      <c r="H2375" s="3928" t="s">
        <v>24</v>
      </c>
      <c r="I2375" s="3928" t="s">
        <v>857</v>
      </c>
    </row>
    <row r="2376" spans="1:9" ht="11.25" customHeight="1">
      <c r="A2376" s="3928" t="s">
        <v>2258</v>
      </c>
      <c r="B2376" s="3928" t="s">
        <v>14</v>
      </c>
      <c r="C2376" s="3928" t="s">
        <v>4726</v>
      </c>
      <c r="D2376" s="3928" t="s">
        <v>4727</v>
      </c>
      <c r="E2376" s="3928" t="s">
        <v>4728</v>
      </c>
      <c r="F2376" s="3928" t="s">
        <v>2675</v>
      </c>
      <c r="G2376" s="3928" t="s">
        <v>24</v>
      </c>
      <c r="H2376" s="3928" t="s">
        <v>3068</v>
      </c>
      <c r="I2376" s="3928" t="s">
        <v>857</v>
      </c>
    </row>
    <row r="2377" spans="1:9" ht="11.25" customHeight="1">
      <c r="A2377" s="3928" t="s">
        <v>2258</v>
      </c>
      <c r="B2377" s="3928" t="s">
        <v>14</v>
      </c>
      <c r="C2377" s="3928" t="s">
        <v>4729</v>
      </c>
      <c r="D2377" s="3928" t="s">
        <v>4730</v>
      </c>
      <c r="E2377" s="3928" t="s">
        <v>4731</v>
      </c>
      <c r="F2377" s="3928" t="s">
        <v>2675</v>
      </c>
      <c r="G2377" s="3928" t="s">
        <v>4732</v>
      </c>
      <c r="H2377" s="3928" t="s">
        <v>24</v>
      </c>
      <c r="I2377" s="3928" t="s">
        <v>857</v>
      </c>
    </row>
    <row r="2378" spans="1:9" ht="11.25" customHeight="1">
      <c r="A2378" s="3928" t="s">
        <v>2258</v>
      </c>
      <c r="B2378" s="3928" t="s">
        <v>14</v>
      </c>
      <c r="C2378" s="3928" t="s">
        <v>7361</v>
      </c>
      <c r="D2378" s="3928" t="s">
        <v>7362</v>
      </c>
      <c r="E2378" s="3928" t="s">
        <v>7363</v>
      </c>
      <c r="F2378" s="3928" t="s">
        <v>2638</v>
      </c>
      <c r="G2378" s="3928" t="s">
        <v>7364</v>
      </c>
      <c r="H2378" s="3928" t="s">
        <v>24</v>
      </c>
      <c r="I2378" s="3928" t="s">
        <v>857</v>
      </c>
    </row>
    <row r="2379" spans="1:9" ht="11.25" customHeight="1">
      <c r="A2379" s="3928" t="s">
        <v>2258</v>
      </c>
      <c r="B2379" s="3928" t="s">
        <v>14</v>
      </c>
      <c r="C2379" s="3928" t="s">
        <v>7365</v>
      </c>
      <c r="D2379" s="3928" t="s">
        <v>7366</v>
      </c>
      <c r="E2379" s="3928" t="s">
        <v>7367</v>
      </c>
      <c r="F2379" s="3928" t="s">
        <v>4226</v>
      </c>
      <c r="G2379" s="3928" t="s">
        <v>7368</v>
      </c>
      <c r="H2379" s="3928" t="s">
        <v>24</v>
      </c>
      <c r="I2379" s="3928" t="s">
        <v>857</v>
      </c>
    </row>
    <row r="2380" spans="1:9" ht="11.25" customHeight="1">
      <c r="A2380" s="3928" t="s">
        <v>2258</v>
      </c>
      <c r="B2380" s="3928" t="s">
        <v>14</v>
      </c>
      <c r="C2380" s="3928" t="s">
        <v>7369</v>
      </c>
      <c r="D2380" s="3928" t="s">
        <v>7370</v>
      </c>
      <c r="E2380" s="3928" t="s">
        <v>7371</v>
      </c>
      <c r="F2380" s="3928" t="s">
        <v>2552</v>
      </c>
      <c r="G2380" s="3928" t="s">
        <v>24</v>
      </c>
      <c r="H2380" s="3928" t="s">
        <v>24</v>
      </c>
      <c r="I2380" s="3928" t="s">
        <v>857</v>
      </c>
    </row>
    <row r="2381" spans="1:9" ht="11.25" customHeight="1">
      <c r="A2381" s="3928" t="s">
        <v>2258</v>
      </c>
      <c r="B2381" s="3928" t="s">
        <v>14</v>
      </c>
      <c r="C2381" s="3928" t="s">
        <v>4741</v>
      </c>
      <c r="D2381" s="3928" t="s">
        <v>4742</v>
      </c>
      <c r="E2381" s="3928" t="s">
        <v>4743</v>
      </c>
      <c r="F2381" s="3928" t="s">
        <v>2638</v>
      </c>
      <c r="G2381" s="3928" t="s">
        <v>4744</v>
      </c>
      <c r="H2381" s="3928" t="s">
        <v>24</v>
      </c>
      <c r="I2381" s="3928" t="s">
        <v>857</v>
      </c>
    </row>
    <row r="2382" spans="1:9" ht="11.25" customHeight="1">
      <c r="A2382" s="3928" t="s">
        <v>2258</v>
      </c>
      <c r="B2382" s="3928" t="s">
        <v>14</v>
      </c>
      <c r="C2382" s="3928" t="s">
        <v>7372</v>
      </c>
      <c r="D2382" s="3928" t="s">
        <v>7373</v>
      </c>
      <c r="E2382" s="3928" t="s">
        <v>7374</v>
      </c>
      <c r="F2382" s="3928" t="s">
        <v>2325</v>
      </c>
      <c r="G2382" s="3928" t="s">
        <v>7375</v>
      </c>
      <c r="H2382" s="3928" t="s">
        <v>24</v>
      </c>
      <c r="I2382" s="3928" t="s">
        <v>857</v>
      </c>
    </row>
    <row r="2383" spans="1:9" ht="11.25" customHeight="1">
      <c r="A2383" s="3928" t="s">
        <v>2258</v>
      </c>
      <c r="B2383" s="3928" t="s">
        <v>14</v>
      </c>
      <c r="C2383" s="3928" t="s">
        <v>7376</v>
      </c>
      <c r="D2383" s="3928" t="s">
        <v>7377</v>
      </c>
      <c r="E2383" s="3928" t="s">
        <v>7378</v>
      </c>
      <c r="F2383" s="3928" t="s">
        <v>2262</v>
      </c>
      <c r="G2383" s="3928" t="s">
        <v>7379</v>
      </c>
      <c r="H2383" s="3928" t="s">
        <v>24</v>
      </c>
      <c r="I2383" s="3928" t="s">
        <v>857</v>
      </c>
    </row>
    <row r="2384" spans="1:9" ht="11.25" customHeight="1">
      <c r="A2384" s="3928" t="s">
        <v>2258</v>
      </c>
      <c r="B2384" s="3928" t="s">
        <v>14</v>
      </c>
      <c r="C2384" s="3928" t="s">
        <v>7380</v>
      </c>
      <c r="D2384" s="3928" t="s">
        <v>7381</v>
      </c>
      <c r="E2384" s="3928" t="s">
        <v>7382</v>
      </c>
      <c r="F2384" s="3928" t="s">
        <v>2294</v>
      </c>
      <c r="G2384" s="3928" t="s">
        <v>24</v>
      </c>
      <c r="H2384" s="3928" t="s">
        <v>24</v>
      </c>
      <c r="I2384" s="3928" t="s">
        <v>857</v>
      </c>
    </row>
    <row r="2385" spans="1:9" ht="11.25" customHeight="1">
      <c r="A2385" s="3928" t="s">
        <v>2258</v>
      </c>
      <c r="B2385" s="3928" t="s">
        <v>14</v>
      </c>
      <c r="C2385" s="3928" t="s">
        <v>7383</v>
      </c>
      <c r="D2385" s="3928" t="s">
        <v>7384</v>
      </c>
      <c r="E2385" s="3928" t="s">
        <v>7385</v>
      </c>
      <c r="F2385" s="3928" t="s">
        <v>2289</v>
      </c>
      <c r="G2385" s="3928" t="s">
        <v>24</v>
      </c>
      <c r="H2385" s="3928" t="s">
        <v>24</v>
      </c>
      <c r="I2385" s="3928" t="s">
        <v>857</v>
      </c>
    </row>
    <row r="2386" spans="1:9" ht="11.25" customHeight="1">
      <c r="A2386" s="3928" t="s">
        <v>2258</v>
      </c>
      <c r="B2386" s="3928" t="s">
        <v>14</v>
      </c>
      <c r="C2386" s="3928" t="s">
        <v>4748</v>
      </c>
      <c r="D2386" s="3928" t="s">
        <v>4749</v>
      </c>
      <c r="E2386" s="3928" t="s">
        <v>4750</v>
      </c>
      <c r="F2386" s="3928" t="s">
        <v>2429</v>
      </c>
      <c r="G2386" s="3928" t="s">
        <v>24</v>
      </c>
      <c r="H2386" s="3928" t="s">
        <v>24</v>
      </c>
      <c r="I2386" s="3928" t="s">
        <v>857</v>
      </c>
    </row>
    <row r="2387" spans="1:9" ht="11.25" customHeight="1">
      <c r="A2387" s="3928" t="s">
        <v>2258</v>
      </c>
      <c r="B2387" s="3928" t="s">
        <v>14</v>
      </c>
      <c r="C2387" s="3928" t="s">
        <v>4751</v>
      </c>
      <c r="D2387" s="3928" t="s">
        <v>4752</v>
      </c>
      <c r="E2387" s="3928" t="s">
        <v>4753</v>
      </c>
      <c r="F2387" s="3928" t="s">
        <v>4754</v>
      </c>
      <c r="G2387" s="3928" t="s">
        <v>24</v>
      </c>
      <c r="H2387" s="3928" t="s">
        <v>24</v>
      </c>
      <c r="I2387" s="3928" t="s">
        <v>857</v>
      </c>
    </row>
    <row r="2388" spans="1:9" ht="11.25" customHeight="1">
      <c r="A2388" s="3928" t="s">
        <v>2258</v>
      </c>
      <c r="B2388" s="3928" t="s">
        <v>14</v>
      </c>
      <c r="C2388" s="3928" t="s">
        <v>4755</v>
      </c>
      <c r="D2388" s="3928" t="s">
        <v>4756</v>
      </c>
      <c r="E2388" s="3928" t="s">
        <v>4757</v>
      </c>
      <c r="F2388" s="3928" t="s">
        <v>2567</v>
      </c>
      <c r="G2388" s="3928" t="s">
        <v>24</v>
      </c>
      <c r="H2388" s="3928" t="s">
        <v>24</v>
      </c>
      <c r="I2388" s="3928" t="s">
        <v>857</v>
      </c>
    </row>
    <row r="2389" spans="1:9" ht="11.25" customHeight="1">
      <c r="A2389" s="3928" t="s">
        <v>2258</v>
      </c>
      <c r="B2389" s="3928" t="s">
        <v>14</v>
      </c>
      <c r="C2389" s="3928" t="s">
        <v>4761</v>
      </c>
      <c r="D2389" s="3928" t="s">
        <v>4762</v>
      </c>
      <c r="E2389" s="3928" t="s">
        <v>4763</v>
      </c>
      <c r="F2389" s="3928" t="s">
        <v>2965</v>
      </c>
      <c r="G2389" s="3928" t="s">
        <v>24</v>
      </c>
      <c r="H2389" s="3928" t="s">
        <v>24</v>
      </c>
      <c r="I2389" s="3928" t="s">
        <v>857</v>
      </c>
    </row>
    <row r="2390" spans="1:9" ht="11.25" customHeight="1">
      <c r="A2390" s="3928" t="s">
        <v>2258</v>
      </c>
      <c r="B2390" s="3928" t="s">
        <v>14</v>
      </c>
      <c r="C2390" s="3928" t="s">
        <v>4771</v>
      </c>
      <c r="D2390" s="3928" t="s">
        <v>630</v>
      </c>
      <c r="E2390" s="3928" t="s">
        <v>4772</v>
      </c>
      <c r="F2390" s="3928" t="s">
        <v>2486</v>
      </c>
      <c r="G2390" s="3928" t="s">
        <v>3631</v>
      </c>
      <c r="H2390" s="3928" t="s">
        <v>24</v>
      </c>
      <c r="I2390" s="3928" t="s">
        <v>857</v>
      </c>
    </row>
    <row r="2391" spans="1:9" ht="11.25" customHeight="1">
      <c r="A2391" s="3928" t="s">
        <v>2258</v>
      </c>
      <c r="B2391" s="3928" t="s">
        <v>14</v>
      </c>
      <c r="C2391" s="3928" t="s">
        <v>4773</v>
      </c>
      <c r="D2391" s="3928" t="s">
        <v>4774</v>
      </c>
      <c r="E2391" s="3928" t="s">
        <v>4775</v>
      </c>
      <c r="F2391" s="3928" t="s">
        <v>2473</v>
      </c>
      <c r="G2391" s="3928" t="s">
        <v>4776</v>
      </c>
      <c r="H2391" s="3928" t="s">
        <v>24</v>
      </c>
      <c r="I2391" s="3928" t="s">
        <v>857</v>
      </c>
    </row>
    <row r="2392" spans="1:9" ht="11.25" customHeight="1">
      <c r="A2392" s="3928" t="s">
        <v>2258</v>
      </c>
      <c r="B2392" s="3928" t="s">
        <v>14</v>
      </c>
      <c r="C2392" s="3928" t="s">
        <v>7386</v>
      </c>
      <c r="D2392" s="3928" t="s">
        <v>7387</v>
      </c>
      <c r="E2392" s="3928" t="s">
        <v>7388</v>
      </c>
      <c r="F2392" s="3928" t="s">
        <v>2289</v>
      </c>
      <c r="G2392" s="3928" t="s">
        <v>7389</v>
      </c>
      <c r="H2392" s="3928" t="s">
        <v>24</v>
      </c>
      <c r="I2392" s="3928" t="s">
        <v>857</v>
      </c>
    </row>
    <row r="2393" spans="1:9" ht="11.25" customHeight="1">
      <c r="A2393" s="3928" t="s">
        <v>2258</v>
      </c>
      <c r="B2393" s="3928" t="s">
        <v>14</v>
      </c>
      <c r="C2393" s="3928" t="s">
        <v>7390</v>
      </c>
      <c r="D2393" s="3928" t="s">
        <v>7391</v>
      </c>
      <c r="E2393" s="3928" t="s">
        <v>7392</v>
      </c>
      <c r="F2393" s="3928" t="s">
        <v>49</v>
      </c>
      <c r="G2393" s="3928" t="s">
        <v>7393</v>
      </c>
      <c r="H2393" s="3928" t="s">
        <v>24</v>
      </c>
      <c r="I2393" s="3928" t="s">
        <v>857</v>
      </c>
    </row>
    <row r="2394" spans="1:9" ht="11.25" customHeight="1">
      <c r="A2394" s="3928" t="s">
        <v>2258</v>
      </c>
      <c r="B2394" s="3928" t="s">
        <v>14</v>
      </c>
      <c r="C2394" s="3928" t="s">
        <v>7394</v>
      </c>
      <c r="D2394" s="3928" t="s">
        <v>7395</v>
      </c>
      <c r="E2394" s="3928" t="s">
        <v>7396</v>
      </c>
      <c r="F2394" s="3928" t="s">
        <v>2414</v>
      </c>
      <c r="G2394" s="3928" t="s">
        <v>7397</v>
      </c>
      <c r="H2394" s="3928" t="s">
        <v>24</v>
      </c>
      <c r="I2394" s="3928" t="s">
        <v>857</v>
      </c>
    </row>
    <row r="2395" spans="1:9" ht="11.25" customHeight="1">
      <c r="A2395" s="3928" t="s">
        <v>2258</v>
      </c>
      <c r="B2395" s="3928" t="s">
        <v>14</v>
      </c>
      <c r="C2395" s="3928" t="s">
        <v>7398</v>
      </c>
      <c r="D2395" s="3928" t="s">
        <v>7399</v>
      </c>
      <c r="E2395" s="3928" t="s">
        <v>7400</v>
      </c>
      <c r="F2395" s="3928" t="s">
        <v>2289</v>
      </c>
      <c r="G2395" s="3928" t="s">
        <v>7401</v>
      </c>
      <c r="H2395" s="3928" t="s">
        <v>24</v>
      </c>
      <c r="I2395" s="3928" t="s">
        <v>857</v>
      </c>
    </row>
    <row r="2396" spans="1:9" ht="11.25" customHeight="1">
      <c r="A2396" s="3928" t="s">
        <v>2258</v>
      </c>
      <c r="B2396" s="3928" t="s">
        <v>14</v>
      </c>
      <c r="C2396" s="3928" t="s">
        <v>4796</v>
      </c>
      <c r="D2396" s="3928" t="s">
        <v>4797</v>
      </c>
      <c r="E2396" s="3928" t="s">
        <v>4798</v>
      </c>
      <c r="F2396" s="3928" t="s">
        <v>2535</v>
      </c>
      <c r="G2396" s="3928" t="s">
        <v>24</v>
      </c>
      <c r="H2396" s="3928" t="s">
        <v>2263</v>
      </c>
      <c r="I2396" s="3928" t="s">
        <v>857</v>
      </c>
    </row>
    <row r="2397" spans="1:9" ht="11.25" customHeight="1">
      <c r="A2397" s="3928" t="s">
        <v>2258</v>
      </c>
      <c r="B2397" s="3928" t="s">
        <v>14</v>
      </c>
      <c r="C2397" s="3928" t="s">
        <v>4803</v>
      </c>
      <c r="D2397" s="3928" t="s">
        <v>4804</v>
      </c>
      <c r="E2397" s="3928" t="s">
        <v>4805</v>
      </c>
      <c r="F2397" s="3928" t="s">
        <v>49</v>
      </c>
      <c r="G2397" s="3928" t="s">
        <v>4806</v>
      </c>
      <c r="H2397" s="3928" t="s">
        <v>2263</v>
      </c>
      <c r="I2397" s="3928" t="s">
        <v>857</v>
      </c>
    </row>
    <row r="2398" spans="1:9" ht="11.25" customHeight="1">
      <c r="A2398" s="3928" t="s">
        <v>2258</v>
      </c>
      <c r="B2398" s="3928" t="s">
        <v>14</v>
      </c>
      <c r="C2398" s="3928" t="s">
        <v>7402</v>
      </c>
      <c r="D2398" s="3928" t="s">
        <v>7403</v>
      </c>
      <c r="E2398" s="3928" t="s">
        <v>7404</v>
      </c>
      <c r="F2398" s="3928" t="s">
        <v>2397</v>
      </c>
      <c r="G2398" s="3928" t="s">
        <v>24</v>
      </c>
      <c r="H2398" s="3928" t="s">
        <v>2848</v>
      </c>
      <c r="I2398" s="3928" t="s">
        <v>857</v>
      </c>
    </row>
    <row r="2399" spans="1:9" ht="11.25" customHeight="1">
      <c r="A2399" s="3928" t="s">
        <v>2258</v>
      </c>
      <c r="B2399" s="3928" t="s">
        <v>14</v>
      </c>
      <c r="C2399" s="3928" t="s">
        <v>7405</v>
      </c>
      <c r="D2399" s="3928" t="s">
        <v>7406</v>
      </c>
      <c r="E2399" s="3928" t="s">
        <v>7407</v>
      </c>
      <c r="F2399" s="3928" t="s">
        <v>2294</v>
      </c>
      <c r="G2399" s="3928" t="s">
        <v>7408</v>
      </c>
      <c r="H2399" s="3928" t="s">
        <v>24</v>
      </c>
      <c r="I2399" s="3928" t="s">
        <v>857</v>
      </c>
    </row>
    <row r="2400" spans="1:9" ht="11.25" customHeight="1">
      <c r="A2400" s="3928" t="s">
        <v>2258</v>
      </c>
      <c r="B2400" s="3928" t="s">
        <v>14</v>
      </c>
      <c r="C2400" s="3928" t="s">
        <v>7409</v>
      </c>
      <c r="D2400" s="3928" t="s">
        <v>7410</v>
      </c>
      <c r="E2400" s="3928" t="s">
        <v>7411</v>
      </c>
      <c r="F2400" s="3928" t="s">
        <v>2294</v>
      </c>
      <c r="G2400" s="3928" t="s">
        <v>7412</v>
      </c>
      <c r="H2400" s="3928" t="s">
        <v>24</v>
      </c>
      <c r="I2400" s="3928" t="s">
        <v>857</v>
      </c>
    </row>
    <row r="2401" spans="1:9" ht="11.25" customHeight="1">
      <c r="A2401" s="3928" t="s">
        <v>2258</v>
      </c>
      <c r="B2401" s="3928" t="s">
        <v>14</v>
      </c>
      <c r="C2401" s="3928" t="s">
        <v>7413</v>
      </c>
      <c r="D2401" s="3928" t="s">
        <v>7414</v>
      </c>
      <c r="E2401" s="3928" t="s">
        <v>7415</v>
      </c>
      <c r="F2401" s="3928" t="s">
        <v>49</v>
      </c>
      <c r="G2401" s="3928" t="s">
        <v>24</v>
      </c>
      <c r="H2401" s="3928" t="s">
        <v>24</v>
      </c>
      <c r="I2401" s="3928" t="s">
        <v>857</v>
      </c>
    </row>
    <row r="2402" spans="1:9" ht="11.25" customHeight="1">
      <c r="A2402" s="3928" t="s">
        <v>2258</v>
      </c>
      <c r="B2402" s="3928" t="s">
        <v>14</v>
      </c>
      <c r="C2402" s="3928" t="s">
        <v>6417</v>
      </c>
      <c r="D2402" s="3928" t="s">
        <v>6418</v>
      </c>
      <c r="E2402" s="3928" t="s">
        <v>6419</v>
      </c>
      <c r="F2402" s="3928" t="s">
        <v>2344</v>
      </c>
      <c r="G2402" s="3928" t="s">
        <v>6420</v>
      </c>
      <c r="H2402" s="3928" t="s">
        <v>24</v>
      </c>
      <c r="I2402" s="3928" t="s">
        <v>857</v>
      </c>
    </row>
    <row r="2403" spans="1:9" ht="11.25" customHeight="1">
      <c r="A2403" s="3928" t="s">
        <v>2258</v>
      </c>
      <c r="B2403" s="3928" t="s">
        <v>14</v>
      </c>
      <c r="C2403" s="3928" t="s">
        <v>4836</v>
      </c>
      <c r="D2403" s="3928" t="s">
        <v>4837</v>
      </c>
      <c r="E2403" s="3928" t="s">
        <v>4838</v>
      </c>
      <c r="F2403" s="3928" t="s">
        <v>4839</v>
      </c>
      <c r="G2403" s="3928" t="s">
        <v>4840</v>
      </c>
      <c r="H2403" s="3928" t="s">
        <v>24</v>
      </c>
      <c r="I2403" s="3928" t="s">
        <v>857</v>
      </c>
    </row>
    <row r="2404" spans="1:9" ht="11.25" customHeight="1">
      <c r="A2404" s="3928" t="s">
        <v>2258</v>
      </c>
      <c r="B2404" s="3928" t="s">
        <v>14</v>
      </c>
      <c r="C2404" s="3928" t="s">
        <v>4852</v>
      </c>
      <c r="D2404" s="3928" t="s">
        <v>4853</v>
      </c>
      <c r="E2404" s="3928" t="s">
        <v>4854</v>
      </c>
      <c r="F2404" s="3928" t="s">
        <v>2552</v>
      </c>
      <c r="G2404" s="3928" t="s">
        <v>4855</v>
      </c>
      <c r="H2404" s="3928" t="s">
        <v>24</v>
      </c>
      <c r="I2404" s="3928" t="s">
        <v>857</v>
      </c>
    </row>
    <row r="2405" spans="1:9" ht="11.25" customHeight="1">
      <c r="A2405" s="3928" t="s">
        <v>2258</v>
      </c>
      <c r="B2405" s="3928" t="s">
        <v>14</v>
      </c>
      <c r="C2405" s="3928" t="s">
        <v>7416</v>
      </c>
      <c r="D2405" s="3928" t="s">
        <v>7417</v>
      </c>
      <c r="E2405" s="3928" t="s">
        <v>7418</v>
      </c>
      <c r="F2405" s="3928" t="s">
        <v>2262</v>
      </c>
      <c r="G2405" s="3928" t="s">
        <v>24</v>
      </c>
      <c r="H2405" s="3928" t="s">
        <v>24</v>
      </c>
      <c r="I2405" s="3928" t="s">
        <v>857</v>
      </c>
    </row>
    <row r="2406" spans="1:9" ht="11.25" customHeight="1">
      <c r="A2406" s="3928" t="s">
        <v>2258</v>
      </c>
      <c r="B2406" s="3928" t="s">
        <v>14</v>
      </c>
      <c r="C2406" s="3928" t="s">
        <v>7419</v>
      </c>
      <c r="D2406" s="3928" t="s">
        <v>7420</v>
      </c>
      <c r="E2406" s="3928" t="s">
        <v>7421</v>
      </c>
      <c r="F2406" s="3928" t="s">
        <v>4792</v>
      </c>
      <c r="G2406" s="3928" t="s">
        <v>7422</v>
      </c>
      <c r="H2406" s="3928" t="s">
        <v>24</v>
      </c>
      <c r="I2406" s="3928" t="s">
        <v>857</v>
      </c>
    </row>
    <row r="2407" spans="1:9" ht="11.25" customHeight="1">
      <c r="A2407" s="3928" t="s">
        <v>2258</v>
      </c>
      <c r="B2407" s="3928" t="s">
        <v>14</v>
      </c>
      <c r="C2407" s="3928" t="s">
        <v>4873</v>
      </c>
      <c r="D2407" s="3928" t="s">
        <v>4874</v>
      </c>
      <c r="E2407" s="3928" t="s">
        <v>4875</v>
      </c>
      <c r="F2407" s="3928" t="s">
        <v>2294</v>
      </c>
      <c r="G2407" s="3928" t="s">
        <v>4876</v>
      </c>
      <c r="H2407" s="3928" t="s">
        <v>4877</v>
      </c>
      <c r="I2407" s="3928" t="s">
        <v>857</v>
      </c>
    </row>
    <row r="2408" spans="1:9" ht="11.25" customHeight="1">
      <c r="A2408" s="3928" t="s">
        <v>2258</v>
      </c>
      <c r="B2408" s="3928" t="s">
        <v>14</v>
      </c>
      <c r="C2408" s="3928" t="s">
        <v>4881</v>
      </c>
      <c r="D2408" s="3928" t="s">
        <v>4882</v>
      </c>
      <c r="E2408" s="3928" t="s">
        <v>4883</v>
      </c>
      <c r="F2408" s="3928" t="s">
        <v>2414</v>
      </c>
      <c r="G2408" s="3928" t="s">
        <v>24</v>
      </c>
      <c r="H2408" s="3928" t="s">
        <v>2945</v>
      </c>
      <c r="I2408" s="3928" t="s">
        <v>857</v>
      </c>
    </row>
    <row r="2409" spans="1:9" ht="11.25" customHeight="1">
      <c r="A2409" s="3928" t="s">
        <v>2258</v>
      </c>
      <c r="B2409" s="3928" t="s">
        <v>14</v>
      </c>
      <c r="C2409" s="3928" t="s">
        <v>4884</v>
      </c>
      <c r="D2409" s="3928" t="s">
        <v>4882</v>
      </c>
      <c r="E2409" s="3928" t="s">
        <v>4885</v>
      </c>
      <c r="F2409" s="3928" t="s">
        <v>2414</v>
      </c>
      <c r="G2409" s="3928" t="s">
        <v>4886</v>
      </c>
      <c r="H2409" s="3928" t="s">
        <v>24</v>
      </c>
      <c r="I2409" s="3928" t="s">
        <v>857</v>
      </c>
    </row>
    <row r="2410" spans="1:9" ht="11.25" customHeight="1">
      <c r="A2410" s="3928" t="s">
        <v>2258</v>
      </c>
      <c r="B2410" s="3928" t="s">
        <v>14</v>
      </c>
      <c r="C2410" s="3928" t="s">
        <v>7423</v>
      </c>
      <c r="D2410" s="3928" t="s">
        <v>7424</v>
      </c>
      <c r="E2410" s="3928" t="s">
        <v>7425</v>
      </c>
      <c r="F2410" s="3928" t="s">
        <v>2294</v>
      </c>
      <c r="G2410" s="3928" t="s">
        <v>24</v>
      </c>
      <c r="H2410" s="3928" t="s">
        <v>24</v>
      </c>
      <c r="I2410" s="3928" t="s">
        <v>857</v>
      </c>
    </row>
    <row r="2411" spans="1:9" ht="11.25" customHeight="1">
      <c r="A2411" s="3928" t="s">
        <v>2258</v>
      </c>
      <c r="B2411" s="3928" t="s">
        <v>14</v>
      </c>
      <c r="C2411" s="3928" t="s">
        <v>6421</v>
      </c>
      <c r="D2411" s="3928" t="s">
        <v>6422</v>
      </c>
      <c r="E2411" s="3928" t="s">
        <v>6423</v>
      </c>
      <c r="F2411" s="3928" t="s">
        <v>2289</v>
      </c>
      <c r="G2411" s="3928" t="s">
        <v>6424</v>
      </c>
      <c r="H2411" s="3928" t="s">
        <v>24</v>
      </c>
      <c r="I2411" s="3928" t="s">
        <v>857</v>
      </c>
    </row>
    <row r="2412" spans="1:9" ht="11.25" customHeight="1">
      <c r="A2412" s="3928" t="s">
        <v>2258</v>
      </c>
      <c r="B2412" s="3928" t="s">
        <v>14</v>
      </c>
      <c r="C2412" s="3928" t="s">
        <v>6425</v>
      </c>
      <c r="D2412" s="3928" t="s">
        <v>6426</v>
      </c>
      <c r="E2412" s="3928" t="s">
        <v>6427</v>
      </c>
      <c r="F2412" s="3928" t="s">
        <v>2451</v>
      </c>
      <c r="G2412" s="3928" t="s">
        <v>24</v>
      </c>
      <c r="H2412" s="3928" t="s">
        <v>2475</v>
      </c>
      <c r="I2412" s="3928" t="s">
        <v>857</v>
      </c>
    </row>
    <row r="2413" spans="1:9" ht="11.25" customHeight="1">
      <c r="A2413" s="3928" t="s">
        <v>2258</v>
      </c>
      <c r="B2413" s="3928" t="s">
        <v>14</v>
      </c>
      <c r="C2413" s="3928" t="s">
        <v>4891</v>
      </c>
      <c r="D2413" s="3928" t="s">
        <v>4892</v>
      </c>
      <c r="E2413" s="3928" t="s">
        <v>4893</v>
      </c>
      <c r="F2413" s="3928" t="s">
        <v>2344</v>
      </c>
      <c r="G2413" s="3928" t="s">
        <v>4894</v>
      </c>
      <c r="H2413" s="3928" t="s">
        <v>24</v>
      </c>
      <c r="I2413" s="3928" t="s">
        <v>857</v>
      </c>
    </row>
    <row r="2414" spans="1:9" ht="11.25" customHeight="1">
      <c r="A2414" s="3928" t="s">
        <v>2258</v>
      </c>
      <c r="B2414" s="3928" t="s">
        <v>14</v>
      </c>
      <c r="C2414" s="3928" t="s">
        <v>4898</v>
      </c>
      <c r="D2414" s="3928" t="s">
        <v>4899</v>
      </c>
      <c r="E2414" s="3928" t="s">
        <v>4900</v>
      </c>
      <c r="F2414" s="3928" t="s">
        <v>2397</v>
      </c>
      <c r="G2414" s="3928" t="s">
        <v>24</v>
      </c>
      <c r="H2414" s="3928" t="s">
        <v>3068</v>
      </c>
      <c r="I2414" s="3928" t="s">
        <v>857</v>
      </c>
    </row>
    <row r="2415" spans="1:9" ht="11.25" customHeight="1">
      <c r="A2415" s="3928" t="s">
        <v>2258</v>
      </c>
      <c r="B2415" s="3928" t="s">
        <v>14</v>
      </c>
      <c r="C2415" s="3928" t="s">
        <v>7426</v>
      </c>
      <c r="D2415" s="3928" t="s">
        <v>7427</v>
      </c>
      <c r="E2415" s="3928" t="s">
        <v>7428</v>
      </c>
      <c r="F2415" s="3928" t="s">
        <v>2409</v>
      </c>
      <c r="G2415" s="3928" t="s">
        <v>7429</v>
      </c>
      <c r="H2415" s="3928" t="s">
        <v>24</v>
      </c>
      <c r="I2415" s="3928" t="s">
        <v>857</v>
      </c>
    </row>
    <row r="2416" spans="1:9" ht="11.25" customHeight="1">
      <c r="A2416" s="3928" t="s">
        <v>2258</v>
      </c>
      <c r="B2416" s="3928" t="s">
        <v>14</v>
      </c>
      <c r="C2416" s="3928" t="s">
        <v>7430</v>
      </c>
      <c r="D2416" s="3928" t="s">
        <v>7431</v>
      </c>
      <c r="E2416" s="3928" t="s">
        <v>7432</v>
      </c>
      <c r="F2416" s="3928" t="s">
        <v>2289</v>
      </c>
      <c r="G2416" s="3928" t="s">
        <v>24</v>
      </c>
      <c r="H2416" s="3928" t="s">
        <v>24</v>
      </c>
      <c r="I2416" s="3928" t="s">
        <v>857</v>
      </c>
    </row>
    <row r="2417" spans="1:9" ht="11.25" customHeight="1">
      <c r="A2417" s="3928" t="s">
        <v>2258</v>
      </c>
      <c r="B2417" s="3928" t="s">
        <v>14</v>
      </c>
      <c r="C2417" s="3928" t="s">
        <v>7433</v>
      </c>
      <c r="D2417" s="3928" t="s">
        <v>7434</v>
      </c>
      <c r="E2417" s="3928" t="s">
        <v>7435</v>
      </c>
      <c r="F2417" s="3928" t="s">
        <v>2325</v>
      </c>
      <c r="G2417" s="3928" t="s">
        <v>24</v>
      </c>
      <c r="H2417" s="3928" t="s">
        <v>24</v>
      </c>
      <c r="I2417" s="3928" t="s">
        <v>857</v>
      </c>
    </row>
    <row r="2418" spans="1:9" ht="11.25" customHeight="1">
      <c r="A2418" s="3928" t="s">
        <v>2258</v>
      </c>
      <c r="B2418" s="3928" t="s">
        <v>14</v>
      </c>
      <c r="C2418" s="3928" t="s">
        <v>7436</v>
      </c>
      <c r="D2418" s="3928" t="s">
        <v>7437</v>
      </c>
      <c r="E2418" s="3928" t="s">
        <v>7438</v>
      </c>
      <c r="F2418" s="3928" t="s">
        <v>2397</v>
      </c>
      <c r="G2418" s="3928" t="s">
        <v>6567</v>
      </c>
      <c r="H2418" s="3928" t="s">
        <v>24</v>
      </c>
      <c r="I2418" s="3928" t="s">
        <v>857</v>
      </c>
    </row>
    <row r="2419" spans="1:9" ht="11.25" customHeight="1">
      <c r="A2419" s="3928" t="s">
        <v>2258</v>
      </c>
      <c r="B2419" s="3928" t="s">
        <v>14</v>
      </c>
      <c r="C2419" s="3928" t="s">
        <v>7439</v>
      </c>
      <c r="D2419" s="3928" t="s">
        <v>7440</v>
      </c>
      <c r="E2419" s="3928" t="s">
        <v>7441</v>
      </c>
      <c r="F2419" s="3928" t="s">
        <v>2464</v>
      </c>
      <c r="G2419" s="3928" t="s">
        <v>24</v>
      </c>
      <c r="H2419" s="3928" t="s">
        <v>24</v>
      </c>
      <c r="I2419" s="3928" t="s">
        <v>857</v>
      </c>
    </row>
    <row r="2420" spans="1:9" ht="11.25" customHeight="1">
      <c r="A2420" s="3928" t="s">
        <v>2258</v>
      </c>
      <c r="B2420" s="3928" t="s">
        <v>14</v>
      </c>
      <c r="C2420" s="3928" t="s">
        <v>4919</v>
      </c>
      <c r="D2420" s="3928" t="s">
        <v>4920</v>
      </c>
      <c r="E2420" s="3928" t="s">
        <v>4921</v>
      </c>
      <c r="F2420" s="3928" t="s">
        <v>2375</v>
      </c>
      <c r="G2420" s="3928" t="s">
        <v>2443</v>
      </c>
      <c r="H2420" s="3928" t="s">
        <v>24</v>
      </c>
      <c r="I2420" s="3928" t="s">
        <v>857</v>
      </c>
    </row>
    <row r="2421" spans="1:9" ht="11.25" customHeight="1">
      <c r="A2421" s="3928" t="s">
        <v>2258</v>
      </c>
      <c r="B2421" s="3928" t="s">
        <v>14</v>
      </c>
      <c r="C2421" s="3928" t="s">
        <v>7442</v>
      </c>
      <c r="D2421" s="3928" t="s">
        <v>7443</v>
      </c>
      <c r="E2421" s="3928" t="s">
        <v>7444</v>
      </c>
      <c r="F2421" s="3928" t="s">
        <v>2289</v>
      </c>
      <c r="G2421" s="3928" t="s">
        <v>7445</v>
      </c>
      <c r="H2421" s="3928" t="s">
        <v>24</v>
      </c>
      <c r="I2421" s="3928" t="s">
        <v>857</v>
      </c>
    </row>
    <row r="2422" spans="1:9" ht="11.25" customHeight="1">
      <c r="A2422" s="3928" t="s">
        <v>2258</v>
      </c>
      <c r="B2422" s="3928" t="s">
        <v>14</v>
      </c>
      <c r="C2422" s="3928" t="s">
        <v>7446</v>
      </c>
      <c r="D2422" s="3928" t="s">
        <v>7447</v>
      </c>
      <c r="E2422" s="3928" t="s">
        <v>7448</v>
      </c>
      <c r="F2422" s="3928" t="s">
        <v>49</v>
      </c>
      <c r="G2422" s="3928" t="s">
        <v>24</v>
      </c>
      <c r="H2422" s="3928" t="s">
        <v>7449</v>
      </c>
      <c r="I2422" s="3928" t="s">
        <v>857</v>
      </c>
    </row>
    <row r="2423" spans="1:9" ht="11.25" customHeight="1">
      <c r="A2423" s="3928" t="s">
        <v>2258</v>
      </c>
      <c r="B2423" s="3928" t="s">
        <v>14</v>
      </c>
      <c r="C2423" s="3928" t="s">
        <v>7450</v>
      </c>
      <c r="D2423" s="3928" t="s">
        <v>7451</v>
      </c>
      <c r="E2423" s="3928" t="s">
        <v>7452</v>
      </c>
      <c r="F2423" s="3928" t="s">
        <v>5930</v>
      </c>
      <c r="G2423" s="3928" t="s">
        <v>7453</v>
      </c>
      <c r="H2423" s="3928" t="s">
        <v>24</v>
      </c>
      <c r="I2423" s="3928" t="s">
        <v>857</v>
      </c>
    </row>
    <row r="2424" spans="1:9" ht="11.25" customHeight="1">
      <c r="A2424" s="3928" t="s">
        <v>2258</v>
      </c>
      <c r="B2424" s="3928" t="s">
        <v>14</v>
      </c>
      <c r="C2424" s="3928" t="s">
        <v>4936</v>
      </c>
      <c r="D2424" s="3928" t="s">
        <v>4937</v>
      </c>
      <c r="E2424" s="3928" t="s">
        <v>4938</v>
      </c>
      <c r="F2424" s="3928" t="s">
        <v>3310</v>
      </c>
      <c r="G2424" s="3928" t="s">
        <v>4939</v>
      </c>
      <c r="H2424" s="3928" t="s">
        <v>24</v>
      </c>
      <c r="I2424" s="3928" t="s">
        <v>857</v>
      </c>
    </row>
    <row r="2425" spans="1:9" ht="11.25" customHeight="1">
      <c r="A2425" s="3928" t="s">
        <v>2258</v>
      </c>
      <c r="B2425" s="3928" t="s">
        <v>14</v>
      </c>
      <c r="C2425" s="3928" t="s">
        <v>4944</v>
      </c>
      <c r="D2425" s="3928" t="s">
        <v>4945</v>
      </c>
      <c r="E2425" s="3928" t="s">
        <v>4946</v>
      </c>
      <c r="F2425" s="3928" t="s">
        <v>49</v>
      </c>
      <c r="G2425" s="3928" t="s">
        <v>24</v>
      </c>
      <c r="H2425" s="3928" t="s">
        <v>2263</v>
      </c>
      <c r="I2425" s="3928" t="s">
        <v>857</v>
      </c>
    </row>
    <row r="2426" spans="1:9" ht="11.25" customHeight="1">
      <c r="A2426" s="3928" t="s">
        <v>2258</v>
      </c>
      <c r="B2426" s="3928" t="s">
        <v>14</v>
      </c>
      <c r="C2426" s="3928" t="s">
        <v>7454</v>
      </c>
      <c r="D2426" s="3928" t="s">
        <v>7455</v>
      </c>
      <c r="E2426" s="3928" t="s">
        <v>7456</v>
      </c>
      <c r="F2426" s="3928" t="s">
        <v>2473</v>
      </c>
      <c r="G2426" s="3928" t="s">
        <v>7457</v>
      </c>
      <c r="H2426" s="3928" t="s">
        <v>24</v>
      </c>
      <c r="I2426" s="3928" t="s">
        <v>857</v>
      </c>
    </row>
    <row r="2427" spans="1:9" ht="11.25" customHeight="1">
      <c r="A2427" s="3928" t="s">
        <v>2258</v>
      </c>
      <c r="B2427" s="3928" t="s">
        <v>14</v>
      </c>
      <c r="C2427" s="3928" t="s">
        <v>7458</v>
      </c>
      <c r="D2427" s="3928" t="s">
        <v>7459</v>
      </c>
      <c r="E2427" s="3928" t="s">
        <v>7460</v>
      </c>
      <c r="F2427" s="3928" t="s">
        <v>2552</v>
      </c>
      <c r="G2427" s="3928" t="s">
        <v>6816</v>
      </c>
      <c r="H2427" s="3928" t="s">
        <v>24</v>
      </c>
      <c r="I2427" s="3928" t="s">
        <v>857</v>
      </c>
    </row>
    <row r="2428" spans="1:9" ht="11.25" customHeight="1">
      <c r="A2428" s="3928" t="s">
        <v>2258</v>
      </c>
      <c r="B2428" s="3928" t="s">
        <v>14</v>
      </c>
      <c r="C2428" s="3928" t="s">
        <v>7461</v>
      </c>
      <c r="D2428" s="3928" t="s">
        <v>7462</v>
      </c>
      <c r="E2428" s="3928" t="s">
        <v>7463</v>
      </c>
      <c r="F2428" s="3928" t="s">
        <v>2419</v>
      </c>
      <c r="G2428" s="3928" t="s">
        <v>7464</v>
      </c>
      <c r="H2428" s="3928" t="s">
        <v>24</v>
      </c>
      <c r="I2428" s="3928" t="s">
        <v>857</v>
      </c>
    </row>
    <row r="2429" spans="1:9" ht="11.25" customHeight="1">
      <c r="A2429" s="3928" t="s">
        <v>2258</v>
      </c>
      <c r="B2429" s="3928" t="s">
        <v>14</v>
      </c>
      <c r="C2429" s="3928" t="s">
        <v>7465</v>
      </c>
      <c r="D2429" s="3928" t="s">
        <v>7466</v>
      </c>
      <c r="E2429" s="3928" t="s">
        <v>7467</v>
      </c>
      <c r="F2429" s="3928" t="s">
        <v>3310</v>
      </c>
      <c r="G2429" s="3928" t="s">
        <v>7468</v>
      </c>
      <c r="H2429" s="3928" t="s">
        <v>2263</v>
      </c>
      <c r="I2429" s="3928" t="s">
        <v>857</v>
      </c>
    </row>
    <row r="2430" spans="1:9" ht="11.25" customHeight="1">
      <c r="A2430" s="3928" t="s">
        <v>2258</v>
      </c>
      <c r="B2430" s="3928" t="s">
        <v>14</v>
      </c>
      <c r="C2430" s="3928" t="s">
        <v>7469</v>
      </c>
      <c r="D2430" s="3928" t="s">
        <v>7470</v>
      </c>
      <c r="E2430" s="3928" t="s">
        <v>7471</v>
      </c>
      <c r="F2430" s="3928" t="s">
        <v>2304</v>
      </c>
      <c r="G2430" s="3928" t="s">
        <v>24</v>
      </c>
      <c r="H2430" s="3928" t="s">
        <v>24</v>
      </c>
      <c r="I2430" s="3928" t="s">
        <v>857</v>
      </c>
    </row>
    <row r="2431" spans="1:9" ht="11.25" customHeight="1">
      <c r="A2431" s="3928" t="s">
        <v>2258</v>
      </c>
      <c r="B2431" s="3928" t="s">
        <v>14</v>
      </c>
      <c r="C2431" s="3928" t="s">
        <v>4958</v>
      </c>
      <c r="D2431" s="3928" t="s">
        <v>4959</v>
      </c>
      <c r="E2431" s="3928" t="s">
        <v>4960</v>
      </c>
      <c r="F2431" s="3928" t="s">
        <v>2375</v>
      </c>
      <c r="G2431" s="3928" t="s">
        <v>24</v>
      </c>
      <c r="H2431" s="3928" t="s">
        <v>24</v>
      </c>
      <c r="I2431" s="3928" t="s">
        <v>857</v>
      </c>
    </row>
    <row r="2432" spans="1:9" ht="11.25" customHeight="1">
      <c r="A2432" s="3928" t="s">
        <v>2258</v>
      </c>
      <c r="B2432" s="3928" t="s">
        <v>14</v>
      </c>
      <c r="C2432" s="3928" t="s">
        <v>4961</v>
      </c>
      <c r="D2432" s="3928" t="s">
        <v>4962</v>
      </c>
      <c r="E2432" s="3928" t="s">
        <v>4963</v>
      </c>
      <c r="F2432" s="3928" t="s">
        <v>2289</v>
      </c>
      <c r="G2432" s="3928" t="s">
        <v>4964</v>
      </c>
      <c r="H2432" s="3928" t="s">
        <v>24</v>
      </c>
      <c r="I2432" s="3928" t="s">
        <v>857</v>
      </c>
    </row>
    <row r="2433" spans="1:9" ht="11.25" customHeight="1">
      <c r="A2433" s="3928" t="s">
        <v>2258</v>
      </c>
      <c r="B2433" s="3928" t="s">
        <v>14</v>
      </c>
      <c r="C2433" s="3928" t="s">
        <v>7472</v>
      </c>
      <c r="D2433" s="3928" t="s">
        <v>7473</v>
      </c>
      <c r="E2433" s="3928" t="s">
        <v>7474</v>
      </c>
      <c r="F2433" s="3928" t="s">
        <v>2701</v>
      </c>
      <c r="G2433" s="3928" t="s">
        <v>24</v>
      </c>
      <c r="H2433" s="3928" t="s">
        <v>24</v>
      </c>
      <c r="I2433" s="3928" t="s">
        <v>857</v>
      </c>
    </row>
    <row r="2434" spans="1:9" ht="11.25" customHeight="1">
      <c r="A2434" s="3928" t="s">
        <v>2258</v>
      </c>
      <c r="B2434" s="3928" t="s">
        <v>14</v>
      </c>
      <c r="C2434" s="3928" t="s">
        <v>4965</v>
      </c>
      <c r="D2434" s="3928" t="s">
        <v>4966</v>
      </c>
      <c r="E2434" s="3928" t="s">
        <v>4967</v>
      </c>
      <c r="F2434" s="3928" t="s">
        <v>2309</v>
      </c>
      <c r="G2434" s="3928" t="s">
        <v>4968</v>
      </c>
      <c r="H2434" s="3928" t="s">
        <v>24</v>
      </c>
      <c r="I2434" s="3928" t="s">
        <v>857</v>
      </c>
    </row>
    <row r="2435" spans="1:9" ht="11.25" customHeight="1">
      <c r="A2435" s="3928" t="s">
        <v>2258</v>
      </c>
      <c r="B2435" s="3928" t="s">
        <v>14</v>
      </c>
      <c r="C2435" s="3928" t="s">
        <v>7475</v>
      </c>
      <c r="D2435" s="3928" t="s">
        <v>7476</v>
      </c>
      <c r="E2435" s="3928" t="s">
        <v>7477</v>
      </c>
      <c r="F2435" s="3928" t="s">
        <v>2486</v>
      </c>
      <c r="G2435" s="3928" t="s">
        <v>24</v>
      </c>
      <c r="H2435" s="3928" t="s">
        <v>7478</v>
      </c>
      <c r="I2435" s="3928" t="s">
        <v>857</v>
      </c>
    </row>
    <row r="2436" spans="1:9" ht="11.25" customHeight="1">
      <c r="A2436" s="3928" t="s">
        <v>2258</v>
      </c>
      <c r="B2436" s="3928" t="s">
        <v>14</v>
      </c>
      <c r="C2436" s="3928" t="s">
        <v>4975</v>
      </c>
      <c r="D2436" s="3928" t="s">
        <v>4976</v>
      </c>
      <c r="E2436" s="3928" t="s">
        <v>4977</v>
      </c>
      <c r="F2436" s="3928" t="s">
        <v>2438</v>
      </c>
      <c r="G2436" s="3928" t="s">
        <v>24</v>
      </c>
      <c r="H2436" s="3928" t="s">
        <v>24</v>
      </c>
      <c r="I2436" s="3928" t="s">
        <v>857</v>
      </c>
    </row>
    <row r="2437" spans="1:9" ht="11.25" customHeight="1">
      <c r="A2437" s="3928" t="s">
        <v>2258</v>
      </c>
      <c r="B2437" s="3928" t="s">
        <v>14</v>
      </c>
      <c r="C2437" s="3928" t="s">
        <v>7479</v>
      </c>
      <c r="D2437" s="3928" t="s">
        <v>7480</v>
      </c>
      <c r="E2437" s="3928" t="s">
        <v>7481</v>
      </c>
      <c r="F2437" s="3928" t="s">
        <v>2414</v>
      </c>
      <c r="G2437" s="3928" t="s">
        <v>24</v>
      </c>
      <c r="H2437" s="3928" t="s">
        <v>24</v>
      </c>
      <c r="I2437" s="3928" t="s">
        <v>857</v>
      </c>
    </row>
    <row r="2438" spans="1:9" ht="11.25" customHeight="1">
      <c r="A2438" s="3928" t="s">
        <v>2258</v>
      </c>
      <c r="B2438" s="3928" t="s">
        <v>14</v>
      </c>
      <c r="C2438" s="3928" t="s">
        <v>4981</v>
      </c>
      <c r="D2438" s="3928" t="s">
        <v>4982</v>
      </c>
      <c r="E2438" s="3928" t="s">
        <v>4983</v>
      </c>
      <c r="F2438" s="3928" t="s">
        <v>4984</v>
      </c>
      <c r="G2438" s="3928" t="s">
        <v>4985</v>
      </c>
      <c r="H2438" s="3928" t="s">
        <v>24</v>
      </c>
      <c r="I2438" s="3928" t="s">
        <v>857</v>
      </c>
    </row>
    <row r="2439" spans="1:9" ht="11.25" customHeight="1">
      <c r="A2439" s="3928" t="s">
        <v>2258</v>
      </c>
      <c r="B2439" s="3928" t="s">
        <v>14</v>
      </c>
      <c r="C2439" s="3928" t="s">
        <v>6428</v>
      </c>
      <c r="D2439" s="3928" t="s">
        <v>6429</v>
      </c>
      <c r="E2439" s="3928" t="s">
        <v>6430</v>
      </c>
      <c r="F2439" s="3928" t="s">
        <v>2419</v>
      </c>
      <c r="G2439" s="3928" t="s">
        <v>24</v>
      </c>
      <c r="H2439" s="3928" t="s">
        <v>24</v>
      </c>
      <c r="I2439" s="3928" t="s">
        <v>857</v>
      </c>
    </row>
    <row r="2440" spans="1:9" ht="11.25" customHeight="1">
      <c r="A2440" s="3928" t="s">
        <v>2258</v>
      </c>
      <c r="B2440" s="3928" t="s">
        <v>14</v>
      </c>
      <c r="C2440" s="3928" t="s">
        <v>7482</v>
      </c>
      <c r="D2440" s="3928" t="s">
        <v>7483</v>
      </c>
      <c r="E2440" s="3928" t="s">
        <v>7484</v>
      </c>
      <c r="F2440" s="3928" t="s">
        <v>4839</v>
      </c>
      <c r="G2440" s="3928" t="s">
        <v>7485</v>
      </c>
      <c r="H2440" s="3928" t="s">
        <v>24</v>
      </c>
      <c r="I2440" s="3928" t="s">
        <v>857</v>
      </c>
    </row>
    <row r="2441" spans="1:9" ht="11.25" customHeight="1">
      <c r="A2441" s="3928" t="s">
        <v>2258</v>
      </c>
      <c r="B2441" s="3928" t="s">
        <v>14</v>
      </c>
      <c r="C2441" s="3928" t="s">
        <v>7486</v>
      </c>
      <c r="D2441" s="3928" t="s">
        <v>7487</v>
      </c>
      <c r="E2441" s="3928" t="s">
        <v>7488</v>
      </c>
      <c r="F2441" s="3928" t="s">
        <v>2419</v>
      </c>
      <c r="G2441" s="3928" t="s">
        <v>7489</v>
      </c>
      <c r="H2441" s="3928" t="s">
        <v>24</v>
      </c>
      <c r="I2441" s="3928" t="s">
        <v>857</v>
      </c>
    </row>
    <row r="2442" spans="1:9" ht="11.25" customHeight="1">
      <c r="A2442" s="3928" t="s">
        <v>2258</v>
      </c>
      <c r="B2442" s="3928" t="s">
        <v>14</v>
      </c>
      <c r="C2442" s="3928" t="s">
        <v>7490</v>
      </c>
      <c r="D2442" s="3928" t="s">
        <v>7491</v>
      </c>
      <c r="E2442" s="3928" t="s">
        <v>7492</v>
      </c>
      <c r="F2442" s="3928" t="s">
        <v>2393</v>
      </c>
      <c r="G2442" s="3928" t="s">
        <v>24</v>
      </c>
      <c r="H2442" s="3928" t="s">
        <v>24</v>
      </c>
      <c r="I2442" s="3928" t="s">
        <v>857</v>
      </c>
    </row>
    <row r="2443" spans="1:9" ht="11.25" customHeight="1">
      <c r="A2443" s="3928" t="s">
        <v>2258</v>
      </c>
      <c r="B2443" s="3928" t="s">
        <v>14</v>
      </c>
      <c r="C2443" s="3928" t="s">
        <v>7493</v>
      </c>
      <c r="D2443" s="3928" t="s">
        <v>7494</v>
      </c>
      <c r="E2443" s="3928" t="s">
        <v>7495</v>
      </c>
      <c r="F2443" s="3928" t="s">
        <v>3039</v>
      </c>
      <c r="G2443" s="3928" t="s">
        <v>24</v>
      </c>
      <c r="H2443" s="3928" t="s">
        <v>24</v>
      </c>
      <c r="I2443" s="3928" t="s">
        <v>857</v>
      </c>
    </row>
    <row r="2444" spans="1:9" ht="11.25" customHeight="1">
      <c r="A2444" s="3928" t="s">
        <v>2258</v>
      </c>
      <c r="B2444" s="3928" t="s">
        <v>14</v>
      </c>
      <c r="C2444" s="3928" t="s">
        <v>4995</v>
      </c>
      <c r="D2444" s="3928" t="s">
        <v>4996</v>
      </c>
      <c r="E2444" s="3928" t="s">
        <v>4997</v>
      </c>
      <c r="F2444" s="3928" t="s">
        <v>2965</v>
      </c>
      <c r="G2444" s="3928" t="s">
        <v>4998</v>
      </c>
      <c r="H2444" s="3928" t="s">
        <v>24</v>
      </c>
      <c r="I2444" s="3928" t="s">
        <v>857</v>
      </c>
    </row>
    <row r="2445" spans="1:9" ht="11.25" customHeight="1">
      <c r="A2445" s="3928" t="s">
        <v>2258</v>
      </c>
      <c r="B2445" s="3928" t="s">
        <v>14</v>
      </c>
      <c r="C2445" s="3928" t="s">
        <v>5020</v>
      </c>
      <c r="D2445" s="3928" t="s">
        <v>5021</v>
      </c>
      <c r="E2445" s="3928" t="s">
        <v>5022</v>
      </c>
      <c r="F2445" s="3928" t="s">
        <v>2429</v>
      </c>
      <c r="G2445" s="3928" t="s">
        <v>5023</v>
      </c>
      <c r="H2445" s="3928" t="s">
        <v>5024</v>
      </c>
      <c r="I2445" s="3928" t="s">
        <v>857</v>
      </c>
    </row>
    <row r="2446" spans="1:9" ht="11.25" customHeight="1">
      <c r="A2446" s="3928" t="s">
        <v>2258</v>
      </c>
      <c r="B2446" s="3928" t="s">
        <v>14</v>
      </c>
      <c r="C2446" s="3928" t="s">
        <v>7496</v>
      </c>
      <c r="D2446" s="3928" t="s">
        <v>7497</v>
      </c>
      <c r="E2446" s="3928" t="s">
        <v>7498</v>
      </c>
      <c r="F2446" s="3928" t="s">
        <v>2289</v>
      </c>
      <c r="G2446" s="3928" t="s">
        <v>7499</v>
      </c>
      <c r="H2446" s="3928" t="s">
        <v>24</v>
      </c>
      <c r="I2446" s="3928" t="s">
        <v>857</v>
      </c>
    </row>
    <row r="2447" spans="1:9" ht="11.25" customHeight="1">
      <c r="A2447" s="3928" t="s">
        <v>2258</v>
      </c>
      <c r="B2447" s="3928" t="s">
        <v>14</v>
      </c>
      <c r="C2447" s="3928" t="s">
        <v>7500</v>
      </c>
      <c r="D2447" s="3928" t="s">
        <v>7501</v>
      </c>
      <c r="E2447" s="3928" t="s">
        <v>7502</v>
      </c>
      <c r="F2447" s="3928" t="s">
        <v>2409</v>
      </c>
      <c r="G2447" s="3928" t="s">
        <v>7503</v>
      </c>
      <c r="H2447" s="3928" t="s">
        <v>24</v>
      </c>
      <c r="I2447" s="3928" t="s">
        <v>857</v>
      </c>
    </row>
    <row r="2448" spans="1:9" ht="11.25" customHeight="1">
      <c r="A2448" s="3928" t="s">
        <v>2258</v>
      </c>
      <c r="B2448" s="3928" t="s">
        <v>14</v>
      </c>
      <c r="C2448" s="3928" t="s">
        <v>7504</v>
      </c>
      <c r="D2448" s="3928" t="s">
        <v>7505</v>
      </c>
      <c r="E2448" s="3928" t="s">
        <v>7506</v>
      </c>
      <c r="F2448" s="3928" t="s">
        <v>2675</v>
      </c>
      <c r="G2448" s="3928" t="s">
        <v>24</v>
      </c>
      <c r="H2448" s="3928" t="s">
        <v>7507</v>
      </c>
      <c r="I2448" s="3928" t="s">
        <v>857</v>
      </c>
    </row>
    <row r="2449" spans="1:9" ht="11.25" customHeight="1">
      <c r="A2449" s="3928" t="s">
        <v>2258</v>
      </c>
      <c r="B2449" s="3928" t="s">
        <v>14</v>
      </c>
      <c r="C2449" s="3928" t="s">
        <v>7508</v>
      </c>
      <c r="D2449" s="3928" t="s">
        <v>7509</v>
      </c>
      <c r="E2449" s="3928" t="s">
        <v>7510</v>
      </c>
      <c r="F2449" s="3928" t="s">
        <v>2486</v>
      </c>
      <c r="G2449" s="3928" t="s">
        <v>24</v>
      </c>
      <c r="H2449" s="3928" t="s">
        <v>2848</v>
      </c>
      <c r="I2449" s="3928" t="s">
        <v>857</v>
      </c>
    </row>
    <row r="2450" spans="1:9" ht="11.25" customHeight="1">
      <c r="A2450" s="3928" t="s">
        <v>2258</v>
      </c>
      <c r="B2450" s="3928" t="s">
        <v>14</v>
      </c>
      <c r="C2450" s="3928" t="s">
        <v>7511</v>
      </c>
      <c r="D2450" s="3928" t="s">
        <v>7512</v>
      </c>
      <c r="E2450" s="3928" t="s">
        <v>7513</v>
      </c>
      <c r="F2450" s="3928" t="s">
        <v>2354</v>
      </c>
      <c r="G2450" s="3928" t="s">
        <v>24</v>
      </c>
      <c r="H2450" s="3928" t="s">
        <v>24</v>
      </c>
      <c r="I2450" s="3928" t="s">
        <v>857</v>
      </c>
    </row>
    <row r="2451" spans="1:9" ht="11.25" customHeight="1">
      <c r="A2451" s="3928" t="s">
        <v>2258</v>
      </c>
      <c r="B2451" s="3928" t="s">
        <v>14</v>
      </c>
      <c r="C2451" s="3928" t="s">
        <v>5060</v>
      </c>
      <c r="D2451" s="3928" t="s">
        <v>5061</v>
      </c>
      <c r="E2451" s="3928" t="s">
        <v>5062</v>
      </c>
      <c r="F2451" s="3928" t="s">
        <v>2780</v>
      </c>
      <c r="G2451" s="3928" t="s">
        <v>24</v>
      </c>
      <c r="H2451" s="3928" t="s">
        <v>3068</v>
      </c>
      <c r="I2451" s="3928" t="s">
        <v>857</v>
      </c>
    </row>
    <row r="2452" spans="1:9" ht="11.25" customHeight="1">
      <c r="A2452" s="3928" t="s">
        <v>2258</v>
      </c>
      <c r="B2452" s="3928" t="s">
        <v>14</v>
      </c>
      <c r="C2452" s="3928" t="s">
        <v>7514</v>
      </c>
      <c r="D2452" s="3928" t="s">
        <v>7515</v>
      </c>
      <c r="E2452" s="3928" t="s">
        <v>7516</v>
      </c>
      <c r="F2452" s="3928" t="s">
        <v>2638</v>
      </c>
      <c r="G2452" s="3928" t="s">
        <v>7517</v>
      </c>
      <c r="H2452" s="3928" t="s">
        <v>24</v>
      </c>
      <c r="I2452" s="3928" t="s">
        <v>857</v>
      </c>
    </row>
    <row r="2453" spans="1:9" ht="11.25" customHeight="1">
      <c r="A2453" s="3928" t="s">
        <v>2258</v>
      </c>
      <c r="B2453" s="3928" t="s">
        <v>14</v>
      </c>
      <c r="C2453" s="3928" t="s">
        <v>5063</v>
      </c>
      <c r="D2453" s="3928" t="s">
        <v>5064</v>
      </c>
      <c r="E2453" s="3928" t="s">
        <v>5065</v>
      </c>
      <c r="F2453" s="3928" t="s">
        <v>2294</v>
      </c>
      <c r="G2453" s="3928" t="s">
        <v>5066</v>
      </c>
      <c r="H2453" s="3928" t="s">
        <v>24</v>
      </c>
      <c r="I2453" s="3928" t="s">
        <v>857</v>
      </c>
    </row>
    <row r="2454" spans="1:9" ht="11.25" customHeight="1">
      <c r="A2454" s="3928" t="s">
        <v>2258</v>
      </c>
      <c r="B2454" s="3928" t="s">
        <v>14</v>
      </c>
      <c r="C2454" s="3928" t="s">
        <v>5067</v>
      </c>
      <c r="D2454" s="3928" t="s">
        <v>5068</v>
      </c>
      <c r="E2454" s="3928" t="s">
        <v>5069</v>
      </c>
      <c r="F2454" s="3928" t="s">
        <v>2429</v>
      </c>
      <c r="G2454" s="3928" t="s">
        <v>5070</v>
      </c>
      <c r="H2454" s="3928" t="s">
        <v>2263</v>
      </c>
      <c r="I2454" s="3928" t="s">
        <v>857</v>
      </c>
    </row>
    <row r="2455" spans="1:9" ht="11.25" customHeight="1">
      <c r="A2455" s="3928" t="s">
        <v>2258</v>
      </c>
      <c r="B2455" s="3928" t="s">
        <v>14</v>
      </c>
      <c r="C2455" s="3928" t="s">
        <v>5071</v>
      </c>
      <c r="D2455" s="3928" t="s">
        <v>5068</v>
      </c>
      <c r="E2455" s="3928" t="s">
        <v>5072</v>
      </c>
      <c r="F2455" s="3928" t="s">
        <v>2429</v>
      </c>
      <c r="G2455" s="3928" t="s">
        <v>24</v>
      </c>
      <c r="H2455" s="3928" t="s">
        <v>3522</v>
      </c>
      <c r="I2455" s="3928" t="s">
        <v>857</v>
      </c>
    </row>
    <row r="2456" spans="1:9" ht="11.25" customHeight="1">
      <c r="A2456" s="3928" t="s">
        <v>2258</v>
      </c>
      <c r="B2456" s="3928" t="s">
        <v>14</v>
      </c>
      <c r="C2456" s="3928" t="s">
        <v>5073</v>
      </c>
      <c r="D2456" s="3928" t="s">
        <v>5074</v>
      </c>
      <c r="E2456" s="3928" t="s">
        <v>5075</v>
      </c>
      <c r="F2456" s="3928" t="s">
        <v>2429</v>
      </c>
      <c r="G2456" s="3928" t="s">
        <v>24</v>
      </c>
      <c r="H2456" s="3928" t="s">
        <v>24</v>
      </c>
      <c r="I2456" s="3928" t="s">
        <v>857</v>
      </c>
    </row>
    <row r="2457" spans="1:9" ht="11.25" customHeight="1">
      <c r="A2457" s="3928" t="s">
        <v>2258</v>
      </c>
      <c r="B2457" s="3928" t="s">
        <v>14</v>
      </c>
      <c r="C2457" s="3928" t="s">
        <v>5076</v>
      </c>
      <c r="D2457" s="3928" t="s">
        <v>5077</v>
      </c>
      <c r="E2457" s="3928" t="s">
        <v>5078</v>
      </c>
      <c r="F2457" s="3928" t="s">
        <v>2429</v>
      </c>
      <c r="G2457" s="3928" t="s">
        <v>5079</v>
      </c>
      <c r="H2457" s="3928" t="s">
        <v>2263</v>
      </c>
      <c r="I2457" s="3928" t="s">
        <v>857</v>
      </c>
    </row>
    <row r="2458" spans="1:9" ht="11.25" customHeight="1">
      <c r="A2458" s="3928" t="s">
        <v>2258</v>
      </c>
      <c r="B2458" s="3928" t="s">
        <v>14</v>
      </c>
      <c r="C2458" s="3928" t="s">
        <v>5084</v>
      </c>
      <c r="D2458" s="3928" t="s">
        <v>5085</v>
      </c>
      <c r="E2458" s="3928" t="s">
        <v>5086</v>
      </c>
      <c r="F2458" s="3928" t="s">
        <v>2638</v>
      </c>
      <c r="G2458" s="3928" t="s">
        <v>5087</v>
      </c>
      <c r="H2458" s="3928" t="s">
        <v>24</v>
      </c>
      <c r="I2458" s="3928" t="s">
        <v>857</v>
      </c>
    </row>
    <row r="2459" spans="1:9" ht="11.25" customHeight="1">
      <c r="A2459" s="3928" t="s">
        <v>2258</v>
      </c>
      <c r="B2459" s="3928" t="s">
        <v>14</v>
      </c>
      <c r="C2459" s="3928" t="s">
        <v>5088</v>
      </c>
      <c r="D2459" s="3928" t="s">
        <v>5089</v>
      </c>
      <c r="E2459" s="3928" t="s">
        <v>5090</v>
      </c>
      <c r="F2459" s="3928" t="s">
        <v>4792</v>
      </c>
      <c r="G2459" s="3928" t="s">
        <v>24</v>
      </c>
      <c r="H2459" s="3928" t="s">
        <v>2263</v>
      </c>
      <c r="I2459" s="3928" t="s">
        <v>857</v>
      </c>
    </row>
    <row r="2460" spans="1:9" ht="11.25" customHeight="1">
      <c r="A2460" s="3928" t="s">
        <v>2258</v>
      </c>
      <c r="B2460" s="3928" t="s">
        <v>14</v>
      </c>
      <c r="C2460" s="3928" t="s">
        <v>7518</v>
      </c>
      <c r="D2460" s="3928" t="s">
        <v>7519</v>
      </c>
      <c r="E2460" s="3928" t="s">
        <v>7520</v>
      </c>
      <c r="F2460" s="3928" t="s">
        <v>2701</v>
      </c>
      <c r="G2460" s="3928" t="s">
        <v>7521</v>
      </c>
      <c r="H2460" s="3928" t="s">
        <v>24</v>
      </c>
      <c r="I2460" s="3928" t="s">
        <v>857</v>
      </c>
    </row>
    <row r="2461" spans="1:9" ht="11.25" customHeight="1">
      <c r="A2461" s="3928" t="s">
        <v>2258</v>
      </c>
      <c r="B2461" s="3928" t="s">
        <v>14</v>
      </c>
      <c r="C2461" s="3928" t="s">
        <v>7522</v>
      </c>
      <c r="D2461" s="3928" t="s">
        <v>7523</v>
      </c>
      <c r="E2461" s="3928" t="s">
        <v>7524</v>
      </c>
      <c r="F2461" s="3928" t="s">
        <v>2393</v>
      </c>
      <c r="G2461" s="3928" t="s">
        <v>24</v>
      </c>
      <c r="H2461" s="3928" t="s">
        <v>24</v>
      </c>
      <c r="I2461" s="3928" t="s">
        <v>857</v>
      </c>
    </row>
    <row r="2462" spans="1:9" ht="11.25" customHeight="1">
      <c r="A2462" s="3928" t="s">
        <v>2258</v>
      </c>
      <c r="B2462" s="3928" t="s">
        <v>14</v>
      </c>
      <c r="C2462" s="3928" t="s">
        <v>7525</v>
      </c>
      <c r="D2462" s="3928" t="s">
        <v>7526</v>
      </c>
      <c r="E2462" s="3928" t="s">
        <v>7527</v>
      </c>
      <c r="F2462" s="3928" t="s">
        <v>2567</v>
      </c>
      <c r="G2462" s="3928" t="s">
        <v>5994</v>
      </c>
      <c r="H2462" s="3928" t="s">
        <v>2263</v>
      </c>
      <c r="I2462" s="3928" t="s">
        <v>857</v>
      </c>
    </row>
    <row r="2463" spans="1:9" ht="11.25" customHeight="1">
      <c r="A2463" s="3928" t="s">
        <v>2258</v>
      </c>
      <c r="B2463" s="3928" t="s">
        <v>14</v>
      </c>
      <c r="C2463" s="3928" t="s">
        <v>7528</v>
      </c>
      <c r="D2463" s="3928" t="s">
        <v>7529</v>
      </c>
      <c r="E2463" s="3928" t="s">
        <v>7530</v>
      </c>
      <c r="F2463" s="3928" t="s">
        <v>2552</v>
      </c>
      <c r="G2463" s="3928" t="s">
        <v>7531</v>
      </c>
      <c r="H2463" s="3928" t="s">
        <v>24</v>
      </c>
      <c r="I2463" s="3928" t="s">
        <v>857</v>
      </c>
    </row>
    <row r="2464" spans="1:9" ht="11.25" customHeight="1">
      <c r="A2464" s="3928" t="s">
        <v>2258</v>
      </c>
      <c r="B2464" s="3928" t="s">
        <v>14</v>
      </c>
      <c r="C2464" s="3928" t="s">
        <v>5100</v>
      </c>
      <c r="D2464" s="3928" t="s">
        <v>5101</v>
      </c>
      <c r="E2464" s="3928" t="s">
        <v>5102</v>
      </c>
      <c r="F2464" s="3928" t="s">
        <v>49</v>
      </c>
      <c r="G2464" s="3928" t="s">
        <v>2443</v>
      </c>
      <c r="H2464" s="3928" t="s">
        <v>24</v>
      </c>
      <c r="I2464" s="3928" t="s">
        <v>857</v>
      </c>
    </row>
    <row r="2465" spans="1:9" ht="11.25" customHeight="1">
      <c r="A2465" s="3928" t="s">
        <v>2258</v>
      </c>
      <c r="B2465" s="3928" t="s">
        <v>14</v>
      </c>
      <c r="C2465" s="3928" t="s">
        <v>7532</v>
      </c>
      <c r="D2465" s="3928" t="s">
        <v>7533</v>
      </c>
      <c r="E2465" s="3928" t="s">
        <v>7534</v>
      </c>
      <c r="F2465" s="3928" t="s">
        <v>2409</v>
      </c>
      <c r="G2465" s="3928" t="s">
        <v>24</v>
      </c>
      <c r="H2465" s="3928" t="s">
        <v>7535</v>
      </c>
      <c r="I2465" s="3928" t="s">
        <v>857</v>
      </c>
    </row>
    <row r="2466" spans="1:9" ht="11.25" customHeight="1">
      <c r="A2466" s="3928" t="s">
        <v>2258</v>
      </c>
      <c r="B2466" s="3928" t="s">
        <v>14</v>
      </c>
      <c r="C2466" s="3928" t="s">
        <v>5111</v>
      </c>
      <c r="D2466" s="3928" t="s">
        <v>5112</v>
      </c>
      <c r="E2466" s="3928" t="s">
        <v>5113</v>
      </c>
      <c r="F2466" s="3928" t="s">
        <v>2397</v>
      </c>
      <c r="G2466" s="3928" t="s">
        <v>5114</v>
      </c>
      <c r="H2466" s="3928" t="s">
        <v>24</v>
      </c>
      <c r="I2466" s="3928" t="s">
        <v>857</v>
      </c>
    </row>
    <row r="2467" spans="1:9" ht="11.25" customHeight="1">
      <c r="A2467" s="3928" t="s">
        <v>2258</v>
      </c>
      <c r="B2467" s="3928" t="s">
        <v>14</v>
      </c>
      <c r="C2467" s="3928" t="s">
        <v>7536</v>
      </c>
      <c r="D2467" s="3928" t="s">
        <v>7537</v>
      </c>
      <c r="E2467" s="3928" t="s">
        <v>7538</v>
      </c>
      <c r="F2467" s="3928" t="s">
        <v>2469</v>
      </c>
      <c r="G2467" s="3928" t="s">
        <v>24</v>
      </c>
      <c r="H2467" s="3928" t="s">
        <v>24</v>
      </c>
      <c r="I2467" s="3928" t="s">
        <v>857</v>
      </c>
    </row>
    <row r="2468" spans="1:9" ht="11.25" customHeight="1">
      <c r="A2468" s="3928" t="s">
        <v>2258</v>
      </c>
      <c r="B2468" s="3928" t="s">
        <v>14</v>
      </c>
      <c r="C2468" s="3928" t="s">
        <v>7539</v>
      </c>
      <c r="D2468" s="3928" t="s">
        <v>7540</v>
      </c>
      <c r="E2468" s="3928" t="s">
        <v>7541</v>
      </c>
      <c r="F2468" s="3928" t="s">
        <v>2552</v>
      </c>
      <c r="G2468" s="3928" t="s">
        <v>24</v>
      </c>
      <c r="H2468" s="3928" t="s">
        <v>24</v>
      </c>
      <c r="I2468" s="3928" t="s">
        <v>857</v>
      </c>
    </row>
    <row r="2469" spans="1:9" ht="11.25" customHeight="1">
      <c r="A2469" s="3928" t="s">
        <v>2258</v>
      </c>
      <c r="B2469" s="3928" t="s">
        <v>14</v>
      </c>
      <c r="C2469" s="3928" t="s">
        <v>5142</v>
      </c>
      <c r="D2469" s="3928" t="s">
        <v>5143</v>
      </c>
      <c r="E2469" s="3928" t="s">
        <v>5144</v>
      </c>
      <c r="F2469" s="3928" t="s">
        <v>2473</v>
      </c>
      <c r="G2469" s="3928" t="s">
        <v>5145</v>
      </c>
      <c r="H2469" s="3928" t="s">
        <v>24</v>
      </c>
      <c r="I2469" s="3928" t="s">
        <v>857</v>
      </c>
    </row>
    <row r="2470" spans="1:9" ht="11.25" customHeight="1">
      <c r="A2470" s="3928" t="s">
        <v>2258</v>
      </c>
      <c r="B2470" s="3928" t="s">
        <v>14</v>
      </c>
      <c r="C2470" s="3928" t="s">
        <v>5152</v>
      </c>
      <c r="D2470" s="3928" t="s">
        <v>5153</v>
      </c>
      <c r="E2470" s="3928" t="s">
        <v>5154</v>
      </c>
      <c r="F2470" s="3928" t="s">
        <v>4839</v>
      </c>
      <c r="G2470" s="3928" t="s">
        <v>24</v>
      </c>
      <c r="H2470" s="3928" t="s">
        <v>24</v>
      </c>
      <c r="I2470" s="3928" t="s">
        <v>857</v>
      </c>
    </row>
    <row r="2471" spans="1:9" ht="11.25" customHeight="1">
      <c r="A2471" s="3928" t="s">
        <v>2258</v>
      </c>
      <c r="B2471" s="3928" t="s">
        <v>14</v>
      </c>
      <c r="C2471" s="3928" t="s">
        <v>7542</v>
      </c>
      <c r="D2471" s="3928" t="s">
        <v>7543</v>
      </c>
      <c r="E2471" s="3928" t="s">
        <v>6488</v>
      </c>
      <c r="F2471" s="3928" t="s">
        <v>2304</v>
      </c>
      <c r="G2471" s="3928" t="s">
        <v>24</v>
      </c>
      <c r="H2471" s="3928" t="s">
        <v>24</v>
      </c>
      <c r="I2471" s="3928" t="s">
        <v>857</v>
      </c>
    </row>
    <row r="2472" spans="1:9" ht="11.25" customHeight="1">
      <c r="A2472" s="3928" t="s">
        <v>2258</v>
      </c>
      <c r="B2472" s="3928" t="s">
        <v>14</v>
      </c>
      <c r="C2472" s="3928" t="s">
        <v>5166</v>
      </c>
      <c r="D2472" s="3928" t="s">
        <v>5167</v>
      </c>
      <c r="E2472" s="3928" t="s">
        <v>5168</v>
      </c>
      <c r="F2472" s="3928" t="s">
        <v>49</v>
      </c>
      <c r="G2472" s="3928" t="s">
        <v>24</v>
      </c>
      <c r="H2472" s="3928" t="s">
        <v>5169</v>
      </c>
      <c r="I2472" s="3928" t="s">
        <v>857</v>
      </c>
    </row>
    <row r="2473" spans="1:9" ht="11.25" customHeight="1">
      <c r="A2473" s="3928" t="s">
        <v>2258</v>
      </c>
      <c r="B2473" s="3928" t="s">
        <v>14</v>
      </c>
      <c r="C2473" s="3928" t="s">
        <v>6433</v>
      </c>
      <c r="D2473" s="3928" t="s">
        <v>6434</v>
      </c>
      <c r="E2473" s="3928" t="s">
        <v>6435</v>
      </c>
      <c r="F2473" s="3928" t="s">
        <v>2780</v>
      </c>
      <c r="G2473" s="3928" t="s">
        <v>24</v>
      </c>
      <c r="H2473" s="3928" t="s">
        <v>24</v>
      </c>
      <c r="I2473" s="3928" t="s">
        <v>857</v>
      </c>
    </row>
    <row r="2474" spans="1:9" ht="11.25" customHeight="1">
      <c r="A2474" s="3928" t="s">
        <v>2258</v>
      </c>
      <c r="B2474" s="3928" t="s">
        <v>14</v>
      </c>
      <c r="C2474" s="3928" t="s">
        <v>5177</v>
      </c>
      <c r="D2474" s="3928" t="s">
        <v>5178</v>
      </c>
      <c r="E2474" s="3928" t="s">
        <v>5179</v>
      </c>
      <c r="F2474" s="3928" t="s">
        <v>2780</v>
      </c>
      <c r="G2474" s="3928" t="s">
        <v>24</v>
      </c>
      <c r="H2474" s="3928" t="s">
        <v>2263</v>
      </c>
      <c r="I2474" s="3928" t="s">
        <v>857</v>
      </c>
    </row>
    <row r="2475" spans="1:9" ht="11.25" customHeight="1">
      <c r="A2475" s="3928" t="s">
        <v>2258</v>
      </c>
      <c r="B2475" s="3928" t="s">
        <v>14</v>
      </c>
      <c r="C2475" s="3928" t="s">
        <v>5188</v>
      </c>
      <c r="D2475" s="3928" t="s">
        <v>5189</v>
      </c>
      <c r="E2475" s="3928" t="s">
        <v>5190</v>
      </c>
      <c r="F2475" s="3928" t="s">
        <v>2289</v>
      </c>
      <c r="G2475" s="3928" t="s">
        <v>24</v>
      </c>
      <c r="H2475" s="3928" t="s">
        <v>2263</v>
      </c>
      <c r="I2475" s="3928" t="s">
        <v>857</v>
      </c>
    </row>
    <row r="2476" spans="1:9" ht="11.25" customHeight="1">
      <c r="A2476" s="3928" t="s">
        <v>2258</v>
      </c>
      <c r="B2476" s="3928" t="s">
        <v>14</v>
      </c>
      <c r="C2476" s="3928" t="s">
        <v>7544</v>
      </c>
      <c r="D2476" s="3928" t="s">
        <v>7545</v>
      </c>
      <c r="E2476" s="3928" t="s">
        <v>7546</v>
      </c>
      <c r="F2476" s="3928" t="s">
        <v>2473</v>
      </c>
      <c r="G2476" s="3928" t="s">
        <v>24</v>
      </c>
      <c r="H2476" s="3928" t="s">
        <v>24</v>
      </c>
      <c r="I2476" s="3928" t="s">
        <v>857</v>
      </c>
    </row>
    <row r="2477" spans="1:9" ht="11.25" customHeight="1">
      <c r="A2477" s="3928" t="s">
        <v>2258</v>
      </c>
      <c r="B2477" s="3928" t="s">
        <v>14</v>
      </c>
      <c r="C2477" s="3928" t="s">
        <v>7547</v>
      </c>
      <c r="D2477" s="3928" t="s">
        <v>5199</v>
      </c>
      <c r="E2477" s="3928" t="s">
        <v>7548</v>
      </c>
      <c r="F2477" s="3928" t="s">
        <v>2304</v>
      </c>
      <c r="G2477" s="3928" t="s">
        <v>7549</v>
      </c>
      <c r="H2477" s="3928" t="s">
        <v>24</v>
      </c>
      <c r="I2477" s="3928" t="s">
        <v>857</v>
      </c>
    </row>
    <row r="2478" spans="1:9" ht="11.25" customHeight="1">
      <c r="A2478" s="3928" t="s">
        <v>2258</v>
      </c>
      <c r="B2478" s="3928" t="s">
        <v>14</v>
      </c>
      <c r="C2478" s="3928" t="s">
        <v>5198</v>
      </c>
      <c r="D2478" s="3928" t="s">
        <v>5199</v>
      </c>
      <c r="E2478" s="3928" t="s">
        <v>5200</v>
      </c>
      <c r="F2478" s="3928" t="s">
        <v>2389</v>
      </c>
      <c r="G2478" s="3928" t="s">
        <v>2518</v>
      </c>
      <c r="H2478" s="3928" t="s">
        <v>24</v>
      </c>
      <c r="I2478" s="3928" t="s">
        <v>857</v>
      </c>
    </row>
    <row r="2479" spans="1:9" ht="11.25" customHeight="1">
      <c r="A2479" s="3928" t="s">
        <v>2258</v>
      </c>
      <c r="B2479" s="3928" t="s">
        <v>14</v>
      </c>
      <c r="C2479" s="3928" t="s">
        <v>5204</v>
      </c>
      <c r="D2479" s="3928" t="s">
        <v>5205</v>
      </c>
      <c r="E2479" s="3928" t="s">
        <v>5206</v>
      </c>
      <c r="F2479" s="3928" t="s">
        <v>2304</v>
      </c>
      <c r="G2479" s="3928" t="s">
        <v>5207</v>
      </c>
      <c r="H2479" s="3928" t="s">
        <v>5208</v>
      </c>
      <c r="I2479" s="3928" t="s">
        <v>857</v>
      </c>
    </row>
    <row r="2480" spans="1:9" ht="11.25" customHeight="1">
      <c r="A2480" s="3928" t="s">
        <v>2258</v>
      </c>
      <c r="B2480" s="3928" t="s">
        <v>14</v>
      </c>
      <c r="C2480" s="3928" t="s">
        <v>7550</v>
      </c>
      <c r="D2480" s="3928" t="s">
        <v>7551</v>
      </c>
      <c r="E2480" s="3928" t="s">
        <v>7552</v>
      </c>
      <c r="F2480" s="3928" t="s">
        <v>2675</v>
      </c>
      <c r="G2480" s="3928" t="s">
        <v>7553</v>
      </c>
      <c r="H2480" s="3928" t="s">
        <v>24</v>
      </c>
      <c r="I2480" s="3928" t="s">
        <v>857</v>
      </c>
    </row>
    <row r="2481" spans="1:9" ht="11.25" customHeight="1">
      <c r="A2481" s="3928" t="s">
        <v>2258</v>
      </c>
      <c r="B2481" s="3928" t="s">
        <v>14</v>
      </c>
      <c r="C2481" s="3928" t="s">
        <v>5234</v>
      </c>
      <c r="D2481" s="3928" t="s">
        <v>5231</v>
      </c>
      <c r="E2481" s="3928" t="s">
        <v>5235</v>
      </c>
      <c r="F2481" s="3928" t="s">
        <v>2397</v>
      </c>
      <c r="G2481" s="3928" t="s">
        <v>5236</v>
      </c>
      <c r="H2481" s="3928" t="s">
        <v>24</v>
      </c>
      <c r="I2481" s="3928" t="s">
        <v>857</v>
      </c>
    </row>
    <row r="2482" spans="1:9" ht="11.25" customHeight="1">
      <c r="A2482" s="3928" t="s">
        <v>2258</v>
      </c>
      <c r="B2482" s="3928" t="s">
        <v>14</v>
      </c>
      <c r="C2482" s="3928" t="s">
        <v>7554</v>
      </c>
      <c r="D2482" s="3928" t="s">
        <v>7555</v>
      </c>
      <c r="E2482" s="3928" t="s">
        <v>7556</v>
      </c>
      <c r="F2482" s="3928" t="s">
        <v>49</v>
      </c>
      <c r="G2482" s="3928" t="s">
        <v>24</v>
      </c>
      <c r="H2482" s="3928" t="s">
        <v>24</v>
      </c>
      <c r="I2482" s="3928" t="s">
        <v>857</v>
      </c>
    </row>
    <row r="2483" spans="1:9" ht="11.25" customHeight="1">
      <c r="A2483" s="3928" t="s">
        <v>2258</v>
      </c>
      <c r="B2483" s="3928" t="s">
        <v>14</v>
      </c>
      <c r="C2483" s="3928" t="s">
        <v>7557</v>
      </c>
      <c r="D2483" s="3928" t="s">
        <v>7558</v>
      </c>
      <c r="E2483" s="3928" t="s">
        <v>7559</v>
      </c>
      <c r="F2483" s="3928" t="s">
        <v>2262</v>
      </c>
      <c r="G2483" s="3928" t="s">
        <v>24</v>
      </c>
      <c r="H2483" s="3928" t="s">
        <v>7560</v>
      </c>
      <c r="I2483" s="3928" t="s">
        <v>857</v>
      </c>
    </row>
    <row r="2484" spans="1:9" ht="11.25" customHeight="1">
      <c r="A2484" s="3928" t="s">
        <v>2258</v>
      </c>
      <c r="B2484" s="3928" t="s">
        <v>14</v>
      </c>
      <c r="C2484" s="3928" t="s">
        <v>7561</v>
      </c>
      <c r="D2484" s="3928" t="s">
        <v>7562</v>
      </c>
      <c r="E2484" s="3928" t="s">
        <v>7563</v>
      </c>
      <c r="F2484" s="3928" t="s">
        <v>2325</v>
      </c>
      <c r="G2484" s="3928" t="s">
        <v>24</v>
      </c>
      <c r="H2484" s="3928" t="s">
        <v>2848</v>
      </c>
      <c r="I2484" s="3928" t="s">
        <v>857</v>
      </c>
    </row>
    <row r="2485" spans="1:9" ht="11.25" customHeight="1">
      <c r="A2485" s="3928" t="s">
        <v>2258</v>
      </c>
      <c r="B2485" s="3928" t="s">
        <v>14</v>
      </c>
      <c r="C2485" s="3928" t="s">
        <v>5285</v>
      </c>
      <c r="D2485" s="3928" t="s">
        <v>5286</v>
      </c>
      <c r="E2485" s="3928" t="s">
        <v>5287</v>
      </c>
      <c r="F2485" s="3928" t="s">
        <v>2289</v>
      </c>
      <c r="G2485" s="3928" t="s">
        <v>5288</v>
      </c>
      <c r="H2485" s="3928" t="s">
        <v>24</v>
      </c>
      <c r="I2485" s="3928" t="s">
        <v>857</v>
      </c>
    </row>
    <row r="2486" spans="1:9" ht="11.25" customHeight="1">
      <c r="A2486" s="3928" t="s">
        <v>2258</v>
      </c>
      <c r="B2486" s="3928" t="s">
        <v>14</v>
      </c>
      <c r="C2486" s="3928" t="s">
        <v>5292</v>
      </c>
      <c r="D2486" s="3928" t="s">
        <v>5293</v>
      </c>
      <c r="E2486" s="3928" t="s">
        <v>5294</v>
      </c>
      <c r="F2486" s="3928" t="s">
        <v>2796</v>
      </c>
      <c r="G2486" s="3928" t="s">
        <v>5295</v>
      </c>
      <c r="H2486" s="3928" t="s">
        <v>24</v>
      </c>
      <c r="I2486" s="3928" t="s">
        <v>857</v>
      </c>
    </row>
    <row r="2487" spans="1:9" ht="11.25" customHeight="1">
      <c r="A2487" s="3928" t="s">
        <v>2258</v>
      </c>
      <c r="B2487" s="3928" t="s">
        <v>14</v>
      </c>
      <c r="C2487" s="3928" t="s">
        <v>5296</v>
      </c>
      <c r="D2487" s="3928" t="s">
        <v>5297</v>
      </c>
      <c r="E2487" s="3928" t="s">
        <v>5298</v>
      </c>
      <c r="F2487" s="3928" t="s">
        <v>2304</v>
      </c>
      <c r="G2487" s="3928" t="s">
        <v>5299</v>
      </c>
      <c r="H2487" s="3928" t="s">
        <v>24</v>
      </c>
      <c r="I2487" s="3928" t="s">
        <v>857</v>
      </c>
    </row>
    <row r="2488" spans="1:9" ht="11.25" customHeight="1">
      <c r="A2488" s="3928" t="s">
        <v>2258</v>
      </c>
      <c r="B2488" s="3928" t="s">
        <v>14</v>
      </c>
      <c r="C2488" s="3928" t="s">
        <v>5307</v>
      </c>
      <c r="D2488" s="3928" t="s">
        <v>5308</v>
      </c>
      <c r="E2488" s="3928" t="s">
        <v>5309</v>
      </c>
      <c r="F2488" s="3928" t="s">
        <v>5310</v>
      </c>
      <c r="G2488" s="3928" t="s">
        <v>5311</v>
      </c>
      <c r="H2488" s="3928" t="s">
        <v>24</v>
      </c>
      <c r="I2488" s="3928" t="s">
        <v>857</v>
      </c>
    </row>
    <row r="2489" spans="1:9" ht="11.25" customHeight="1">
      <c r="A2489" s="3928" t="s">
        <v>2258</v>
      </c>
      <c r="B2489" s="3928" t="s">
        <v>14</v>
      </c>
      <c r="C2489" s="3928" t="s">
        <v>5317</v>
      </c>
      <c r="D2489" s="3928" t="s">
        <v>5318</v>
      </c>
      <c r="E2489" s="3928" t="s">
        <v>5319</v>
      </c>
      <c r="F2489" s="3928" t="s">
        <v>2675</v>
      </c>
      <c r="G2489" s="3928" t="s">
        <v>5320</v>
      </c>
      <c r="H2489" s="3928" t="s">
        <v>24</v>
      </c>
      <c r="I2489" s="3928" t="s">
        <v>857</v>
      </c>
    </row>
    <row r="2490" spans="1:9" ht="11.25" customHeight="1">
      <c r="A2490" s="3928" t="s">
        <v>2258</v>
      </c>
      <c r="B2490" s="3928" t="s">
        <v>14</v>
      </c>
      <c r="C2490" s="3928" t="s">
        <v>5324</v>
      </c>
      <c r="D2490" s="3928" t="s">
        <v>5325</v>
      </c>
      <c r="E2490" s="3928" t="s">
        <v>5326</v>
      </c>
      <c r="F2490" s="3928" t="s">
        <v>2397</v>
      </c>
      <c r="G2490" s="3928" t="s">
        <v>24</v>
      </c>
      <c r="H2490" s="3928" t="s">
        <v>5327</v>
      </c>
      <c r="I2490" s="3928" t="s">
        <v>857</v>
      </c>
    </row>
    <row r="2491" spans="1:9" ht="11.25" customHeight="1">
      <c r="A2491" s="3928" t="s">
        <v>2258</v>
      </c>
      <c r="B2491" s="3928" t="s">
        <v>14</v>
      </c>
      <c r="C2491" s="3928" t="s">
        <v>5332</v>
      </c>
      <c r="D2491" s="3928" t="s">
        <v>5333</v>
      </c>
      <c r="E2491" s="3928" t="s">
        <v>5334</v>
      </c>
      <c r="F2491" s="3928" t="s">
        <v>2375</v>
      </c>
      <c r="G2491" s="3928" t="s">
        <v>24</v>
      </c>
      <c r="H2491" s="3928" t="s">
        <v>24</v>
      </c>
      <c r="I2491" s="3928" t="s">
        <v>857</v>
      </c>
    </row>
    <row r="2492" spans="1:9" ht="11.25" customHeight="1">
      <c r="A2492" s="3928" t="s">
        <v>2258</v>
      </c>
      <c r="B2492" s="3928" t="s">
        <v>14</v>
      </c>
      <c r="C2492" s="3928" t="s">
        <v>5338</v>
      </c>
      <c r="D2492" s="3928" t="s">
        <v>5339</v>
      </c>
      <c r="E2492" s="3928" t="s">
        <v>5340</v>
      </c>
      <c r="F2492" s="3928" t="s">
        <v>2309</v>
      </c>
      <c r="G2492" s="3928" t="s">
        <v>24</v>
      </c>
      <c r="H2492" s="3928" t="s">
        <v>24</v>
      </c>
      <c r="I2492" s="3928" t="s">
        <v>857</v>
      </c>
    </row>
    <row r="2493" spans="1:9" ht="11.25" customHeight="1">
      <c r="A2493" s="3928" t="s">
        <v>2258</v>
      </c>
      <c r="B2493" s="3928" t="s">
        <v>14</v>
      </c>
      <c r="C2493" s="3928" t="s">
        <v>5352</v>
      </c>
      <c r="D2493" s="3928" t="s">
        <v>5353</v>
      </c>
      <c r="E2493" s="3928" t="s">
        <v>5354</v>
      </c>
      <c r="F2493" s="3928" t="s">
        <v>4646</v>
      </c>
      <c r="G2493" s="3928" t="s">
        <v>5355</v>
      </c>
      <c r="H2493" s="3928" t="s">
        <v>24</v>
      </c>
      <c r="I2493" s="3928" t="s">
        <v>857</v>
      </c>
    </row>
    <row r="2494" spans="1:9" ht="11.25" customHeight="1">
      <c r="A2494" s="3928" t="s">
        <v>2258</v>
      </c>
      <c r="B2494" s="3928" t="s">
        <v>14</v>
      </c>
      <c r="C2494" s="3928" t="s">
        <v>7564</v>
      </c>
      <c r="D2494" s="3928" t="s">
        <v>7565</v>
      </c>
      <c r="E2494" s="3928" t="s">
        <v>7566</v>
      </c>
      <c r="F2494" s="3928" t="s">
        <v>4721</v>
      </c>
      <c r="G2494" s="3928" t="s">
        <v>7567</v>
      </c>
      <c r="H2494" s="3928" t="s">
        <v>24</v>
      </c>
      <c r="I2494" s="3928" t="s">
        <v>857</v>
      </c>
    </row>
    <row r="2495" spans="1:9" ht="11.25" customHeight="1">
      <c r="A2495" s="3928" t="s">
        <v>2258</v>
      </c>
      <c r="B2495" s="3928" t="s">
        <v>14</v>
      </c>
      <c r="C2495" s="3928" t="s">
        <v>7568</v>
      </c>
      <c r="D2495" s="3928" t="s">
        <v>7569</v>
      </c>
      <c r="E2495" s="3928" t="s">
        <v>7570</v>
      </c>
      <c r="F2495" s="3928" t="s">
        <v>2294</v>
      </c>
      <c r="G2495" s="3928" t="s">
        <v>7571</v>
      </c>
      <c r="H2495" s="3928" t="s">
        <v>24</v>
      </c>
      <c r="I2495" s="3928" t="s">
        <v>857</v>
      </c>
    </row>
    <row r="2496" spans="1:9" ht="11.25" customHeight="1">
      <c r="A2496" s="3928" t="s">
        <v>2258</v>
      </c>
      <c r="B2496" s="3928" t="s">
        <v>14</v>
      </c>
      <c r="C2496" s="3928" t="s">
        <v>7572</v>
      </c>
      <c r="D2496" s="3928" t="s">
        <v>7573</v>
      </c>
      <c r="E2496" s="3928" t="s">
        <v>7574</v>
      </c>
      <c r="F2496" s="3928" t="s">
        <v>2675</v>
      </c>
      <c r="G2496" s="3928" t="s">
        <v>7575</v>
      </c>
      <c r="H2496" s="3928" t="s">
        <v>24</v>
      </c>
      <c r="I2496" s="3928" t="s">
        <v>857</v>
      </c>
    </row>
    <row r="2497" spans="1:9" ht="11.25" customHeight="1">
      <c r="A2497" s="3928" t="s">
        <v>2258</v>
      </c>
      <c r="B2497" s="3928" t="s">
        <v>14</v>
      </c>
      <c r="C2497" s="3928" t="s">
        <v>5379</v>
      </c>
      <c r="D2497" s="3928" t="s">
        <v>5380</v>
      </c>
      <c r="E2497" s="3928" t="s">
        <v>5381</v>
      </c>
      <c r="F2497" s="3928" t="s">
        <v>2796</v>
      </c>
      <c r="G2497" s="3928" t="s">
        <v>24</v>
      </c>
      <c r="H2497" s="3928" t="s">
        <v>2263</v>
      </c>
      <c r="I2497" s="3928" t="s">
        <v>857</v>
      </c>
    </row>
    <row r="2498" spans="1:9" ht="11.25" customHeight="1">
      <c r="A2498" s="3928" t="s">
        <v>2258</v>
      </c>
      <c r="B2498" s="3928" t="s">
        <v>14</v>
      </c>
      <c r="C2498" s="3928" t="s">
        <v>5387</v>
      </c>
      <c r="D2498" s="3928" t="s">
        <v>5388</v>
      </c>
      <c r="E2498" s="3928" t="s">
        <v>5389</v>
      </c>
      <c r="F2498" s="3928" t="s">
        <v>2289</v>
      </c>
      <c r="G2498" s="3928" t="s">
        <v>5390</v>
      </c>
      <c r="H2498" s="3928" t="s">
        <v>24</v>
      </c>
      <c r="I2498" s="3928" t="s">
        <v>857</v>
      </c>
    </row>
    <row r="2499" spans="1:9" ht="11.25" customHeight="1">
      <c r="A2499" s="3928" t="s">
        <v>2258</v>
      </c>
      <c r="B2499" s="3928" t="s">
        <v>14</v>
      </c>
      <c r="C2499" s="3928" t="s">
        <v>6439</v>
      </c>
      <c r="D2499" s="3928" t="s">
        <v>6440</v>
      </c>
      <c r="E2499" s="3928" t="s">
        <v>6441</v>
      </c>
      <c r="F2499" s="3928" t="s">
        <v>2304</v>
      </c>
      <c r="G2499" s="3928" t="s">
        <v>24</v>
      </c>
      <c r="H2499" s="3928" t="s">
        <v>2263</v>
      </c>
      <c r="I2499" s="3928" t="s">
        <v>857</v>
      </c>
    </row>
    <row r="2500" spans="1:9" ht="11.25" customHeight="1">
      <c r="A2500" s="3928" t="s">
        <v>2258</v>
      </c>
      <c r="B2500" s="3928" t="s">
        <v>14</v>
      </c>
      <c r="C2500" s="3928" t="s">
        <v>5398</v>
      </c>
      <c r="D2500" s="3928" t="s">
        <v>5399</v>
      </c>
      <c r="E2500" s="3928" t="s">
        <v>5400</v>
      </c>
      <c r="F2500" s="3928" t="s">
        <v>2304</v>
      </c>
      <c r="G2500" s="3928" t="s">
        <v>4058</v>
      </c>
      <c r="H2500" s="3928" t="s">
        <v>24</v>
      </c>
      <c r="I2500" s="3928" t="s">
        <v>857</v>
      </c>
    </row>
    <row r="2501" spans="1:9" ht="11.25" customHeight="1">
      <c r="A2501" s="3928" t="s">
        <v>2258</v>
      </c>
      <c r="B2501" s="3928" t="s">
        <v>14</v>
      </c>
      <c r="C2501" s="3928" t="s">
        <v>7576</v>
      </c>
      <c r="D2501" s="3928" t="s">
        <v>7577</v>
      </c>
      <c r="E2501" s="3928" t="s">
        <v>7578</v>
      </c>
      <c r="F2501" s="3928" t="s">
        <v>2304</v>
      </c>
      <c r="G2501" s="3928" t="s">
        <v>7579</v>
      </c>
      <c r="H2501" s="3928" t="s">
        <v>24</v>
      </c>
      <c r="I2501" s="3928" t="s">
        <v>857</v>
      </c>
    </row>
    <row r="2502" spans="1:9" ht="11.25" customHeight="1">
      <c r="A2502" s="3928" t="s">
        <v>2258</v>
      </c>
      <c r="B2502" s="3928" t="s">
        <v>14</v>
      </c>
      <c r="C2502" s="3928" t="s">
        <v>7580</v>
      </c>
      <c r="D2502" s="3928" t="s">
        <v>7581</v>
      </c>
      <c r="E2502" s="3928" t="s">
        <v>7582</v>
      </c>
      <c r="F2502" s="3928" t="s">
        <v>2567</v>
      </c>
      <c r="G2502" s="3928" t="s">
        <v>5926</v>
      </c>
      <c r="H2502" s="3928" t="s">
        <v>7583</v>
      </c>
      <c r="I2502" s="3928" t="s">
        <v>857</v>
      </c>
    </row>
    <row r="2503" spans="1:9" ht="11.25" customHeight="1">
      <c r="A2503" s="3928" t="s">
        <v>2258</v>
      </c>
      <c r="B2503" s="3928" t="s">
        <v>14</v>
      </c>
      <c r="C2503" s="3928" t="s">
        <v>7584</v>
      </c>
      <c r="D2503" s="3928" t="s">
        <v>7585</v>
      </c>
      <c r="E2503" s="3928" t="s">
        <v>7586</v>
      </c>
      <c r="F2503" s="3928" t="s">
        <v>2701</v>
      </c>
      <c r="G2503" s="3928" t="s">
        <v>5016</v>
      </c>
      <c r="H2503" s="3928" t="s">
        <v>7587</v>
      </c>
      <c r="I2503" s="3928" t="s">
        <v>857</v>
      </c>
    </row>
    <row r="2504" spans="1:9" ht="11.25" customHeight="1">
      <c r="A2504" s="3928" t="s">
        <v>2258</v>
      </c>
      <c r="B2504" s="3928" t="s">
        <v>14</v>
      </c>
      <c r="C2504" s="3928" t="s">
        <v>7588</v>
      </c>
      <c r="D2504" s="3928" t="s">
        <v>7589</v>
      </c>
      <c r="E2504" s="3928" t="s">
        <v>7590</v>
      </c>
      <c r="F2504" s="3928" t="s">
        <v>5657</v>
      </c>
      <c r="G2504" s="3928" t="s">
        <v>24</v>
      </c>
      <c r="H2504" s="3928" t="s">
        <v>24</v>
      </c>
      <c r="I2504" s="3928" t="s">
        <v>857</v>
      </c>
    </row>
    <row r="2505" spans="1:9" ht="11.25" customHeight="1">
      <c r="A2505" s="3928" t="s">
        <v>2258</v>
      </c>
      <c r="B2505" s="3928" t="s">
        <v>14</v>
      </c>
      <c r="C2505" s="3928" t="s">
        <v>5415</v>
      </c>
      <c r="D2505" s="3928" t="s">
        <v>5416</v>
      </c>
      <c r="E2505" s="3928" t="s">
        <v>5417</v>
      </c>
      <c r="F2505" s="3928" t="s">
        <v>2675</v>
      </c>
      <c r="G2505" s="3928" t="s">
        <v>24</v>
      </c>
      <c r="H2505" s="3928" t="s">
        <v>3068</v>
      </c>
      <c r="I2505" s="3928" t="s">
        <v>857</v>
      </c>
    </row>
    <row r="2506" spans="1:9" ht="11.25" customHeight="1">
      <c r="A2506" s="3928" t="s">
        <v>2258</v>
      </c>
      <c r="B2506" s="3928" t="s">
        <v>14</v>
      </c>
      <c r="C2506" s="3928" t="s">
        <v>5418</v>
      </c>
      <c r="D2506" s="3928" t="s">
        <v>5419</v>
      </c>
      <c r="E2506" s="3928" t="s">
        <v>5420</v>
      </c>
      <c r="F2506" s="3928" t="s">
        <v>2675</v>
      </c>
      <c r="G2506" s="3928" t="s">
        <v>24</v>
      </c>
      <c r="H2506" s="3928" t="s">
        <v>2772</v>
      </c>
      <c r="I2506" s="3928" t="s">
        <v>857</v>
      </c>
    </row>
    <row r="2507" spans="1:9" ht="11.25" customHeight="1">
      <c r="A2507" s="3928" t="s">
        <v>2258</v>
      </c>
      <c r="B2507" s="3928" t="s">
        <v>14</v>
      </c>
      <c r="C2507" s="3928" t="s">
        <v>7591</v>
      </c>
      <c r="D2507" s="3928" t="s">
        <v>7592</v>
      </c>
      <c r="E2507" s="3928" t="s">
        <v>7593</v>
      </c>
      <c r="F2507" s="3928" t="s">
        <v>2469</v>
      </c>
      <c r="G2507" s="3928" t="s">
        <v>7594</v>
      </c>
      <c r="H2507" s="3928" t="s">
        <v>24</v>
      </c>
      <c r="I2507" s="3928" t="s">
        <v>857</v>
      </c>
    </row>
    <row r="2508" spans="1:9" ht="11.25" customHeight="1">
      <c r="A2508" s="3928" t="s">
        <v>2258</v>
      </c>
      <c r="B2508" s="3928" t="s">
        <v>14</v>
      </c>
      <c r="C2508" s="3928" t="s">
        <v>5421</v>
      </c>
      <c r="D2508" s="3928" t="s">
        <v>5422</v>
      </c>
      <c r="E2508" s="3928" t="s">
        <v>5423</v>
      </c>
      <c r="F2508" s="3928" t="s">
        <v>2262</v>
      </c>
      <c r="G2508" s="3928" t="s">
        <v>24</v>
      </c>
      <c r="H2508" s="3928" t="s">
        <v>2263</v>
      </c>
      <c r="I2508" s="3928" t="s">
        <v>857</v>
      </c>
    </row>
    <row r="2509" spans="1:9" ht="11.25" customHeight="1">
      <c r="A2509" s="3928" t="s">
        <v>2258</v>
      </c>
      <c r="B2509" s="3928" t="s">
        <v>14</v>
      </c>
      <c r="C2509" s="3928" t="s">
        <v>7595</v>
      </c>
      <c r="D2509" s="3928" t="s">
        <v>7596</v>
      </c>
      <c r="E2509" s="3928" t="s">
        <v>7597</v>
      </c>
      <c r="F2509" s="3928" t="s">
        <v>2289</v>
      </c>
      <c r="G2509" s="3928" t="s">
        <v>24</v>
      </c>
      <c r="H2509" s="3928" t="s">
        <v>24</v>
      </c>
      <c r="I2509" s="3928" t="s">
        <v>857</v>
      </c>
    </row>
    <row r="2510" spans="1:9" ht="11.25" customHeight="1">
      <c r="A2510" s="3928" t="s">
        <v>2258</v>
      </c>
      <c r="B2510" s="3928" t="s">
        <v>14</v>
      </c>
      <c r="C2510" s="3928" t="s">
        <v>5428</v>
      </c>
      <c r="D2510" s="3928" t="s">
        <v>5429</v>
      </c>
      <c r="E2510" s="3928" t="s">
        <v>5430</v>
      </c>
      <c r="F2510" s="3928" t="s">
        <v>2675</v>
      </c>
      <c r="G2510" s="3928" t="s">
        <v>24</v>
      </c>
      <c r="H2510" s="3928" t="s">
        <v>3068</v>
      </c>
      <c r="I2510" s="3928" t="s">
        <v>857</v>
      </c>
    </row>
    <row r="2511" spans="1:9" ht="11.25" customHeight="1">
      <c r="A2511" s="3928" t="s">
        <v>2258</v>
      </c>
      <c r="B2511" s="3928" t="s">
        <v>14</v>
      </c>
      <c r="C2511" s="3928" t="s">
        <v>5435</v>
      </c>
      <c r="D2511" s="3928" t="s">
        <v>5436</v>
      </c>
      <c r="E2511" s="3928" t="s">
        <v>5437</v>
      </c>
      <c r="F2511" s="3928" t="s">
        <v>2409</v>
      </c>
      <c r="G2511" s="3928" t="s">
        <v>24</v>
      </c>
      <c r="H2511" s="3928" t="s">
        <v>5438</v>
      </c>
      <c r="I2511" s="3928" t="s">
        <v>857</v>
      </c>
    </row>
    <row r="2512" spans="1:9" ht="11.25" customHeight="1">
      <c r="A2512" s="3928" t="s">
        <v>2258</v>
      </c>
      <c r="B2512" s="3928" t="s">
        <v>14</v>
      </c>
      <c r="C2512" s="3928" t="s">
        <v>7598</v>
      </c>
      <c r="D2512" s="3928" t="s">
        <v>7599</v>
      </c>
      <c r="E2512" s="3928" t="s">
        <v>7600</v>
      </c>
      <c r="F2512" s="3928" t="s">
        <v>2289</v>
      </c>
      <c r="G2512" s="3928" t="s">
        <v>7601</v>
      </c>
      <c r="H2512" s="3928" t="s">
        <v>24</v>
      </c>
      <c r="I2512" s="3928" t="s">
        <v>857</v>
      </c>
    </row>
    <row r="2513" spans="1:9" ht="11.25" customHeight="1">
      <c r="A2513" s="3928" t="s">
        <v>2258</v>
      </c>
      <c r="B2513" s="3928" t="s">
        <v>14</v>
      </c>
      <c r="C2513" s="3928" t="s">
        <v>7602</v>
      </c>
      <c r="D2513" s="3928" t="s">
        <v>7603</v>
      </c>
      <c r="E2513" s="3928" t="s">
        <v>7604</v>
      </c>
      <c r="F2513" s="3928" t="s">
        <v>2289</v>
      </c>
      <c r="G2513" s="3928" t="s">
        <v>7605</v>
      </c>
      <c r="H2513" s="3928" t="s">
        <v>24</v>
      </c>
      <c r="I2513" s="3928" t="s">
        <v>857</v>
      </c>
    </row>
    <row r="2514" spans="1:9" ht="11.25" customHeight="1">
      <c r="A2514" s="3928" t="s">
        <v>2258</v>
      </c>
      <c r="B2514" s="3928" t="s">
        <v>14</v>
      </c>
      <c r="C2514" s="3928" t="s">
        <v>7606</v>
      </c>
      <c r="D2514" s="3928" t="s">
        <v>7607</v>
      </c>
      <c r="E2514" s="3928" t="s">
        <v>7608</v>
      </c>
      <c r="F2514" s="3928" t="s">
        <v>2567</v>
      </c>
      <c r="G2514" s="3928" t="s">
        <v>7609</v>
      </c>
      <c r="H2514" s="3928" t="s">
        <v>2945</v>
      </c>
      <c r="I2514" s="3928" t="s">
        <v>857</v>
      </c>
    </row>
    <row r="2515" spans="1:9" ht="11.25" customHeight="1">
      <c r="A2515" s="3928" t="s">
        <v>2258</v>
      </c>
      <c r="B2515" s="3928" t="s">
        <v>14</v>
      </c>
      <c r="C2515" s="3928" t="s">
        <v>7610</v>
      </c>
      <c r="D2515" s="3928" t="s">
        <v>7611</v>
      </c>
      <c r="E2515" s="3928" t="s">
        <v>7612</v>
      </c>
      <c r="F2515" s="3928" t="s">
        <v>2325</v>
      </c>
      <c r="G2515" s="3928" t="s">
        <v>24</v>
      </c>
      <c r="H2515" s="3928" t="s">
        <v>7613</v>
      </c>
      <c r="I2515" s="3928" t="s">
        <v>857</v>
      </c>
    </row>
    <row r="2516" spans="1:9" ht="11.25" customHeight="1">
      <c r="A2516" s="3928" t="s">
        <v>2258</v>
      </c>
      <c r="B2516" s="3928" t="s">
        <v>14</v>
      </c>
      <c r="C2516" s="3928" t="s">
        <v>7614</v>
      </c>
      <c r="D2516" s="3928" t="s">
        <v>7615</v>
      </c>
      <c r="E2516" s="3928" t="s">
        <v>7616</v>
      </c>
      <c r="F2516" s="3928" t="s">
        <v>5310</v>
      </c>
      <c r="G2516" s="3928" t="s">
        <v>7617</v>
      </c>
      <c r="H2516" s="3928" t="s">
        <v>24</v>
      </c>
      <c r="I2516" s="3928" t="s">
        <v>857</v>
      </c>
    </row>
    <row r="2517" spans="1:9" ht="11.25" customHeight="1">
      <c r="A2517" s="3928" t="s">
        <v>2258</v>
      </c>
      <c r="B2517" s="3928" t="s">
        <v>14</v>
      </c>
      <c r="C2517" s="3928" t="s">
        <v>7618</v>
      </c>
      <c r="D2517" s="3928" t="s">
        <v>7619</v>
      </c>
      <c r="E2517" s="3928" t="s">
        <v>7620</v>
      </c>
      <c r="F2517" s="3928" t="s">
        <v>2354</v>
      </c>
      <c r="G2517" s="3928" t="s">
        <v>24</v>
      </c>
      <c r="H2517" s="3928" t="s">
        <v>2848</v>
      </c>
      <c r="I2517" s="3928" t="s">
        <v>857</v>
      </c>
    </row>
    <row r="2518" spans="1:9" ht="11.25" customHeight="1">
      <c r="A2518" s="3928" t="s">
        <v>2258</v>
      </c>
      <c r="B2518" s="3928" t="s">
        <v>14</v>
      </c>
      <c r="C2518" s="3928" t="s">
        <v>7621</v>
      </c>
      <c r="D2518" s="3928" t="s">
        <v>7622</v>
      </c>
      <c r="E2518" s="3928" t="s">
        <v>7623</v>
      </c>
      <c r="F2518" s="3928" t="s">
        <v>49</v>
      </c>
      <c r="G2518" s="3928" t="s">
        <v>24</v>
      </c>
      <c r="H2518" s="3928" t="s">
        <v>5141</v>
      </c>
      <c r="I2518" s="3928" t="s">
        <v>857</v>
      </c>
    </row>
    <row r="2519" spans="1:9" ht="11.25" customHeight="1">
      <c r="A2519" s="3928" t="s">
        <v>2258</v>
      </c>
      <c r="B2519" s="3928" t="s">
        <v>14</v>
      </c>
      <c r="C2519" s="3928" t="s">
        <v>5450</v>
      </c>
      <c r="D2519" s="3928" t="s">
        <v>5451</v>
      </c>
      <c r="E2519" s="3928" t="s">
        <v>5452</v>
      </c>
      <c r="F2519" s="3928" t="s">
        <v>3370</v>
      </c>
      <c r="G2519" s="3928" t="s">
        <v>5453</v>
      </c>
      <c r="H2519" s="3928" t="s">
        <v>24</v>
      </c>
      <c r="I2519" s="3928" t="s">
        <v>857</v>
      </c>
    </row>
    <row r="2520" spans="1:9" ht="11.25" customHeight="1">
      <c r="A2520" s="3928" t="s">
        <v>2258</v>
      </c>
      <c r="B2520" s="3928" t="s">
        <v>14</v>
      </c>
      <c r="C2520" s="3928" t="s">
        <v>5458</v>
      </c>
      <c r="D2520" s="3928" t="s">
        <v>5459</v>
      </c>
      <c r="E2520" s="3928" t="s">
        <v>5460</v>
      </c>
      <c r="F2520" s="3928" t="s">
        <v>5461</v>
      </c>
      <c r="G2520" s="3928" t="s">
        <v>3631</v>
      </c>
      <c r="H2520" s="3928" t="s">
        <v>24</v>
      </c>
      <c r="I2520" s="3928" t="s">
        <v>857</v>
      </c>
    </row>
    <row r="2521" spans="1:9" ht="11.25" customHeight="1">
      <c r="A2521" s="3928" t="s">
        <v>2258</v>
      </c>
      <c r="B2521" s="3928" t="s">
        <v>14</v>
      </c>
      <c r="C2521" s="3928" t="s">
        <v>5466</v>
      </c>
      <c r="D2521" s="3928" t="s">
        <v>5467</v>
      </c>
      <c r="E2521" s="3928" t="s">
        <v>5468</v>
      </c>
      <c r="F2521" s="3928" t="s">
        <v>3370</v>
      </c>
      <c r="G2521" s="3928" t="s">
        <v>5469</v>
      </c>
      <c r="H2521" s="3928" t="s">
        <v>24</v>
      </c>
      <c r="I2521" s="3928" t="s">
        <v>857</v>
      </c>
    </row>
    <row r="2522" spans="1:9" ht="11.25" customHeight="1">
      <c r="A2522" s="3928" t="s">
        <v>2258</v>
      </c>
      <c r="B2522" s="3928" t="s">
        <v>14</v>
      </c>
      <c r="C2522" s="3928" t="s">
        <v>5470</v>
      </c>
      <c r="D2522" s="3928" t="s">
        <v>5471</v>
      </c>
      <c r="E2522" s="3928" t="s">
        <v>5472</v>
      </c>
      <c r="F2522" s="3928" t="s">
        <v>2344</v>
      </c>
      <c r="G2522" s="3928" t="s">
        <v>5473</v>
      </c>
      <c r="H2522" s="3928" t="s">
        <v>24</v>
      </c>
      <c r="I2522" s="3928" t="s">
        <v>857</v>
      </c>
    </row>
    <row r="2523" spans="1:9" ht="11.25" customHeight="1">
      <c r="A2523" s="3928" t="s">
        <v>2258</v>
      </c>
      <c r="B2523" s="3928" t="s">
        <v>14</v>
      </c>
      <c r="C2523" s="3928" t="s">
        <v>7624</v>
      </c>
      <c r="D2523" s="3928" t="s">
        <v>7625</v>
      </c>
      <c r="E2523" s="3928" t="s">
        <v>7626</v>
      </c>
      <c r="F2523" s="3928" t="s">
        <v>5930</v>
      </c>
      <c r="G2523" s="3928" t="s">
        <v>7627</v>
      </c>
      <c r="H2523" s="3928" t="s">
        <v>24</v>
      </c>
      <c r="I2523" s="3928" t="s">
        <v>857</v>
      </c>
    </row>
    <row r="2524" spans="1:9" ht="11.25" customHeight="1">
      <c r="A2524" s="3928" t="s">
        <v>2258</v>
      </c>
      <c r="B2524" s="3928" t="s">
        <v>14</v>
      </c>
      <c r="C2524" s="3928" t="s">
        <v>7628</v>
      </c>
      <c r="D2524" s="3928" t="s">
        <v>7629</v>
      </c>
      <c r="E2524" s="3928" t="s">
        <v>7630</v>
      </c>
      <c r="F2524" s="3928" t="s">
        <v>7631</v>
      </c>
      <c r="G2524" s="3928" t="s">
        <v>24</v>
      </c>
      <c r="H2524" s="3928" t="s">
        <v>2848</v>
      </c>
      <c r="I2524" s="3928" t="s">
        <v>857</v>
      </c>
    </row>
    <row r="2525" spans="1:9" ht="11.25" customHeight="1">
      <c r="A2525" s="3928" t="s">
        <v>2258</v>
      </c>
      <c r="B2525" s="3928" t="s">
        <v>14</v>
      </c>
      <c r="C2525" s="3928" t="s">
        <v>5497</v>
      </c>
      <c r="D2525" s="3928" t="s">
        <v>5498</v>
      </c>
      <c r="E2525" s="3928" t="s">
        <v>5499</v>
      </c>
      <c r="F2525" s="3928" t="s">
        <v>2796</v>
      </c>
      <c r="G2525" s="3928" t="s">
        <v>24</v>
      </c>
      <c r="H2525" s="3928" t="s">
        <v>2263</v>
      </c>
      <c r="I2525" s="3928" t="s">
        <v>857</v>
      </c>
    </row>
    <row r="2526" spans="1:9" ht="11.25" customHeight="1">
      <c r="A2526" s="3928" t="s">
        <v>2258</v>
      </c>
      <c r="B2526" s="3928" t="s">
        <v>14</v>
      </c>
      <c r="C2526" s="3928" t="s">
        <v>7632</v>
      </c>
      <c r="D2526" s="3928" t="s">
        <v>7633</v>
      </c>
      <c r="E2526" s="3928" t="s">
        <v>7634</v>
      </c>
      <c r="F2526" s="3928" t="s">
        <v>2796</v>
      </c>
      <c r="G2526" s="3928" t="s">
        <v>7635</v>
      </c>
      <c r="H2526" s="3928" t="s">
        <v>2263</v>
      </c>
      <c r="I2526" s="3928" t="s">
        <v>857</v>
      </c>
    </row>
    <row r="2527" spans="1:9" ht="11.25" customHeight="1">
      <c r="A2527" s="3928" t="s">
        <v>2258</v>
      </c>
      <c r="B2527" s="3928" t="s">
        <v>14</v>
      </c>
      <c r="C2527" s="3928" t="s">
        <v>7636</v>
      </c>
      <c r="D2527" s="3928" t="s">
        <v>7637</v>
      </c>
      <c r="E2527" s="3928" t="s">
        <v>7638</v>
      </c>
      <c r="F2527" s="3928" t="s">
        <v>2397</v>
      </c>
      <c r="G2527" s="3928" t="s">
        <v>7639</v>
      </c>
      <c r="H2527" s="3928" t="s">
        <v>24</v>
      </c>
      <c r="I2527" s="3928" t="s">
        <v>857</v>
      </c>
    </row>
    <row r="2528" spans="1:9" ht="11.25" customHeight="1">
      <c r="A2528" s="3928" t="s">
        <v>2258</v>
      </c>
      <c r="B2528" s="3928" t="s">
        <v>14</v>
      </c>
      <c r="C2528" s="3928" t="s">
        <v>5508</v>
      </c>
      <c r="D2528" s="3928" t="s">
        <v>5509</v>
      </c>
      <c r="E2528" s="3928" t="s">
        <v>5510</v>
      </c>
      <c r="F2528" s="3928" t="s">
        <v>2289</v>
      </c>
      <c r="G2528" s="3928" t="s">
        <v>5511</v>
      </c>
      <c r="H2528" s="3928" t="s">
        <v>24</v>
      </c>
      <c r="I2528" s="3928" t="s">
        <v>857</v>
      </c>
    </row>
    <row r="2529" spans="1:9" ht="11.25" customHeight="1">
      <c r="A2529" s="3928" t="s">
        <v>2258</v>
      </c>
      <c r="B2529" s="3928" t="s">
        <v>14</v>
      </c>
      <c r="C2529" s="3928" t="s">
        <v>7640</v>
      </c>
      <c r="D2529" s="3928" t="s">
        <v>7641</v>
      </c>
      <c r="E2529" s="3928" t="s">
        <v>7642</v>
      </c>
      <c r="F2529" s="3928" t="s">
        <v>2289</v>
      </c>
      <c r="G2529" s="3928" t="s">
        <v>24</v>
      </c>
      <c r="H2529" s="3928" t="s">
        <v>24</v>
      </c>
      <c r="I2529" s="3928" t="s">
        <v>857</v>
      </c>
    </row>
    <row r="2530" spans="1:9" ht="11.25" customHeight="1">
      <c r="A2530" s="3928" t="s">
        <v>2258</v>
      </c>
      <c r="B2530" s="3928" t="s">
        <v>14</v>
      </c>
      <c r="C2530" s="3928" t="s">
        <v>5521</v>
      </c>
      <c r="D2530" s="3928" t="s">
        <v>5522</v>
      </c>
      <c r="E2530" s="3928" t="s">
        <v>5523</v>
      </c>
      <c r="F2530" s="3928" t="s">
        <v>2473</v>
      </c>
      <c r="G2530" s="3928" t="s">
        <v>5524</v>
      </c>
      <c r="H2530" s="3928" t="s">
        <v>24</v>
      </c>
      <c r="I2530" s="3928" t="s">
        <v>857</v>
      </c>
    </row>
    <row r="2531" spans="1:9" ht="11.25" customHeight="1">
      <c r="A2531" s="3928" t="s">
        <v>2258</v>
      </c>
      <c r="B2531" s="3928" t="s">
        <v>14</v>
      </c>
      <c r="C2531" s="3928" t="s">
        <v>5528</v>
      </c>
      <c r="D2531" s="3928" t="s">
        <v>5526</v>
      </c>
      <c r="E2531" s="3928" t="s">
        <v>5529</v>
      </c>
      <c r="F2531" s="3928" t="s">
        <v>3086</v>
      </c>
      <c r="G2531" s="3928" t="s">
        <v>5530</v>
      </c>
      <c r="H2531" s="3928" t="s">
        <v>24</v>
      </c>
      <c r="I2531" s="3928" t="s">
        <v>857</v>
      </c>
    </row>
    <row r="2532" spans="1:9" ht="11.25" customHeight="1">
      <c r="A2532" s="3928" t="s">
        <v>2258</v>
      </c>
      <c r="B2532" s="3928" t="s">
        <v>14</v>
      </c>
      <c r="C2532" s="3928" t="s">
        <v>5535</v>
      </c>
      <c r="D2532" s="3928" t="s">
        <v>5536</v>
      </c>
      <c r="E2532" s="3928" t="s">
        <v>5537</v>
      </c>
      <c r="F2532" s="3928" t="s">
        <v>3051</v>
      </c>
      <c r="G2532" s="3928" t="s">
        <v>24</v>
      </c>
      <c r="H2532" s="3928" t="s">
        <v>2772</v>
      </c>
      <c r="I2532" s="3928" t="s">
        <v>857</v>
      </c>
    </row>
    <row r="2533" spans="1:9" ht="11.25" customHeight="1">
      <c r="A2533" s="3928" t="s">
        <v>2258</v>
      </c>
      <c r="B2533" s="3928" t="s">
        <v>14</v>
      </c>
      <c r="C2533" s="3928" t="s">
        <v>5541</v>
      </c>
      <c r="D2533" s="3928" t="s">
        <v>5539</v>
      </c>
      <c r="E2533" s="3928" t="s">
        <v>5542</v>
      </c>
      <c r="F2533" s="3928" t="s">
        <v>2473</v>
      </c>
      <c r="G2533" s="3928" t="s">
        <v>24</v>
      </c>
      <c r="H2533" s="3928" t="s">
        <v>24</v>
      </c>
      <c r="I2533" s="3928" t="s">
        <v>857</v>
      </c>
    </row>
    <row r="2534" spans="1:9" ht="11.25" customHeight="1">
      <c r="A2534" s="3928" t="s">
        <v>2258</v>
      </c>
      <c r="B2534" s="3928" t="s">
        <v>14</v>
      </c>
      <c r="C2534" s="3928" t="s">
        <v>5547</v>
      </c>
      <c r="D2534" s="3928" t="s">
        <v>5548</v>
      </c>
      <c r="E2534" s="3928" t="s">
        <v>5549</v>
      </c>
      <c r="F2534" s="3928" t="s">
        <v>2688</v>
      </c>
      <c r="G2534" s="3928" t="s">
        <v>5550</v>
      </c>
      <c r="H2534" s="3928" t="s">
        <v>24</v>
      </c>
      <c r="I2534" s="3928" t="s">
        <v>857</v>
      </c>
    </row>
    <row r="2535" spans="1:9" ht="11.25" customHeight="1">
      <c r="A2535" s="3928" t="s">
        <v>2258</v>
      </c>
      <c r="B2535" s="3928" t="s">
        <v>14</v>
      </c>
      <c r="C2535" s="3928" t="s">
        <v>5561</v>
      </c>
      <c r="D2535" s="3928" t="s">
        <v>5562</v>
      </c>
      <c r="E2535" s="3928" t="s">
        <v>5563</v>
      </c>
      <c r="F2535" s="3928" t="s">
        <v>3509</v>
      </c>
      <c r="G2535" s="3928" t="s">
        <v>24</v>
      </c>
      <c r="H2535" s="3928" t="s">
        <v>2263</v>
      </c>
      <c r="I2535" s="3928" t="s">
        <v>857</v>
      </c>
    </row>
    <row r="2536" spans="1:9" ht="11.25" customHeight="1">
      <c r="A2536" s="3928" t="s">
        <v>2258</v>
      </c>
      <c r="B2536" s="3928" t="s">
        <v>14</v>
      </c>
      <c r="C2536" s="3928" t="s">
        <v>7643</v>
      </c>
      <c r="D2536" s="3928" t="s">
        <v>7644</v>
      </c>
      <c r="E2536" s="3928" t="s">
        <v>7645</v>
      </c>
      <c r="F2536" s="3928" t="s">
        <v>49</v>
      </c>
      <c r="G2536" s="3928" t="s">
        <v>24</v>
      </c>
      <c r="H2536" s="3928" t="s">
        <v>24</v>
      </c>
      <c r="I2536" s="3928" t="s">
        <v>857</v>
      </c>
    </row>
    <row r="2537" spans="1:9" ht="11.25" customHeight="1">
      <c r="A2537" s="3928" t="s">
        <v>2258</v>
      </c>
      <c r="B2537" s="3928" t="s">
        <v>14</v>
      </c>
      <c r="C2537" s="3928" t="s">
        <v>7646</v>
      </c>
      <c r="D2537" s="3928" t="s">
        <v>7647</v>
      </c>
      <c r="E2537" s="3928" t="s">
        <v>7648</v>
      </c>
      <c r="F2537" s="3928" t="s">
        <v>4792</v>
      </c>
      <c r="G2537" s="3928" t="s">
        <v>7649</v>
      </c>
      <c r="H2537" s="3928" t="s">
        <v>24</v>
      </c>
      <c r="I2537" s="3928" t="s">
        <v>857</v>
      </c>
    </row>
    <row r="2538" spans="1:9" ht="11.25" customHeight="1">
      <c r="A2538" s="3928" t="s">
        <v>2258</v>
      </c>
      <c r="B2538" s="3928" t="s">
        <v>14</v>
      </c>
      <c r="C2538" s="3928" t="s">
        <v>7650</v>
      </c>
      <c r="D2538" s="3928" t="s">
        <v>7651</v>
      </c>
      <c r="E2538" s="3928" t="s">
        <v>7652</v>
      </c>
      <c r="F2538" s="3928" t="s">
        <v>2567</v>
      </c>
      <c r="G2538" s="3928" t="s">
        <v>7653</v>
      </c>
      <c r="H2538" s="3928" t="s">
        <v>24</v>
      </c>
      <c r="I2538" s="3928" t="s">
        <v>857</v>
      </c>
    </row>
    <row r="2539" spans="1:9" ht="11.25" customHeight="1">
      <c r="A2539" s="3928" t="s">
        <v>2258</v>
      </c>
      <c r="B2539" s="3928" t="s">
        <v>14</v>
      </c>
      <c r="C2539" s="3928" t="s">
        <v>7654</v>
      </c>
      <c r="D2539" s="3928" t="s">
        <v>7655</v>
      </c>
      <c r="E2539" s="3928" t="s">
        <v>7656</v>
      </c>
      <c r="F2539" s="3928" t="s">
        <v>3082</v>
      </c>
      <c r="G2539" s="3928" t="s">
        <v>24</v>
      </c>
      <c r="H2539" s="3928" t="s">
        <v>24</v>
      </c>
      <c r="I2539" s="3928" t="s">
        <v>857</v>
      </c>
    </row>
    <row r="2540" spans="1:9" ht="11.25" customHeight="1">
      <c r="A2540" s="3928" t="s">
        <v>2258</v>
      </c>
      <c r="B2540" s="3928" t="s">
        <v>14</v>
      </c>
      <c r="C2540" s="3928" t="s">
        <v>6447</v>
      </c>
      <c r="D2540" s="3928" t="s">
        <v>6448</v>
      </c>
      <c r="E2540" s="3928" t="s">
        <v>6449</v>
      </c>
      <c r="F2540" s="3928" t="s">
        <v>2486</v>
      </c>
      <c r="G2540" s="3928" t="s">
        <v>24</v>
      </c>
      <c r="H2540" s="3928" t="s">
        <v>24</v>
      </c>
      <c r="I2540" s="3928" t="s">
        <v>857</v>
      </c>
    </row>
    <row r="2541" spans="1:9" ht="11.25" customHeight="1">
      <c r="A2541" s="3928" t="s">
        <v>2258</v>
      </c>
      <c r="B2541" s="3928" t="s">
        <v>14</v>
      </c>
      <c r="C2541" s="3928" t="s">
        <v>7657</v>
      </c>
      <c r="D2541" s="3928" t="s">
        <v>7658</v>
      </c>
      <c r="E2541" s="3928" t="s">
        <v>7659</v>
      </c>
      <c r="F2541" s="3928" t="s">
        <v>2262</v>
      </c>
      <c r="G2541" s="3928" t="s">
        <v>7660</v>
      </c>
      <c r="H2541" s="3928" t="s">
        <v>2848</v>
      </c>
      <c r="I2541" s="3928" t="s">
        <v>857</v>
      </c>
    </row>
    <row r="2542" spans="1:9" ht="11.25" customHeight="1">
      <c r="A2542" s="3928" t="s">
        <v>2258</v>
      </c>
      <c r="B2542" s="3928" t="s">
        <v>14</v>
      </c>
      <c r="C2542" s="3928" t="s">
        <v>5567</v>
      </c>
      <c r="D2542" s="3928" t="s">
        <v>5568</v>
      </c>
      <c r="E2542" s="3928" t="s">
        <v>5569</v>
      </c>
      <c r="F2542" s="3928" t="s">
        <v>2349</v>
      </c>
      <c r="G2542" s="3928" t="s">
        <v>24</v>
      </c>
      <c r="H2542" s="3928" t="s">
        <v>5570</v>
      </c>
      <c r="I2542" s="3928" t="s">
        <v>857</v>
      </c>
    </row>
    <row r="2543" spans="1:9" ht="11.25" customHeight="1">
      <c r="A2543" s="3928" t="s">
        <v>2258</v>
      </c>
      <c r="B2543" s="3928" t="s">
        <v>14</v>
      </c>
      <c r="C2543" s="3928" t="s">
        <v>5578</v>
      </c>
      <c r="D2543" s="3928" t="s">
        <v>5579</v>
      </c>
      <c r="E2543" s="3928" t="s">
        <v>5580</v>
      </c>
      <c r="F2543" s="3928" t="s">
        <v>2304</v>
      </c>
      <c r="G2543" s="3928" t="s">
        <v>24</v>
      </c>
      <c r="H2543" s="3928" t="s">
        <v>24</v>
      </c>
      <c r="I2543" s="3928" t="s">
        <v>857</v>
      </c>
    </row>
    <row r="2544" spans="1:9" ht="11.25" customHeight="1">
      <c r="A2544" s="3928" t="s">
        <v>2258</v>
      </c>
      <c r="B2544" s="3928" t="s">
        <v>14</v>
      </c>
      <c r="C2544" s="3928" t="s">
        <v>7661</v>
      </c>
      <c r="D2544" s="3928" t="s">
        <v>7662</v>
      </c>
      <c r="E2544" s="3928" t="s">
        <v>7663</v>
      </c>
      <c r="F2544" s="3928" t="s">
        <v>2304</v>
      </c>
      <c r="G2544" s="3928" t="s">
        <v>7664</v>
      </c>
      <c r="H2544" s="3928" t="s">
        <v>7665</v>
      </c>
      <c r="I2544" s="3928" t="s">
        <v>857</v>
      </c>
    </row>
    <row r="2545" spans="1:9" ht="11.25" customHeight="1">
      <c r="A2545" s="3928" t="s">
        <v>2258</v>
      </c>
      <c r="B2545" s="3928" t="s">
        <v>14</v>
      </c>
      <c r="C2545" s="3928" t="s">
        <v>5592</v>
      </c>
      <c r="D2545" s="3928" t="s">
        <v>5593</v>
      </c>
      <c r="E2545" s="3928" t="s">
        <v>5594</v>
      </c>
      <c r="F2545" s="3928" t="s">
        <v>2344</v>
      </c>
      <c r="G2545" s="3928" t="s">
        <v>5595</v>
      </c>
      <c r="H2545" s="3928" t="s">
        <v>24</v>
      </c>
      <c r="I2545" s="3928" t="s">
        <v>857</v>
      </c>
    </row>
    <row r="2546" spans="1:9" ht="11.25" customHeight="1">
      <c r="A2546" s="3928" t="s">
        <v>2258</v>
      </c>
      <c r="B2546" s="3928" t="s">
        <v>14</v>
      </c>
      <c r="C2546" s="3928" t="s">
        <v>5607</v>
      </c>
      <c r="D2546" s="3928" t="s">
        <v>5608</v>
      </c>
      <c r="E2546" s="3928" t="s">
        <v>5609</v>
      </c>
      <c r="F2546" s="3928" t="s">
        <v>2675</v>
      </c>
      <c r="G2546" s="3928" t="s">
        <v>24</v>
      </c>
      <c r="H2546" s="3928" t="s">
        <v>24</v>
      </c>
      <c r="I2546" s="3928" t="s">
        <v>857</v>
      </c>
    </row>
    <row r="2547" spans="1:9" ht="11.25" customHeight="1">
      <c r="A2547" s="3928" t="s">
        <v>2258</v>
      </c>
      <c r="B2547" s="3928" t="s">
        <v>14</v>
      </c>
      <c r="C2547" s="3928" t="s">
        <v>5610</v>
      </c>
      <c r="D2547" s="3928" t="s">
        <v>5608</v>
      </c>
      <c r="E2547" s="3928" t="s">
        <v>5611</v>
      </c>
      <c r="F2547" s="3928" t="s">
        <v>2486</v>
      </c>
      <c r="G2547" s="3928" t="s">
        <v>5612</v>
      </c>
      <c r="H2547" s="3928" t="s">
        <v>24</v>
      </c>
      <c r="I2547" s="3928" t="s">
        <v>857</v>
      </c>
    </row>
    <row r="2548" spans="1:9" ht="11.25" customHeight="1">
      <c r="A2548" s="3928" t="s">
        <v>2258</v>
      </c>
      <c r="B2548" s="3928" t="s">
        <v>14</v>
      </c>
      <c r="C2548" s="3928" t="s">
        <v>7666</v>
      </c>
      <c r="D2548" s="3928" t="s">
        <v>7667</v>
      </c>
      <c r="E2548" s="3928" t="s">
        <v>7668</v>
      </c>
      <c r="F2548" s="3928" t="s">
        <v>2419</v>
      </c>
      <c r="G2548" s="3928" t="s">
        <v>7669</v>
      </c>
      <c r="H2548" s="3928" t="s">
        <v>24</v>
      </c>
      <c r="I2548" s="3928" t="s">
        <v>857</v>
      </c>
    </row>
    <row r="2549" spans="1:9" ht="11.25" customHeight="1">
      <c r="A2549" s="3928" t="s">
        <v>2258</v>
      </c>
      <c r="B2549" s="3928" t="s">
        <v>14</v>
      </c>
      <c r="C2549" s="3928" t="s">
        <v>7670</v>
      </c>
      <c r="D2549" s="3928" t="s">
        <v>7671</v>
      </c>
      <c r="E2549" s="3928" t="s">
        <v>7672</v>
      </c>
      <c r="F2549" s="3928" t="s">
        <v>2522</v>
      </c>
      <c r="G2549" s="3928" t="s">
        <v>7673</v>
      </c>
      <c r="H2549" s="3928" t="s">
        <v>24</v>
      </c>
      <c r="I2549" s="3928" t="s">
        <v>857</v>
      </c>
    </row>
    <row r="2550" spans="1:9" ht="11.25" customHeight="1">
      <c r="A2550" s="3928" t="s">
        <v>2258</v>
      </c>
      <c r="B2550" s="3928" t="s">
        <v>14</v>
      </c>
      <c r="C2550" s="3928" t="s">
        <v>5625</v>
      </c>
      <c r="D2550" s="3928" t="s">
        <v>5626</v>
      </c>
      <c r="E2550" s="3928" t="s">
        <v>5627</v>
      </c>
      <c r="F2550" s="3928" t="s">
        <v>2473</v>
      </c>
      <c r="G2550" s="3928" t="s">
        <v>5628</v>
      </c>
      <c r="H2550" s="3928" t="s">
        <v>24</v>
      </c>
      <c r="I2550" s="3928" t="s">
        <v>857</v>
      </c>
    </row>
    <row r="2551" spans="1:9" ht="11.25" customHeight="1">
      <c r="A2551" s="3928" t="s">
        <v>2258</v>
      </c>
      <c r="B2551" s="3928" t="s">
        <v>14</v>
      </c>
      <c r="C2551" s="3928" t="s">
        <v>7674</v>
      </c>
      <c r="D2551" s="3928" t="s">
        <v>7675</v>
      </c>
      <c r="E2551" s="3928" t="s">
        <v>7676</v>
      </c>
      <c r="F2551" s="3928" t="s">
        <v>3532</v>
      </c>
      <c r="G2551" s="3928" t="s">
        <v>24</v>
      </c>
      <c r="H2551" s="3928" t="s">
        <v>7677</v>
      </c>
      <c r="I2551" s="3928" t="s">
        <v>857</v>
      </c>
    </row>
    <row r="2552" spans="1:9" ht="11.25" customHeight="1">
      <c r="A2552" s="3928" t="s">
        <v>2258</v>
      </c>
      <c r="B2552" s="3928" t="s">
        <v>14</v>
      </c>
      <c r="C2552" s="3928" t="s">
        <v>5629</v>
      </c>
      <c r="D2552" s="3928" t="s">
        <v>5630</v>
      </c>
      <c r="E2552" s="3928" t="s">
        <v>4478</v>
      </c>
      <c r="F2552" s="3928" t="s">
        <v>2262</v>
      </c>
      <c r="G2552" s="3928" t="s">
        <v>24</v>
      </c>
      <c r="H2552" s="3928" t="s">
        <v>24</v>
      </c>
      <c r="I2552" s="3928" t="s">
        <v>857</v>
      </c>
    </row>
    <row r="2553" spans="1:9" ht="11.25" customHeight="1">
      <c r="A2553" s="3928" t="s">
        <v>2258</v>
      </c>
      <c r="B2553" s="3928" t="s">
        <v>14</v>
      </c>
      <c r="C2553" s="3928" t="s">
        <v>7678</v>
      </c>
      <c r="D2553" s="3928" t="s">
        <v>7679</v>
      </c>
      <c r="E2553" s="3928" t="s">
        <v>7680</v>
      </c>
      <c r="F2553" s="3928" t="s">
        <v>2397</v>
      </c>
      <c r="G2553" s="3928" t="s">
        <v>24</v>
      </c>
      <c r="H2553" s="3928" t="s">
        <v>2848</v>
      </c>
      <c r="I2553" s="3928" t="s">
        <v>857</v>
      </c>
    </row>
    <row r="2554" spans="1:9" ht="11.25" customHeight="1">
      <c r="A2554" s="3928" t="s">
        <v>2258</v>
      </c>
      <c r="B2554" s="3928" t="s">
        <v>14</v>
      </c>
      <c r="C2554" s="3928" t="s">
        <v>7681</v>
      </c>
      <c r="D2554" s="3928" t="s">
        <v>7682</v>
      </c>
      <c r="E2554" s="3928" t="s">
        <v>7683</v>
      </c>
      <c r="F2554" s="3928" t="s">
        <v>3082</v>
      </c>
      <c r="G2554" s="3928" t="s">
        <v>7684</v>
      </c>
      <c r="H2554" s="3928" t="s">
        <v>24</v>
      </c>
      <c r="I2554" s="3928" t="s">
        <v>857</v>
      </c>
    </row>
    <row r="2555" spans="1:9" ht="11.25" customHeight="1">
      <c r="A2555" s="3928" t="s">
        <v>2258</v>
      </c>
      <c r="B2555" s="3928" t="s">
        <v>14</v>
      </c>
      <c r="C2555" s="3928" t="s">
        <v>7685</v>
      </c>
      <c r="D2555" s="3928" t="s">
        <v>7686</v>
      </c>
      <c r="E2555" s="3928" t="s">
        <v>7687</v>
      </c>
      <c r="F2555" s="3928" t="s">
        <v>6113</v>
      </c>
      <c r="G2555" s="3928" t="s">
        <v>7688</v>
      </c>
      <c r="H2555" s="3928" t="s">
        <v>24</v>
      </c>
      <c r="I2555" s="3928" t="s">
        <v>857</v>
      </c>
    </row>
    <row r="2556" spans="1:9" ht="11.25" customHeight="1">
      <c r="A2556" s="3928" t="s">
        <v>2258</v>
      </c>
      <c r="B2556" s="3928" t="s">
        <v>14</v>
      </c>
      <c r="C2556" s="3928" t="s">
        <v>7689</v>
      </c>
      <c r="D2556" s="3928" t="s">
        <v>7690</v>
      </c>
      <c r="E2556" s="3928" t="s">
        <v>7691</v>
      </c>
      <c r="F2556" s="3928" t="s">
        <v>2409</v>
      </c>
      <c r="G2556" s="3928" t="s">
        <v>24</v>
      </c>
      <c r="H2556" s="3928" t="s">
        <v>24</v>
      </c>
      <c r="I2556" s="3928" t="s">
        <v>857</v>
      </c>
    </row>
    <row r="2557" spans="1:9" ht="11.25" customHeight="1">
      <c r="A2557" s="3928" t="s">
        <v>2258</v>
      </c>
      <c r="B2557" s="3928" t="s">
        <v>14</v>
      </c>
      <c r="C2557" s="3928" t="s">
        <v>7692</v>
      </c>
      <c r="D2557" s="3928" t="s">
        <v>7693</v>
      </c>
      <c r="E2557" s="3928" t="s">
        <v>7694</v>
      </c>
      <c r="F2557" s="3928" t="s">
        <v>3039</v>
      </c>
      <c r="G2557" s="3928" t="s">
        <v>7695</v>
      </c>
      <c r="H2557" s="3928" t="s">
        <v>24</v>
      </c>
      <c r="I2557" s="3928" t="s">
        <v>857</v>
      </c>
    </row>
    <row r="2558" spans="1:9" ht="11.25" customHeight="1">
      <c r="A2558" s="3928" t="s">
        <v>2258</v>
      </c>
      <c r="B2558" s="3928" t="s">
        <v>14</v>
      </c>
      <c r="C2558" s="3928" t="s">
        <v>5644</v>
      </c>
      <c r="D2558" s="3928" t="s">
        <v>5645</v>
      </c>
      <c r="E2558" s="3928" t="s">
        <v>5646</v>
      </c>
      <c r="F2558" s="3928" t="s">
        <v>2486</v>
      </c>
      <c r="G2558" s="3928" t="s">
        <v>24</v>
      </c>
      <c r="H2558" s="3928" t="s">
        <v>24</v>
      </c>
      <c r="I2558" s="3928" t="s">
        <v>857</v>
      </c>
    </row>
    <row r="2559" spans="1:9" ht="11.25" customHeight="1">
      <c r="A2559" s="3928" t="s">
        <v>2258</v>
      </c>
      <c r="B2559" s="3928" t="s">
        <v>14</v>
      </c>
      <c r="C2559" s="3928" t="s">
        <v>7696</v>
      </c>
      <c r="D2559" s="3928" t="s">
        <v>7697</v>
      </c>
      <c r="E2559" s="3928" t="s">
        <v>7698</v>
      </c>
      <c r="F2559" s="3928" t="s">
        <v>2414</v>
      </c>
      <c r="G2559" s="3928" t="s">
        <v>7699</v>
      </c>
      <c r="H2559" s="3928" t="s">
        <v>24</v>
      </c>
      <c r="I2559" s="3928" t="s">
        <v>857</v>
      </c>
    </row>
    <row r="2560" spans="1:9" ht="11.25" customHeight="1">
      <c r="A2560" s="3928" t="s">
        <v>2258</v>
      </c>
      <c r="B2560" s="3928" t="s">
        <v>14</v>
      </c>
      <c r="C2560" s="3928" t="s">
        <v>7700</v>
      </c>
      <c r="D2560" s="3928" t="s">
        <v>7701</v>
      </c>
      <c r="E2560" s="3928" t="s">
        <v>7702</v>
      </c>
      <c r="F2560" s="3928" t="s">
        <v>2262</v>
      </c>
      <c r="G2560" s="3928" t="s">
        <v>24</v>
      </c>
      <c r="H2560" s="3928" t="s">
        <v>24</v>
      </c>
      <c r="I2560" s="3928" t="s">
        <v>857</v>
      </c>
    </row>
    <row r="2561" spans="1:9" ht="11.25" customHeight="1">
      <c r="A2561" s="3928" t="s">
        <v>2258</v>
      </c>
      <c r="B2561" s="3928" t="s">
        <v>14</v>
      </c>
      <c r="C2561" s="3928" t="s">
        <v>7703</v>
      </c>
      <c r="D2561" s="3928" t="s">
        <v>7704</v>
      </c>
      <c r="E2561" s="3928" t="s">
        <v>7705</v>
      </c>
      <c r="F2561" s="3928" t="s">
        <v>2929</v>
      </c>
      <c r="G2561" s="3928" t="s">
        <v>24</v>
      </c>
      <c r="H2561" s="3928" t="s">
        <v>2848</v>
      </c>
      <c r="I2561" s="3928" t="s">
        <v>857</v>
      </c>
    </row>
    <row r="2562" spans="1:9" ht="11.25" customHeight="1">
      <c r="A2562" s="3928" t="s">
        <v>2258</v>
      </c>
      <c r="B2562" s="3928" t="s">
        <v>14</v>
      </c>
      <c r="C2562" s="3928" t="s">
        <v>7706</v>
      </c>
      <c r="D2562" s="3928" t="s">
        <v>7707</v>
      </c>
      <c r="E2562" s="3928" t="s">
        <v>7708</v>
      </c>
      <c r="F2562" s="3928" t="s">
        <v>2929</v>
      </c>
      <c r="G2562" s="3928" t="s">
        <v>24</v>
      </c>
      <c r="H2562" s="3928" t="s">
        <v>2848</v>
      </c>
      <c r="I2562" s="3928" t="s">
        <v>857</v>
      </c>
    </row>
    <row r="2563" spans="1:9" ht="11.25" customHeight="1">
      <c r="A2563" s="3928" t="s">
        <v>2258</v>
      </c>
      <c r="B2563" s="3928" t="s">
        <v>14</v>
      </c>
      <c r="C2563" s="3928" t="s">
        <v>7709</v>
      </c>
      <c r="D2563" s="3928" t="s">
        <v>7710</v>
      </c>
      <c r="E2563" s="3928" t="s">
        <v>7711</v>
      </c>
      <c r="F2563" s="3928" t="s">
        <v>2701</v>
      </c>
      <c r="G2563" s="3928" t="s">
        <v>7712</v>
      </c>
      <c r="H2563" s="3928" t="s">
        <v>24</v>
      </c>
      <c r="I2563" s="3928" t="s">
        <v>857</v>
      </c>
    </row>
    <row r="2564" spans="1:9" ht="11.25" customHeight="1">
      <c r="A2564" s="3928" t="s">
        <v>2258</v>
      </c>
      <c r="B2564" s="3928" t="s">
        <v>14</v>
      </c>
      <c r="C2564" s="3928" t="s">
        <v>7713</v>
      </c>
      <c r="D2564" s="3928" t="s">
        <v>7714</v>
      </c>
      <c r="E2564" s="3928" t="s">
        <v>7715</v>
      </c>
      <c r="F2564" s="3928" t="s">
        <v>2289</v>
      </c>
      <c r="G2564" s="3928" t="s">
        <v>24</v>
      </c>
      <c r="H2564" s="3928" t="s">
        <v>7716</v>
      </c>
      <c r="I2564" s="3928" t="s">
        <v>857</v>
      </c>
    </row>
    <row r="2565" spans="1:9" ht="11.25" customHeight="1">
      <c r="A2565" s="3928" t="s">
        <v>2258</v>
      </c>
      <c r="B2565" s="3928" t="s">
        <v>14</v>
      </c>
      <c r="C2565" s="3928" t="s">
        <v>5659</v>
      </c>
      <c r="D2565" s="3928" t="s">
        <v>5660</v>
      </c>
      <c r="E2565" s="3928" t="s">
        <v>5661</v>
      </c>
      <c r="F2565" s="3928" t="s">
        <v>2289</v>
      </c>
      <c r="G2565" s="3928" t="s">
        <v>24</v>
      </c>
      <c r="H2565" s="3928" t="s">
        <v>24</v>
      </c>
      <c r="I2565" s="3928" t="s">
        <v>857</v>
      </c>
    </row>
    <row r="2566" spans="1:9" ht="11.25" customHeight="1">
      <c r="A2566" s="3928" t="s">
        <v>2258</v>
      </c>
      <c r="B2566" s="3928" t="s">
        <v>14</v>
      </c>
      <c r="C2566" s="3928" t="s">
        <v>5666</v>
      </c>
      <c r="D2566" s="3928" t="s">
        <v>5667</v>
      </c>
      <c r="E2566" s="3928" t="s">
        <v>5668</v>
      </c>
      <c r="F2566" s="3928" t="s">
        <v>2397</v>
      </c>
      <c r="G2566" s="3928" t="s">
        <v>24</v>
      </c>
      <c r="H2566" s="3928" t="s">
        <v>24</v>
      </c>
      <c r="I2566" s="3928" t="s">
        <v>857</v>
      </c>
    </row>
    <row r="2567" spans="1:9" ht="11.25" customHeight="1">
      <c r="A2567" s="3928" t="s">
        <v>2258</v>
      </c>
      <c r="B2567" s="3928" t="s">
        <v>14</v>
      </c>
      <c r="C2567" s="3928" t="s">
        <v>5669</v>
      </c>
      <c r="D2567" s="3928" t="s">
        <v>5670</v>
      </c>
      <c r="E2567" s="3928" t="s">
        <v>5671</v>
      </c>
      <c r="F2567" s="3928" t="s">
        <v>2294</v>
      </c>
      <c r="G2567" s="3928" t="s">
        <v>24</v>
      </c>
      <c r="H2567" s="3928" t="s">
        <v>24</v>
      </c>
      <c r="I2567" s="3928" t="s">
        <v>857</v>
      </c>
    </row>
    <row r="2568" spans="1:9" ht="11.25" customHeight="1">
      <c r="A2568" s="3928" t="s">
        <v>2258</v>
      </c>
      <c r="B2568" s="3928" t="s">
        <v>14</v>
      </c>
      <c r="C2568" s="3928" t="s">
        <v>7717</v>
      </c>
      <c r="D2568" s="3928" t="s">
        <v>7718</v>
      </c>
      <c r="E2568" s="3928" t="s">
        <v>7719</v>
      </c>
      <c r="F2568" s="3928" t="s">
        <v>2414</v>
      </c>
      <c r="G2568" s="3928" t="s">
        <v>7720</v>
      </c>
      <c r="H2568" s="3928" t="s">
        <v>24</v>
      </c>
      <c r="I2568" s="3928" t="s">
        <v>857</v>
      </c>
    </row>
    <row r="2569" spans="1:9" ht="11.25" customHeight="1">
      <c r="A2569" s="3928" t="s">
        <v>2258</v>
      </c>
      <c r="B2569" s="3928" t="s">
        <v>14</v>
      </c>
      <c r="C2569" s="3928" t="s">
        <v>7721</v>
      </c>
      <c r="D2569" s="3928" t="s">
        <v>7722</v>
      </c>
      <c r="E2569" s="3928" t="s">
        <v>7723</v>
      </c>
      <c r="F2569" s="3928" t="s">
        <v>2638</v>
      </c>
      <c r="G2569" s="3928" t="s">
        <v>7724</v>
      </c>
      <c r="H2569" s="3928" t="s">
        <v>3568</v>
      </c>
      <c r="I2569" s="3928" t="s">
        <v>857</v>
      </c>
    </row>
    <row r="2570" spans="1:9" ht="11.25" customHeight="1">
      <c r="A2570" s="3928" t="s">
        <v>2258</v>
      </c>
      <c r="B2570" s="3928" t="s">
        <v>14</v>
      </c>
      <c r="C2570" s="3928" t="s">
        <v>7725</v>
      </c>
      <c r="D2570" s="3928" t="s">
        <v>7726</v>
      </c>
      <c r="E2570" s="3928" t="s">
        <v>7727</v>
      </c>
      <c r="F2570" s="3928" t="s">
        <v>2929</v>
      </c>
      <c r="G2570" s="3928" t="s">
        <v>24</v>
      </c>
      <c r="H2570" s="3928" t="s">
        <v>2848</v>
      </c>
      <c r="I2570" s="3928" t="s">
        <v>857</v>
      </c>
    </row>
    <row r="2571" spans="1:9" ht="11.25" customHeight="1">
      <c r="A2571" s="3928" t="s">
        <v>2258</v>
      </c>
      <c r="B2571" s="3928" t="s">
        <v>14</v>
      </c>
      <c r="C2571" s="3928" t="s">
        <v>5686</v>
      </c>
      <c r="D2571" s="3928" t="s">
        <v>5687</v>
      </c>
      <c r="E2571" s="3928" t="s">
        <v>5688</v>
      </c>
      <c r="F2571" s="3928" t="s">
        <v>2409</v>
      </c>
      <c r="G2571" s="3928" t="s">
        <v>5689</v>
      </c>
      <c r="H2571" s="3928" t="s">
        <v>24</v>
      </c>
      <c r="I2571" s="3928" t="s">
        <v>857</v>
      </c>
    </row>
    <row r="2572" spans="1:9" ht="11.25" customHeight="1">
      <c r="A2572" s="3928" t="s">
        <v>2258</v>
      </c>
      <c r="B2572" s="3928" t="s">
        <v>14</v>
      </c>
      <c r="C2572" s="3928" t="s">
        <v>7728</v>
      </c>
      <c r="D2572" s="3928" t="s">
        <v>7729</v>
      </c>
      <c r="E2572" s="3928" t="s">
        <v>7730</v>
      </c>
      <c r="F2572" s="3928" t="s">
        <v>3310</v>
      </c>
      <c r="G2572" s="3928" t="s">
        <v>24</v>
      </c>
      <c r="H2572" s="3928" t="s">
        <v>24</v>
      </c>
      <c r="I2572" s="3928" t="s">
        <v>857</v>
      </c>
    </row>
    <row r="2573" spans="1:9" ht="11.25" customHeight="1">
      <c r="A2573" s="3928" t="s">
        <v>2258</v>
      </c>
      <c r="B2573" s="3928" t="s">
        <v>14</v>
      </c>
      <c r="C2573" s="3928" t="s">
        <v>5697</v>
      </c>
      <c r="D2573" s="3928" t="s">
        <v>5698</v>
      </c>
      <c r="E2573" s="3928" t="s">
        <v>5699</v>
      </c>
      <c r="F2573" s="3928" t="s">
        <v>2473</v>
      </c>
      <c r="G2573" s="3928" t="s">
        <v>24</v>
      </c>
      <c r="H2573" s="3928" t="s">
        <v>3068</v>
      </c>
      <c r="I2573" s="3928" t="s">
        <v>857</v>
      </c>
    </row>
    <row r="2574" spans="1:9" ht="11.25" customHeight="1">
      <c r="A2574" s="3928" t="s">
        <v>2258</v>
      </c>
      <c r="B2574" s="3928" t="s">
        <v>14</v>
      </c>
      <c r="C2574" s="3928" t="s">
        <v>7731</v>
      </c>
      <c r="D2574" s="3928" t="s">
        <v>7732</v>
      </c>
      <c r="E2574" s="3928" t="s">
        <v>7733</v>
      </c>
      <c r="F2574" s="3928" t="s">
        <v>2409</v>
      </c>
      <c r="G2574" s="3928" t="s">
        <v>4621</v>
      </c>
      <c r="H2574" s="3928" t="s">
        <v>24</v>
      </c>
      <c r="I2574" s="3928" t="s">
        <v>857</v>
      </c>
    </row>
    <row r="2575" spans="1:9" ht="11.25" customHeight="1">
      <c r="A2575" s="3928" t="s">
        <v>2258</v>
      </c>
      <c r="B2575" s="3928" t="s">
        <v>14</v>
      </c>
      <c r="C2575" s="3928" t="s">
        <v>7734</v>
      </c>
      <c r="D2575" s="3928" t="s">
        <v>7735</v>
      </c>
      <c r="E2575" s="3928" t="s">
        <v>7736</v>
      </c>
      <c r="F2575" s="3928" t="s">
        <v>2397</v>
      </c>
      <c r="G2575" s="3928" t="s">
        <v>7737</v>
      </c>
      <c r="H2575" s="3928" t="s">
        <v>24</v>
      </c>
      <c r="I2575" s="3928" t="s">
        <v>857</v>
      </c>
    </row>
    <row r="2576" spans="1:9" ht="11.25" customHeight="1">
      <c r="A2576" s="3928" t="s">
        <v>2258</v>
      </c>
      <c r="B2576" s="3928" t="s">
        <v>14</v>
      </c>
      <c r="C2576" s="3928" t="s">
        <v>7738</v>
      </c>
      <c r="D2576" s="3928" t="s">
        <v>7739</v>
      </c>
      <c r="E2576" s="3928" t="s">
        <v>7740</v>
      </c>
      <c r="F2576" s="3928" t="s">
        <v>2409</v>
      </c>
      <c r="G2576" s="3928" t="s">
        <v>7741</v>
      </c>
      <c r="H2576" s="3928" t="s">
        <v>24</v>
      </c>
      <c r="I2576" s="3928" t="s">
        <v>857</v>
      </c>
    </row>
    <row r="2577" spans="1:9" ht="11.25" customHeight="1">
      <c r="A2577" s="3928" t="s">
        <v>2258</v>
      </c>
      <c r="B2577" s="3928" t="s">
        <v>14</v>
      </c>
      <c r="C2577" s="3928" t="s">
        <v>7742</v>
      </c>
      <c r="D2577" s="3928" t="s">
        <v>7743</v>
      </c>
      <c r="E2577" s="3928" t="s">
        <v>7744</v>
      </c>
      <c r="F2577" s="3928" t="s">
        <v>2409</v>
      </c>
      <c r="G2577" s="3928" t="s">
        <v>7745</v>
      </c>
      <c r="H2577" s="3928" t="s">
        <v>24</v>
      </c>
      <c r="I2577" s="3928" t="s">
        <v>857</v>
      </c>
    </row>
    <row r="2578" spans="1:9" ht="11.25" customHeight="1">
      <c r="A2578" s="3928" t="s">
        <v>2258</v>
      </c>
      <c r="B2578" s="3928" t="s">
        <v>14</v>
      </c>
      <c r="C2578" s="3928" t="s">
        <v>7746</v>
      </c>
      <c r="D2578" s="3928" t="s">
        <v>7747</v>
      </c>
      <c r="E2578" s="3928" t="s">
        <v>7748</v>
      </c>
      <c r="F2578" s="3928" t="s">
        <v>2414</v>
      </c>
      <c r="G2578" s="3928" t="s">
        <v>2443</v>
      </c>
      <c r="H2578" s="3928" t="s">
        <v>24</v>
      </c>
      <c r="I2578" s="3928" t="s">
        <v>857</v>
      </c>
    </row>
    <row r="2579" spans="1:9" ht="11.25" customHeight="1">
      <c r="A2579" s="3928" t="s">
        <v>2258</v>
      </c>
      <c r="B2579" s="3928" t="s">
        <v>14</v>
      </c>
      <c r="C2579" s="3928" t="s">
        <v>7749</v>
      </c>
      <c r="D2579" s="3928" t="s">
        <v>7750</v>
      </c>
      <c r="E2579" s="3928" t="s">
        <v>7751</v>
      </c>
      <c r="F2579" s="3928" t="s">
        <v>2486</v>
      </c>
      <c r="G2579" s="3928" t="s">
        <v>24</v>
      </c>
      <c r="H2579" s="3928" t="s">
        <v>2848</v>
      </c>
      <c r="I2579" s="3928" t="s">
        <v>857</v>
      </c>
    </row>
    <row r="2580" spans="1:9" ht="11.25" customHeight="1">
      <c r="A2580" s="3928" t="s">
        <v>2258</v>
      </c>
      <c r="B2580" s="3928" t="s">
        <v>14</v>
      </c>
      <c r="C2580" s="3928" t="s">
        <v>7752</v>
      </c>
      <c r="D2580" s="3928" t="s">
        <v>7753</v>
      </c>
      <c r="E2580" s="3928" t="s">
        <v>7754</v>
      </c>
      <c r="F2580" s="3928" t="s">
        <v>5657</v>
      </c>
      <c r="G2580" s="3928" t="s">
        <v>7755</v>
      </c>
      <c r="H2580" s="3928" t="s">
        <v>24</v>
      </c>
      <c r="I2580" s="3928" t="s">
        <v>857</v>
      </c>
    </row>
    <row r="2581" spans="1:9" ht="11.25" customHeight="1">
      <c r="A2581" s="3928" t="s">
        <v>2258</v>
      </c>
      <c r="B2581" s="3928" t="s">
        <v>14</v>
      </c>
      <c r="C2581" s="3928" t="s">
        <v>7756</v>
      </c>
      <c r="D2581" s="3928" t="s">
        <v>7757</v>
      </c>
      <c r="E2581" s="3928" t="s">
        <v>7758</v>
      </c>
      <c r="F2581" s="3928" t="s">
        <v>3884</v>
      </c>
      <c r="G2581" s="3928" t="s">
        <v>24</v>
      </c>
      <c r="H2581" s="3928" t="s">
        <v>24</v>
      </c>
      <c r="I2581" s="3928" t="s">
        <v>857</v>
      </c>
    </row>
    <row r="2582" spans="1:9" ht="11.25" customHeight="1">
      <c r="A2582" s="3928" t="s">
        <v>2258</v>
      </c>
      <c r="B2582" s="3928" t="s">
        <v>14</v>
      </c>
      <c r="C2582" s="3928" t="s">
        <v>5704</v>
      </c>
      <c r="D2582" s="3928" t="s">
        <v>5705</v>
      </c>
      <c r="E2582" s="3928" t="s">
        <v>5706</v>
      </c>
      <c r="F2582" s="3928" t="s">
        <v>2473</v>
      </c>
      <c r="G2582" s="3928" t="s">
        <v>24</v>
      </c>
      <c r="H2582" s="3928" t="s">
        <v>24</v>
      </c>
      <c r="I2582" s="3928" t="s">
        <v>857</v>
      </c>
    </row>
    <row r="2583" spans="1:9" ht="11.25" customHeight="1">
      <c r="A2583" s="3928" t="s">
        <v>2258</v>
      </c>
      <c r="B2583" s="3928" t="s">
        <v>14</v>
      </c>
      <c r="C2583" s="3928" t="s">
        <v>7759</v>
      </c>
      <c r="D2583" s="3928" t="s">
        <v>7760</v>
      </c>
      <c r="E2583" s="3928" t="s">
        <v>7761</v>
      </c>
      <c r="F2583" s="3928" t="s">
        <v>2929</v>
      </c>
      <c r="G2583" s="3928" t="s">
        <v>24</v>
      </c>
      <c r="H2583" s="3928" t="s">
        <v>24</v>
      </c>
      <c r="I2583" s="3928" t="s">
        <v>857</v>
      </c>
    </row>
    <row r="2584" spans="1:9" ht="11.25" customHeight="1">
      <c r="A2584" s="3928" t="s">
        <v>2258</v>
      </c>
      <c r="B2584" s="3928" t="s">
        <v>14</v>
      </c>
      <c r="C2584" s="3928" t="s">
        <v>5707</v>
      </c>
      <c r="D2584" s="3928" t="s">
        <v>5708</v>
      </c>
      <c r="E2584" s="3928" t="s">
        <v>5709</v>
      </c>
      <c r="F2584" s="3928" t="s">
        <v>2349</v>
      </c>
      <c r="G2584" s="3928" t="s">
        <v>24</v>
      </c>
      <c r="H2584" s="3928" t="s">
        <v>24</v>
      </c>
      <c r="I2584" s="3928" t="s">
        <v>857</v>
      </c>
    </row>
    <row r="2585" spans="1:9" ht="11.25" customHeight="1">
      <c r="A2585" s="3928" t="s">
        <v>2258</v>
      </c>
      <c r="B2585" s="3928" t="s">
        <v>14</v>
      </c>
      <c r="C2585" s="3928" t="s">
        <v>7762</v>
      </c>
      <c r="D2585" s="3928" t="s">
        <v>7763</v>
      </c>
      <c r="E2585" s="3928" t="s">
        <v>7764</v>
      </c>
      <c r="F2585" s="3928" t="s">
        <v>2796</v>
      </c>
      <c r="G2585" s="3928" t="s">
        <v>24</v>
      </c>
      <c r="H2585" s="3928" t="s">
        <v>24</v>
      </c>
      <c r="I2585" s="3928" t="s">
        <v>857</v>
      </c>
    </row>
    <row r="2586" spans="1:9" ht="11.25" customHeight="1">
      <c r="A2586" s="3928" t="s">
        <v>2258</v>
      </c>
      <c r="B2586" s="3928" t="s">
        <v>14</v>
      </c>
      <c r="C2586" s="3928" t="s">
        <v>7765</v>
      </c>
      <c r="D2586" s="3928" t="s">
        <v>7766</v>
      </c>
      <c r="E2586" s="3928" t="s">
        <v>7767</v>
      </c>
      <c r="F2586" s="3928" t="s">
        <v>2486</v>
      </c>
      <c r="G2586" s="3928" t="s">
        <v>7768</v>
      </c>
      <c r="H2586" s="3928" t="s">
        <v>24</v>
      </c>
      <c r="I2586" s="3928" t="s">
        <v>857</v>
      </c>
    </row>
    <row r="2587" spans="1:9" ht="11.25" customHeight="1">
      <c r="A2587" s="3928" t="s">
        <v>2258</v>
      </c>
      <c r="B2587" s="3928" t="s">
        <v>14</v>
      </c>
      <c r="C2587" s="3928" t="s">
        <v>5713</v>
      </c>
      <c r="D2587" s="3928" t="s">
        <v>5714</v>
      </c>
      <c r="E2587" s="3928" t="s">
        <v>5715</v>
      </c>
      <c r="F2587" s="3928" t="s">
        <v>3841</v>
      </c>
      <c r="G2587" s="3928" t="s">
        <v>5716</v>
      </c>
      <c r="H2587" s="3928" t="s">
        <v>24</v>
      </c>
      <c r="I2587" s="3928" t="s">
        <v>857</v>
      </c>
    </row>
    <row r="2588" spans="1:9" ht="11.25" customHeight="1">
      <c r="A2588" s="3928" t="s">
        <v>2258</v>
      </c>
      <c r="B2588" s="3928" t="s">
        <v>14</v>
      </c>
      <c r="C2588" s="3928" t="s">
        <v>7769</v>
      </c>
      <c r="D2588" s="3928" t="s">
        <v>5718</v>
      </c>
      <c r="E2588" s="3928" t="s">
        <v>5719</v>
      </c>
      <c r="F2588" s="3928" t="s">
        <v>3370</v>
      </c>
      <c r="G2588" s="3928" t="s">
        <v>24</v>
      </c>
      <c r="H2588" s="3928" t="s">
        <v>2263</v>
      </c>
      <c r="I2588" s="3928" t="s">
        <v>857</v>
      </c>
    </row>
    <row r="2589" spans="1:9" ht="11.25" customHeight="1">
      <c r="A2589" s="3928" t="s">
        <v>2258</v>
      </c>
      <c r="B2589" s="3928" t="s">
        <v>14</v>
      </c>
      <c r="C2589" s="3928" t="s">
        <v>5717</v>
      </c>
      <c r="D2589" s="3928" t="s">
        <v>5718</v>
      </c>
      <c r="E2589" s="3928" t="s">
        <v>5719</v>
      </c>
      <c r="F2589" s="3928" t="s">
        <v>2289</v>
      </c>
      <c r="G2589" s="3928" t="s">
        <v>5720</v>
      </c>
      <c r="H2589" s="3928" t="s">
        <v>24</v>
      </c>
      <c r="I2589" s="3928" t="s">
        <v>857</v>
      </c>
    </row>
    <row r="2590" spans="1:9" ht="11.25" customHeight="1">
      <c r="A2590" s="3928" t="s">
        <v>2258</v>
      </c>
      <c r="B2590" s="3928" t="s">
        <v>14</v>
      </c>
      <c r="C2590" s="3928" t="s">
        <v>7770</v>
      </c>
      <c r="D2590" s="3928" t="s">
        <v>7771</v>
      </c>
      <c r="E2590" s="3928" t="s">
        <v>7772</v>
      </c>
      <c r="F2590" s="3928" t="s">
        <v>2419</v>
      </c>
      <c r="G2590" s="3928" t="s">
        <v>24</v>
      </c>
      <c r="H2590" s="3928" t="s">
        <v>24</v>
      </c>
      <c r="I2590" s="3928" t="s">
        <v>857</v>
      </c>
    </row>
    <row r="2591" spans="1:9" ht="11.25" customHeight="1">
      <c r="A2591" s="3928" t="s">
        <v>2258</v>
      </c>
      <c r="B2591" s="3928" t="s">
        <v>14</v>
      </c>
      <c r="C2591" s="3928" t="s">
        <v>5728</v>
      </c>
      <c r="D2591" s="3928" t="s">
        <v>5729</v>
      </c>
      <c r="E2591" s="3928" t="s">
        <v>5730</v>
      </c>
      <c r="F2591" s="3928" t="s">
        <v>2289</v>
      </c>
      <c r="G2591" s="3928" t="s">
        <v>24</v>
      </c>
      <c r="H2591" s="3928" t="s">
        <v>2263</v>
      </c>
      <c r="I2591" s="3928" t="s">
        <v>857</v>
      </c>
    </row>
    <row r="2592" spans="1:9" ht="11.25" customHeight="1">
      <c r="A2592" s="3928" t="s">
        <v>2258</v>
      </c>
      <c r="B2592" s="3928" t="s">
        <v>14</v>
      </c>
      <c r="C2592" s="3928" t="s">
        <v>5739</v>
      </c>
      <c r="D2592" s="3928" t="s">
        <v>5740</v>
      </c>
      <c r="E2592" s="3928" t="s">
        <v>5741</v>
      </c>
      <c r="F2592" s="3928" t="s">
        <v>2397</v>
      </c>
      <c r="G2592" s="3928" t="s">
        <v>5742</v>
      </c>
      <c r="H2592" s="3928" t="s">
        <v>24</v>
      </c>
      <c r="I2592" s="3928" t="s">
        <v>857</v>
      </c>
    </row>
    <row r="2593" spans="1:9" ht="11.25" customHeight="1">
      <c r="A2593" s="3928" t="s">
        <v>2258</v>
      </c>
      <c r="B2593" s="3928" t="s">
        <v>14</v>
      </c>
      <c r="C2593" s="3928" t="s">
        <v>7773</v>
      </c>
      <c r="D2593" s="3928" t="s">
        <v>7774</v>
      </c>
      <c r="E2593" s="3928" t="s">
        <v>7775</v>
      </c>
      <c r="F2593" s="3928" t="s">
        <v>2414</v>
      </c>
      <c r="G2593" s="3928" t="s">
        <v>7776</v>
      </c>
      <c r="H2593" s="3928" t="s">
        <v>24</v>
      </c>
      <c r="I2593" s="3928" t="s">
        <v>857</v>
      </c>
    </row>
    <row r="2594" spans="1:9" ht="11.25" customHeight="1">
      <c r="A2594" s="3928" t="s">
        <v>2258</v>
      </c>
      <c r="B2594" s="3928" t="s">
        <v>14</v>
      </c>
      <c r="C2594" s="3928" t="s">
        <v>5746</v>
      </c>
      <c r="D2594" s="3928" t="s">
        <v>5747</v>
      </c>
      <c r="E2594" s="3928" t="s">
        <v>5748</v>
      </c>
      <c r="F2594" s="3928" t="s">
        <v>2701</v>
      </c>
      <c r="G2594" s="3928" t="s">
        <v>3735</v>
      </c>
      <c r="H2594" s="3928" t="s">
        <v>2263</v>
      </c>
      <c r="I2594" s="3928" t="s">
        <v>857</v>
      </c>
    </row>
    <row r="2595" spans="1:9" ht="11.25" customHeight="1">
      <c r="A2595" s="3928" t="s">
        <v>2258</v>
      </c>
      <c r="B2595" s="3928" t="s">
        <v>14</v>
      </c>
      <c r="C2595" s="3928" t="s">
        <v>5753</v>
      </c>
      <c r="D2595" s="3928" t="s">
        <v>5754</v>
      </c>
      <c r="E2595" s="3928" t="s">
        <v>5755</v>
      </c>
      <c r="F2595" s="3928" t="s">
        <v>2267</v>
      </c>
      <c r="G2595" s="3928" t="s">
        <v>24</v>
      </c>
      <c r="H2595" s="3928" t="s">
        <v>2263</v>
      </c>
      <c r="I2595" s="3928" t="s">
        <v>857</v>
      </c>
    </row>
    <row r="2596" spans="1:9" ht="11.25" customHeight="1">
      <c r="A2596" s="3928" t="s">
        <v>2258</v>
      </c>
      <c r="B2596" s="3928" t="s">
        <v>14</v>
      </c>
      <c r="C2596" s="3928" t="s">
        <v>5756</v>
      </c>
      <c r="D2596" s="3928" t="s">
        <v>5757</v>
      </c>
      <c r="E2596" s="3928" t="s">
        <v>5758</v>
      </c>
      <c r="F2596" s="3928" t="s">
        <v>2419</v>
      </c>
      <c r="G2596" s="3928" t="s">
        <v>24</v>
      </c>
      <c r="H2596" s="3928" t="s">
        <v>24</v>
      </c>
      <c r="I2596" s="3928" t="s">
        <v>857</v>
      </c>
    </row>
    <row r="2597" spans="1:9" ht="11.25" customHeight="1">
      <c r="A2597" s="3928" t="s">
        <v>2258</v>
      </c>
      <c r="B2597" s="3928" t="s">
        <v>14</v>
      </c>
      <c r="C2597" s="3928" t="s">
        <v>5759</v>
      </c>
      <c r="D2597" s="3928" t="s">
        <v>5760</v>
      </c>
      <c r="E2597" s="3928" t="s">
        <v>5761</v>
      </c>
      <c r="F2597" s="3928" t="s">
        <v>2469</v>
      </c>
      <c r="G2597" s="3928" t="s">
        <v>5762</v>
      </c>
      <c r="H2597" s="3928" t="s">
        <v>24</v>
      </c>
      <c r="I2597" s="3928" t="s">
        <v>857</v>
      </c>
    </row>
    <row r="2598" spans="1:9" ht="11.25" customHeight="1">
      <c r="A2598" s="3928" t="s">
        <v>2258</v>
      </c>
      <c r="B2598" s="3928" t="s">
        <v>14</v>
      </c>
      <c r="C2598" s="3928" t="s">
        <v>5763</v>
      </c>
      <c r="D2598" s="3928" t="s">
        <v>5764</v>
      </c>
      <c r="E2598" s="3928" t="s">
        <v>5765</v>
      </c>
      <c r="F2598" s="3928" t="s">
        <v>2419</v>
      </c>
      <c r="G2598" s="3928" t="s">
        <v>5766</v>
      </c>
      <c r="H2598" s="3928" t="s">
        <v>24</v>
      </c>
      <c r="I2598" s="3928" t="s">
        <v>857</v>
      </c>
    </row>
    <row r="2599" spans="1:9" ht="11.25" customHeight="1">
      <c r="A2599" s="3928" t="s">
        <v>2258</v>
      </c>
      <c r="B2599" s="3928" t="s">
        <v>14</v>
      </c>
      <c r="C2599" s="3928" t="s">
        <v>5769</v>
      </c>
      <c r="D2599" s="3928" t="s">
        <v>5770</v>
      </c>
      <c r="E2599" s="3928" t="s">
        <v>5771</v>
      </c>
      <c r="F2599" s="3928" t="s">
        <v>5772</v>
      </c>
      <c r="G2599" s="3928" t="s">
        <v>5773</v>
      </c>
      <c r="H2599" s="3928" t="s">
        <v>24</v>
      </c>
      <c r="I2599" s="3928" t="s">
        <v>857</v>
      </c>
    </row>
    <row r="2600" spans="1:9" ht="11.25" customHeight="1">
      <c r="A2600" s="3928" t="s">
        <v>2258</v>
      </c>
      <c r="B2600" s="3928" t="s">
        <v>14</v>
      </c>
      <c r="C2600" s="3928" t="s">
        <v>5778</v>
      </c>
      <c r="D2600" s="3928" t="s">
        <v>5779</v>
      </c>
      <c r="E2600" s="3928" t="s">
        <v>5776</v>
      </c>
      <c r="F2600" s="3928" t="s">
        <v>5780</v>
      </c>
      <c r="G2600" s="3928" t="s">
        <v>24</v>
      </c>
      <c r="H2600" s="3928" t="s">
        <v>24</v>
      </c>
      <c r="I2600" s="3928" t="s">
        <v>857</v>
      </c>
    </row>
    <row r="2601" spans="1:9" ht="11.25" customHeight="1">
      <c r="A2601" s="3928" t="s">
        <v>2258</v>
      </c>
      <c r="B2601" s="3928" t="s">
        <v>14</v>
      </c>
      <c r="C2601" s="3928" t="s">
        <v>5781</v>
      </c>
      <c r="D2601" s="3928" t="s">
        <v>5782</v>
      </c>
      <c r="E2601" s="3928" t="s">
        <v>5776</v>
      </c>
      <c r="F2601" s="3928" t="s">
        <v>5783</v>
      </c>
      <c r="G2601" s="3928" t="s">
        <v>24</v>
      </c>
      <c r="H2601" s="3928" t="s">
        <v>24</v>
      </c>
      <c r="I2601" s="3928" t="s">
        <v>857</v>
      </c>
    </row>
    <row r="2602" spans="1:9" ht="11.25" customHeight="1">
      <c r="A2602" s="3928" t="s">
        <v>2258</v>
      </c>
      <c r="B2602" s="3928" t="s">
        <v>14</v>
      </c>
      <c r="C2602" s="3928" t="s">
        <v>5786</v>
      </c>
      <c r="D2602" s="3928" t="s">
        <v>5787</v>
      </c>
      <c r="E2602" s="3928" t="s">
        <v>5788</v>
      </c>
      <c r="F2602" s="3928" t="s">
        <v>2479</v>
      </c>
      <c r="G2602" s="3928" t="s">
        <v>24</v>
      </c>
      <c r="H2602" s="3928" t="s">
        <v>24</v>
      </c>
      <c r="I2602" s="3928" t="s">
        <v>857</v>
      </c>
    </row>
    <row r="2603" spans="1:9" ht="11.25" customHeight="1">
      <c r="A2603" s="3928" t="s">
        <v>2258</v>
      </c>
      <c r="B2603" s="3928" t="s">
        <v>14</v>
      </c>
      <c r="C2603" s="3928" t="s">
        <v>5789</v>
      </c>
      <c r="D2603" s="3928" t="s">
        <v>5790</v>
      </c>
      <c r="E2603" s="3928" t="s">
        <v>5791</v>
      </c>
      <c r="F2603" s="3928" t="s">
        <v>4792</v>
      </c>
      <c r="G2603" s="3928" t="s">
        <v>5792</v>
      </c>
      <c r="H2603" s="3928" t="s">
        <v>24</v>
      </c>
      <c r="I2603" s="3928" t="s">
        <v>857</v>
      </c>
    </row>
    <row r="2604" spans="1:9" ht="11.25" customHeight="1">
      <c r="A2604" s="3928" t="s">
        <v>2258</v>
      </c>
      <c r="B2604" s="3928" t="s">
        <v>14</v>
      </c>
      <c r="C2604" s="3928" t="s">
        <v>5805</v>
      </c>
      <c r="D2604" s="3928" t="s">
        <v>5806</v>
      </c>
      <c r="E2604" s="3928" t="s">
        <v>2809</v>
      </c>
      <c r="F2604" s="3928" t="s">
        <v>5796</v>
      </c>
      <c r="G2604" s="3928" t="s">
        <v>24</v>
      </c>
      <c r="H2604" s="3928" t="s">
        <v>24</v>
      </c>
      <c r="I2604" s="3928" t="s">
        <v>857</v>
      </c>
    </row>
    <row r="2605" spans="1:9" ht="11.25" customHeight="1">
      <c r="A2605" s="3928" t="s">
        <v>2258</v>
      </c>
      <c r="B2605" s="3928" t="s">
        <v>14</v>
      </c>
      <c r="C2605" s="3928" t="s">
        <v>5811</v>
      </c>
      <c r="D2605" s="3928" t="s">
        <v>5812</v>
      </c>
      <c r="E2605" s="3928" t="s">
        <v>5813</v>
      </c>
      <c r="F2605" s="3928" t="s">
        <v>5814</v>
      </c>
      <c r="G2605" s="3928" t="s">
        <v>5815</v>
      </c>
      <c r="H2605" s="3928" t="s">
        <v>24</v>
      </c>
      <c r="I2605" s="3928" t="s">
        <v>857</v>
      </c>
    </row>
    <row r="2606" spans="1:9" ht="11.25" customHeight="1">
      <c r="A2606" s="3928" t="s">
        <v>2258</v>
      </c>
      <c r="B2606" s="3928" t="s">
        <v>14</v>
      </c>
      <c r="C2606" s="3928" t="s">
        <v>5816</v>
      </c>
      <c r="D2606" s="3928" t="s">
        <v>5817</v>
      </c>
      <c r="E2606" s="3928" t="s">
        <v>5818</v>
      </c>
      <c r="F2606" s="3928" t="s">
        <v>5819</v>
      </c>
      <c r="G2606" s="3928" t="s">
        <v>5820</v>
      </c>
      <c r="H2606" s="3928" t="s">
        <v>24</v>
      </c>
      <c r="I2606" s="3928" t="s">
        <v>857</v>
      </c>
    </row>
    <row r="2607" spans="1:9" ht="11.25" customHeight="1">
      <c r="A2607" s="3928" t="s">
        <v>2258</v>
      </c>
      <c r="B2607" s="3928" t="s">
        <v>14</v>
      </c>
      <c r="C2607" s="3928" t="s">
        <v>5830</v>
      </c>
      <c r="D2607" s="3928" t="s">
        <v>5831</v>
      </c>
      <c r="E2607" s="3928" t="s">
        <v>5832</v>
      </c>
      <c r="F2607" s="3928" t="s">
        <v>2567</v>
      </c>
      <c r="G2607" s="3928" t="s">
        <v>5833</v>
      </c>
      <c r="H2607" s="3928" t="s">
        <v>24</v>
      </c>
      <c r="I2607" s="3928" t="s">
        <v>857</v>
      </c>
    </row>
    <row r="2608" spans="1:9" ht="11.25" customHeight="1">
      <c r="A2608" s="3928" t="s">
        <v>2258</v>
      </c>
      <c r="B2608" s="3928" t="s">
        <v>14</v>
      </c>
      <c r="C2608" s="3928" t="s">
        <v>5834</v>
      </c>
      <c r="D2608" s="3928" t="s">
        <v>5835</v>
      </c>
      <c r="E2608" s="3928" t="s">
        <v>4020</v>
      </c>
      <c r="F2608" s="3928" t="s">
        <v>2513</v>
      </c>
      <c r="G2608" s="3928" t="s">
        <v>24</v>
      </c>
      <c r="H2608" s="3928" t="s">
        <v>24</v>
      </c>
      <c r="I2608" s="3928" t="s">
        <v>857</v>
      </c>
    </row>
    <row r="2609" spans="1:9" ht="11.25" customHeight="1">
      <c r="A2609" s="3928" t="s">
        <v>2258</v>
      </c>
      <c r="B2609" s="3928" t="s">
        <v>14</v>
      </c>
      <c r="C2609" s="3928" t="s">
        <v>5839</v>
      </c>
      <c r="D2609" s="3928" t="s">
        <v>5840</v>
      </c>
      <c r="E2609" s="3928" t="s">
        <v>5841</v>
      </c>
      <c r="F2609" s="3928" t="s">
        <v>5842</v>
      </c>
      <c r="G2609" s="3928" t="s">
        <v>24</v>
      </c>
      <c r="H2609" s="3928" t="s">
        <v>2263</v>
      </c>
      <c r="I2609" s="3928" t="s">
        <v>857</v>
      </c>
    </row>
    <row r="2610" spans="1:9" ht="11.25" customHeight="1">
      <c r="A2610" s="3928" t="s">
        <v>2258</v>
      </c>
      <c r="B2610" s="3928" t="s">
        <v>14</v>
      </c>
      <c r="C2610" s="3928" t="s">
        <v>5849</v>
      </c>
      <c r="D2610" s="3928" t="s">
        <v>5850</v>
      </c>
      <c r="E2610" s="3928" t="s">
        <v>5851</v>
      </c>
      <c r="F2610" s="3928" t="s">
        <v>2486</v>
      </c>
      <c r="G2610" s="3928" t="s">
        <v>5852</v>
      </c>
      <c r="H2610" s="3928" t="s">
        <v>24</v>
      </c>
      <c r="I2610" s="3928" t="s">
        <v>857</v>
      </c>
    </row>
    <row r="2611" spans="1:9" ht="11.25" customHeight="1">
      <c r="A2611" s="3928" t="s">
        <v>2258</v>
      </c>
      <c r="B2611" s="3928" t="s">
        <v>14</v>
      </c>
      <c r="C2611" s="3928" t="s">
        <v>5853</v>
      </c>
      <c r="D2611" s="3928" t="s">
        <v>5854</v>
      </c>
      <c r="E2611" s="3928" t="s">
        <v>2270</v>
      </c>
      <c r="F2611" s="3928" t="s">
        <v>5855</v>
      </c>
      <c r="G2611" s="3928" t="s">
        <v>5856</v>
      </c>
      <c r="H2611" s="3928" t="s">
        <v>2475</v>
      </c>
      <c r="I2611" s="3928" t="s">
        <v>857</v>
      </c>
    </row>
    <row r="2612" spans="1:9" ht="11.25" customHeight="1">
      <c r="A2612" s="3928" t="s">
        <v>2258</v>
      </c>
      <c r="B2612" s="3928" t="s">
        <v>14</v>
      </c>
      <c r="C2612" s="3928" t="s">
        <v>5864</v>
      </c>
      <c r="D2612" s="3928" t="s">
        <v>5865</v>
      </c>
      <c r="E2612" s="3928" t="s">
        <v>5866</v>
      </c>
      <c r="F2612" s="3928" t="s">
        <v>5867</v>
      </c>
      <c r="G2612" s="3928" t="s">
        <v>24</v>
      </c>
      <c r="H2612" s="3928" t="s">
        <v>2781</v>
      </c>
      <c r="I2612" s="3928" t="s">
        <v>857</v>
      </c>
    </row>
    <row r="2613" spans="1:9" ht="11.25" customHeight="1">
      <c r="A2613" s="3928" t="s">
        <v>2258</v>
      </c>
      <c r="B2613" s="3928" t="s">
        <v>14</v>
      </c>
      <c r="C2613" s="3928" t="s">
        <v>7777</v>
      </c>
      <c r="D2613" s="3928" t="s">
        <v>7778</v>
      </c>
      <c r="E2613" s="3928" t="s">
        <v>3000</v>
      </c>
      <c r="F2613" s="3928" t="s">
        <v>7779</v>
      </c>
      <c r="G2613" s="3928" t="s">
        <v>24</v>
      </c>
      <c r="H2613" s="3928" t="s">
        <v>7780</v>
      </c>
      <c r="I2613" s="3928" t="s">
        <v>857</v>
      </c>
    </row>
    <row r="2614" spans="1:9" ht="11.25" customHeight="1">
      <c r="A2614" s="3928" t="s">
        <v>2258</v>
      </c>
      <c r="B2614" s="3928" t="s">
        <v>14</v>
      </c>
      <c r="C2614" s="3928" t="s">
        <v>5872</v>
      </c>
      <c r="D2614" s="3928" t="s">
        <v>5873</v>
      </c>
      <c r="E2614" s="3928" t="s">
        <v>5874</v>
      </c>
      <c r="F2614" s="3928" t="s">
        <v>2796</v>
      </c>
      <c r="G2614" s="3928" t="s">
        <v>24</v>
      </c>
      <c r="H2614" s="3928" t="s">
        <v>2263</v>
      </c>
      <c r="I2614" s="3928" t="s">
        <v>857</v>
      </c>
    </row>
    <row r="2615" spans="1:9" ht="11.25" customHeight="1">
      <c r="A2615" s="3928" t="s">
        <v>2258</v>
      </c>
      <c r="B2615" s="3928" t="s">
        <v>14</v>
      </c>
      <c r="C2615" s="3928" t="s">
        <v>7781</v>
      </c>
      <c r="D2615" s="3928" t="s">
        <v>7782</v>
      </c>
      <c r="E2615" s="3928" t="s">
        <v>7783</v>
      </c>
      <c r="F2615" s="3928" t="s">
        <v>3532</v>
      </c>
      <c r="G2615" s="3928" t="s">
        <v>7784</v>
      </c>
      <c r="H2615" s="3928" t="s">
        <v>24</v>
      </c>
      <c r="I2615" s="3928" t="s">
        <v>857</v>
      </c>
    </row>
    <row r="2616" spans="1:9" ht="11.25" customHeight="1">
      <c r="A2616" s="3928" t="s">
        <v>2258</v>
      </c>
      <c r="B2616" s="3928" t="s">
        <v>14</v>
      </c>
      <c r="C2616" s="3928" t="s">
        <v>7785</v>
      </c>
      <c r="D2616" s="3928" t="s">
        <v>7786</v>
      </c>
      <c r="E2616" s="3928" t="s">
        <v>7787</v>
      </c>
      <c r="F2616" s="3928" t="s">
        <v>2965</v>
      </c>
      <c r="G2616" s="3928" t="s">
        <v>24</v>
      </c>
      <c r="H2616" s="3928" t="s">
        <v>24</v>
      </c>
      <c r="I2616" s="3928" t="s">
        <v>857</v>
      </c>
    </row>
    <row r="2617" spans="1:9" ht="11.25" customHeight="1">
      <c r="A2617" s="3928" t="s">
        <v>2258</v>
      </c>
      <c r="B2617" s="3928" t="s">
        <v>14</v>
      </c>
      <c r="C2617" s="3928" t="s">
        <v>7788</v>
      </c>
      <c r="D2617" s="3928" t="s">
        <v>7789</v>
      </c>
      <c r="E2617" s="3928" t="s">
        <v>7790</v>
      </c>
      <c r="F2617" s="3928" t="s">
        <v>4839</v>
      </c>
      <c r="G2617" s="3928" t="s">
        <v>24</v>
      </c>
      <c r="H2617" s="3928" t="s">
        <v>7791</v>
      </c>
      <c r="I2617" s="3928" t="s">
        <v>857</v>
      </c>
    </row>
    <row r="2618" spans="1:9" ht="11.25" customHeight="1">
      <c r="A2618" s="3928" t="s">
        <v>2258</v>
      </c>
      <c r="B2618" s="3928" t="s">
        <v>14</v>
      </c>
      <c r="C2618" s="3928" t="s">
        <v>5923</v>
      </c>
      <c r="D2618" s="3928" t="s">
        <v>5924</v>
      </c>
      <c r="E2618" s="3928" t="s">
        <v>5925</v>
      </c>
      <c r="F2618" s="3928" t="s">
        <v>2796</v>
      </c>
      <c r="G2618" s="3928" t="s">
        <v>24</v>
      </c>
      <c r="H2618" s="3928" t="s">
        <v>5926</v>
      </c>
      <c r="I2618" s="3928" t="s">
        <v>857</v>
      </c>
    </row>
    <row r="2619" spans="1:9" ht="11.25" customHeight="1">
      <c r="A2619" s="3928" t="s">
        <v>2258</v>
      </c>
      <c r="B2619" s="3928" t="s">
        <v>14</v>
      </c>
      <c r="C2619" s="3928" t="s">
        <v>6464</v>
      </c>
      <c r="D2619" s="3928" t="s">
        <v>6465</v>
      </c>
      <c r="E2619" s="3928" t="s">
        <v>6466</v>
      </c>
      <c r="F2619" s="3928" t="s">
        <v>2304</v>
      </c>
      <c r="G2619" s="3928" t="s">
        <v>24</v>
      </c>
      <c r="H2619" s="3928" t="s">
        <v>2263</v>
      </c>
      <c r="I2619" s="3928" t="s">
        <v>857</v>
      </c>
    </row>
    <row r="2620" spans="1:9" ht="11.25" customHeight="1">
      <c r="A2620" s="3928" t="s">
        <v>2258</v>
      </c>
      <c r="B2620" s="3928" t="s">
        <v>14</v>
      </c>
      <c r="C2620" s="3928" t="s">
        <v>7792</v>
      </c>
      <c r="D2620" s="3928" t="s">
        <v>7793</v>
      </c>
      <c r="E2620" s="3928" t="s">
        <v>7794</v>
      </c>
      <c r="F2620" s="3928" t="s">
        <v>2486</v>
      </c>
      <c r="G2620" s="3928" t="s">
        <v>24</v>
      </c>
      <c r="H2620" s="3928" t="s">
        <v>7795</v>
      </c>
      <c r="I2620" s="3928" t="s">
        <v>857</v>
      </c>
    </row>
    <row r="2621" spans="1:9" ht="11.25" customHeight="1">
      <c r="A2621" s="3928" t="s">
        <v>2258</v>
      </c>
      <c r="B2621" s="3928" t="s">
        <v>14</v>
      </c>
      <c r="C2621" s="3928" t="s">
        <v>7796</v>
      </c>
      <c r="D2621" s="3928" t="s">
        <v>7797</v>
      </c>
      <c r="E2621" s="3928" t="s">
        <v>7798</v>
      </c>
      <c r="F2621" s="3928" t="s">
        <v>5657</v>
      </c>
      <c r="G2621" s="3928" t="s">
        <v>7799</v>
      </c>
      <c r="H2621" s="3928" t="s">
        <v>24</v>
      </c>
      <c r="I2621" s="3928" t="s">
        <v>857</v>
      </c>
    </row>
    <row r="2622" spans="1:9" ht="11.25" customHeight="1">
      <c r="A2622" s="3928" t="s">
        <v>2258</v>
      </c>
      <c r="B2622" s="3928" t="s">
        <v>14</v>
      </c>
      <c r="C2622" s="3928" t="s">
        <v>7800</v>
      </c>
      <c r="D2622" s="3928" t="s">
        <v>7801</v>
      </c>
      <c r="E2622" s="3928" t="s">
        <v>7802</v>
      </c>
      <c r="F2622" s="3928" t="s">
        <v>2638</v>
      </c>
      <c r="G2622" s="3928" t="s">
        <v>7803</v>
      </c>
      <c r="H2622" s="3928" t="s">
        <v>24</v>
      </c>
      <c r="I2622" s="3928" t="s">
        <v>857</v>
      </c>
    </row>
    <row r="2623" spans="1:9" ht="11.25" customHeight="1">
      <c r="A2623" s="3928" t="s">
        <v>2258</v>
      </c>
      <c r="B2623" s="3928" t="s">
        <v>14</v>
      </c>
      <c r="C2623" s="3928" t="s">
        <v>5941</v>
      </c>
      <c r="D2623" s="3928" t="s">
        <v>5942</v>
      </c>
      <c r="E2623" s="3928" t="s">
        <v>5943</v>
      </c>
      <c r="F2623" s="3928" t="s">
        <v>5944</v>
      </c>
      <c r="G2623" s="3928" t="s">
        <v>5945</v>
      </c>
      <c r="H2623" s="3928" t="s">
        <v>24</v>
      </c>
      <c r="I2623" s="3928" t="s">
        <v>857</v>
      </c>
    </row>
    <row r="2624" spans="1:9" ht="11.25" customHeight="1">
      <c r="A2624" s="3928" t="s">
        <v>2258</v>
      </c>
      <c r="B2624" s="3928" t="s">
        <v>14</v>
      </c>
      <c r="C2624" s="3928" t="s">
        <v>5946</v>
      </c>
      <c r="D2624" s="3928" t="s">
        <v>5947</v>
      </c>
      <c r="E2624" s="3928" t="s">
        <v>5948</v>
      </c>
      <c r="F2624" s="3928" t="s">
        <v>2469</v>
      </c>
      <c r="G2624" s="3928" t="s">
        <v>24</v>
      </c>
      <c r="H2624" s="3928" t="s">
        <v>5949</v>
      </c>
      <c r="I2624" s="3928" t="s">
        <v>857</v>
      </c>
    </row>
    <row r="2625" spans="1:9" ht="11.25" customHeight="1">
      <c r="A2625" s="3928" t="s">
        <v>2258</v>
      </c>
      <c r="B2625" s="3928" t="s">
        <v>14</v>
      </c>
      <c r="C2625" s="3928" t="s">
        <v>5950</v>
      </c>
      <c r="D2625" s="3928" t="s">
        <v>5951</v>
      </c>
      <c r="E2625" s="3928" t="s">
        <v>5952</v>
      </c>
      <c r="F2625" s="3928" t="s">
        <v>2289</v>
      </c>
      <c r="G2625" s="3928" t="s">
        <v>5953</v>
      </c>
      <c r="H2625" s="3928" t="s">
        <v>24</v>
      </c>
      <c r="I2625" s="3928" t="s">
        <v>857</v>
      </c>
    </row>
    <row r="2626" spans="1:9" ht="11.25" customHeight="1">
      <c r="A2626" s="3928" t="s">
        <v>2258</v>
      </c>
      <c r="B2626" s="3928" t="s">
        <v>14</v>
      </c>
      <c r="C2626" s="3928" t="s">
        <v>5954</v>
      </c>
      <c r="D2626" s="3928" t="s">
        <v>5955</v>
      </c>
      <c r="E2626" s="3928" t="s">
        <v>5956</v>
      </c>
      <c r="F2626" s="3928" t="s">
        <v>2344</v>
      </c>
      <c r="G2626" s="3928" t="s">
        <v>24</v>
      </c>
      <c r="H2626" s="3928" t="s">
        <v>5957</v>
      </c>
      <c r="I2626" s="3928" t="s">
        <v>857</v>
      </c>
    </row>
    <row r="2627" spans="1:9" ht="11.25" customHeight="1">
      <c r="A2627" s="3928" t="s">
        <v>2258</v>
      </c>
      <c r="B2627" s="3928" t="s">
        <v>14</v>
      </c>
      <c r="C2627" s="3928" t="s">
        <v>7804</v>
      </c>
      <c r="D2627" s="3928" t="s">
        <v>7805</v>
      </c>
      <c r="E2627" s="3928" t="s">
        <v>7806</v>
      </c>
      <c r="F2627" s="3928" t="s">
        <v>2469</v>
      </c>
      <c r="G2627" s="3928" t="s">
        <v>24</v>
      </c>
      <c r="H2627" s="3928" t="s">
        <v>24</v>
      </c>
      <c r="I2627" s="3928" t="s">
        <v>857</v>
      </c>
    </row>
    <row r="2628" spans="1:9" ht="11.25" customHeight="1">
      <c r="A2628" s="3928" t="s">
        <v>2258</v>
      </c>
      <c r="B2628" s="3928" t="s">
        <v>14</v>
      </c>
      <c r="C2628" s="3928" t="s">
        <v>5968</v>
      </c>
      <c r="D2628" s="3928" t="s">
        <v>5969</v>
      </c>
      <c r="E2628" s="3928" t="s">
        <v>5970</v>
      </c>
      <c r="F2628" s="3928" t="s">
        <v>2414</v>
      </c>
      <c r="G2628" s="3928" t="s">
        <v>24</v>
      </c>
      <c r="H2628" s="3928" t="s">
        <v>24</v>
      </c>
      <c r="I2628" s="3928" t="s">
        <v>857</v>
      </c>
    </row>
    <row r="2629" spans="1:9" ht="11.25" customHeight="1">
      <c r="A2629" s="3928" t="s">
        <v>2258</v>
      </c>
      <c r="B2629" s="3928" t="s">
        <v>14</v>
      </c>
      <c r="C2629" s="3928" t="s">
        <v>7807</v>
      </c>
      <c r="D2629" s="3928" t="s">
        <v>7808</v>
      </c>
      <c r="E2629" s="3928" t="s">
        <v>7809</v>
      </c>
      <c r="F2629" s="3928" t="s">
        <v>2670</v>
      </c>
      <c r="G2629" s="3928" t="s">
        <v>7810</v>
      </c>
      <c r="H2629" s="3928" t="s">
        <v>24</v>
      </c>
      <c r="I2629" s="3928" t="s">
        <v>857</v>
      </c>
    </row>
    <row r="2630" spans="1:9" ht="11.25" customHeight="1">
      <c r="A2630" s="3928" t="s">
        <v>2258</v>
      </c>
      <c r="B2630" s="3928" t="s">
        <v>14</v>
      </c>
      <c r="C2630" s="3928" t="s">
        <v>7811</v>
      </c>
      <c r="D2630" s="3928" t="s">
        <v>7812</v>
      </c>
      <c r="E2630" s="3928" t="s">
        <v>7813</v>
      </c>
      <c r="F2630" s="3928" t="s">
        <v>3039</v>
      </c>
      <c r="G2630" s="3928" t="s">
        <v>24</v>
      </c>
      <c r="H2630" s="3928" t="s">
        <v>24</v>
      </c>
      <c r="I2630" s="3928" t="s">
        <v>857</v>
      </c>
    </row>
    <row r="2631" spans="1:9" ht="11.25" customHeight="1">
      <c r="A2631" s="3928" t="s">
        <v>2258</v>
      </c>
      <c r="B2631" s="3928" t="s">
        <v>14</v>
      </c>
      <c r="C2631" s="3928" t="s">
        <v>5980</v>
      </c>
      <c r="D2631" s="3928" t="s">
        <v>5981</v>
      </c>
      <c r="E2631" s="3928" t="s">
        <v>5982</v>
      </c>
      <c r="F2631" s="3928" t="s">
        <v>2419</v>
      </c>
      <c r="G2631" s="3928" t="s">
        <v>24</v>
      </c>
      <c r="H2631" s="3928" t="s">
        <v>24</v>
      </c>
      <c r="I2631" s="3928" t="s">
        <v>857</v>
      </c>
    </row>
    <row r="2632" spans="1:9" ht="11.25" customHeight="1">
      <c r="A2632" s="3928" t="s">
        <v>2258</v>
      </c>
      <c r="B2632" s="3928" t="s">
        <v>14</v>
      </c>
      <c r="C2632" s="3928" t="s">
        <v>5983</v>
      </c>
      <c r="D2632" s="3928" t="s">
        <v>5984</v>
      </c>
      <c r="E2632" s="3928" t="s">
        <v>5985</v>
      </c>
      <c r="F2632" s="3928" t="s">
        <v>2397</v>
      </c>
      <c r="G2632" s="3928" t="s">
        <v>24</v>
      </c>
      <c r="H2632" s="3928" t="s">
        <v>24</v>
      </c>
      <c r="I2632" s="3928" t="s">
        <v>857</v>
      </c>
    </row>
    <row r="2633" spans="1:9" ht="11.25" customHeight="1">
      <c r="A2633" s="3928" t="s">
        <v>2258</v>
      </c>
      <c r="B2633" s="3928" t="s">
        <v>14</v>
      </c>
      <c r="C2633" s="3928" t="s">
        <v>5986</v>
      </c>
      <c r="D2633" s="3928" t="s">
        <v>5987</v>
      </c>
      <c r="E2633" s="3928" t="s">
        <v>5988</v>
      </c>
      <c r="F2633" s="3928" t="s">
        <v>5989</v>
      </c>
      <c r="G2633" s="3928" t="s">
        <v>24</v>
      </c>
      <c r="H2633" s="3928" t="s">
        <v>24</v>
      </c>
      <c r="I2633" s="3928" t="s">
        <v>857</v>
      </c>
    </row>
    <row r="2634" spans="1:9" ht="11.25" customHeight="1">
      <c r="A2634" s="3928" t="s">
        <v>2258</v>
      </c>
      <c r="B2634" s="3928" t="s">
        <v>14</v>
      </c>
      <c r="C2634" s="3928" t="s">
        <v>5990</v>
      </c>
      <c r="D2634" s="3928" t="s">
        <v>5987</v>
      </c>
      <c r="E2634" s="3928" t="s">
        <v>5988</v>
      </c>
      <c r="F2634" s="3928" t="s">
        <v>2389</v>
      </c>
      <c r="G2634" s="3928" t="s">
        <v>24</v>
      </c>
      <c r="H2634" s="3928" t="s">
        <v>24</v>
      </c>
      <c r="I2634" s="3928" t="s">
        <v>857</v>
      </c>
    </row>
    <row r="2635" spans="1:9" ht="11.25" customHeight="1">
      <c r="A2635" s="3928" t="s">
        <v>2258</v>
      </c>
      <c r="B2635" s="3928" t="s">
        <v>14</v>
      </c>
      <c r="C2635" s="3928" t="s">
        <v>5991</v>
      </c>
      <c r="D2635" s="3928" t="s">
        <v>5992</v>
      </c>
      <c r="E2635" s="3928" t="s">
        <v>5993</v>
      </c>
      <c r="F2635" s="3928" t="s">
        <v>2393</v>
      </c>
      <c r="G2635" s="3928" t="s">
        <v>5994</v>
      </c>
      <c r="H2635" s="3928" t="s">
        <v>24</v>
      </c>
      <c r="I2635" s="3928" t="s">
        <v>857</v>
      </c>
    </row>
    <row r="2636" spans="1:9" ht="11.25" customHeight="1">
      <c r="A2636" s="3928" t="s">
        <v>2258</v>
      </c>
      <c r="B2636" s="3928" t="s">
        <v>14</v>
      </c>
      <c r="C2636" s="3928" t="s">
        <v>5995</v>
      </c>
      <c r="D2636" s="3928" t="s">
        <v>5996</v>
      </c>
      <c r="E2636" s="3928" t="s">
        <v>5997</v>
      </c>
      <c r="F2636" s="3928" t="s">
        <v>2409</v>
      </c>
      <c r="G2636" s="3928" t="s">
        <v>24</v>
      </c>
      <c r="H2636" s="3928" t="s">
        <v>24</v>
      </c>
      <c r="I2636" s="3928" t="s">
        <v>857</v>
      </c>
    </row>
    <row r="2637" spans="1:9" ht="11.25" customHeight="1">
      <c r="A2637" s="3928" t="s">
        <v>2258</v>
      </c>
      <c r="B2637" s="3928" t="s">
        <v>14</v>
      </c>
      <c r="C2637" s="3928" t="s">
        <v>5998</v>
      </c>
      <c r="D2637" s="3928" t="s">
        <v>5999</v>
      </c>
      <c r="E2637" s="3928" t="s">
        <v>6000</v>
      </c>
      <c r="F2637" s="3928" t="s">
        <v>2419</v>
      </c>
      <c r="G2637" s="3928" t="s">
        <v>6001</v>
      </c>
      <c r="H2637" s="3928" t="s">
        <v>24</v>
      </c>
      <c r="I2637" s="3928" t="s">
        <v>857</v>
      </c>
    </row>
    <row r="2638" spans="1:9" ht="11.25" customHeight="1">
      <c r="A2638" s="3928" t="s">
        <v>2258</v>
      </c>
      <c r="B2638" s="3928" t="s">
        <v>14</v>
      </c>
      <c r="C2638" s="3928" t="s">
        <v>6002</v>
      </c>
      <c r="D2638" s="3928" t="s">
        <v>6003</v>
      </c>
      <c r="E2638" s="3928" t="s">
        <v>6004</v>
      </c>
      <c r="F2638" s="3928" t="s">
        <v>2262</v>
      </c>
      <c r="G2638" s="3928" t="s">
        <v>6005</v>
      </c>
      <c r="H2638" s="3928" t="s">
        <v>24</v>
      </c>
      <c r="I2638" s="3928" t="s">
        <v>857</v>
      </c>
    </row>
    <row r="2639" spans="1:9" ht="11.25" customHeight="1">
      <c r="A2639" s="3928" t="s">
        <v>2258</v>
      </c>
      <c r="B2639" s="3928" t="s">
        <v>14</v>
      </c>
      <c r="C2639" s="3928" t="s">
        <v>6006</v>
      </c>
      <c r="D2639" s="3928" t="s">
        <v>6007</v>
      </c>
      <c r="E2639" s="3928" t="s">
        <v>6008</v>
      </c>
      <c r="F2639" s="3928" t="s">
        <v>2675</v>
      </c>
      <c r="G2639" s="3928" t="s">
        <v>24</v>
      </c>
      <c r="H2639" s="3928" t="s">
        <v>24</v>
      </c>
      <c r="I2639" s="3928" t="s">
        <v>857</v>
      </c>
    </row>
    <row r="2640" spans="1:9" ht="11.25" customHeight="1">
      <c r="A2640" s="3928" t="s">
        <v>2258</v>
      </c>
      <c r="B2640" s="3928" t="s">
        <v>14</v>
      </c>
      <c r="C2640" s="3928" t="s">
        <v>6013</v>
      </c>
      <c r="D2640" s="3928" t="s">
        <v>6014</v>
      </c>
      <c r="E2640" s="3928" t="s">
        <v>6015</v>
      </c>
      <c r="F2640" s="3928" t="s">
        <v>49</v>
      </c>
      <c r="G2640" s="3928" t="s">
        <v>24</v>
      </c>
      <c r="H2640" s="3928" t="s">
        <v>6016</v>
      </c>
      <c r="I2640" s="3928" t="s">
        <v>857</v>
      </c>
    </row>
    <row r="2641" spans="1:9" ht="11.25" customHeight="1">
      <c r="A2641" s="3928" t="s">
        <v>2258</v>
      </c>
      <c r="B2641" s="3928" t="s">
        <v>14</v>
      </c>
      <c r="C2641" s="3928" t="s">
        <v>6017</v>
      </c>
      <c r="D2641" s="3928" t="s">
        <v>6014</v>
      </c>
      <c r="E2641" s="3928" t="s">
        <v>6015</v>
      </c>
      <c r="F2641" s="3928" t="s">
        <v>49</v>
      </c>
      <c r="G2641" s="3928" t="s">
        <v>6018</v>
      </c>
      <c r="H2641" s="3928" t="s">
        <v>24</v>
      </c>
      <c r="I2641" s="3928" t="s">
        <v>857</v>
      </c>
    </row>
    <row r="2642" spans="1:9" ht="11.25" customHeight="1">
      <c r="A2642" s="3928" t="s">
        <v>2258</v>
      </c>
      <c r="B2642" s="3928" t="s">
        <v>14</v>
      </c>
      <c r="C2642" s="3928" t="s">
        <v>6019</v>
      </c>
      <c r="D2642" s="3928" t="s">
        <v>6020</v>
      </c>
      <c r="E2642" s="3928" t="s">
        <v>6021</v>
      </c>
      <c r="F2642" s="3928" t="s">
        <v>2344</v>
      </c>
      <c r="G2642" s="3928" t="s">
        <v>24</v>
      </c>
      <c r="H2642" s="3928" t="s">
        <v>24</v>
      </c>
      <c r="I2642" s="3928" t="s">
        <v>857</v>
      </c>
    </row>
    <row r="2643" spans="1:9" ht="11.25" customHeight="1">
      <c r="A2643" s="3928" t="s">
        <v>2258</v>
      </c>
      <c r="B2643" s="3928" t="s">
        <v>14</v>
      </c>
      <c r="C2643" s="3928" t="s">
        <v>6022</v>
      </c>
      <c r="D2643" s="3928" t="s">
        <v>6023</v>
      </c>
      <c r="E2643" s="3928" t="s">
        <v>6024</v>
      </c>
      <c r="F2643" s="3928" t="s">
        <v>3370</v>
      </c>
      <c r="G2643" s="3928" t="s">
        <v>24</v>
      </c>
      <c r="H2643" s="3928" t="s">
        <v>24</v>
      </c>
      <c r="I2643" s="3928" t="s">
        <v>857</v>
      </c>
    </row>
    <row r="2644" spans="1:9" ht="11.25" customHeight="1">
      <c r="A2644" s="3928" t="s">
        <v>2258</v>
      </c>
      <c r="B2644" s="3928" t="s">
        <v>14</v>
      </c>
      <c r="C2644" s="3928" t="s">
        <v>6025</v>
      </c>
      <c r="D2644" s="3928" t="s">
        <v>6026</v>
      </c>
      <c r="E2644" s="3928" t="s">
        <v>6027</v>
      </c>
      <c r="F2644" s="3928" t="s">
        <v>6028</v>
      </c>
      <c r="G2644" s="3928" t="s">
        <v>6029</v>
      </c>
      <c r="H2644" s="3928" t="s">
        <v>24</v>
      </c>
      <c r="I2644" s="3928" t="s">
        <v>857</v>
      </c>
    </row>
    <row r="2645" spans="1:9" ht="11.25" customHeight="1">
      <c r="A2645" s="3928" t="s">
        <v>2258</v>
      </c>
      <c r="B2645" s="3928" t="s">
        <v>14</v>
      </c>
      <c r="C2645" s="3928" t="s">
        <v>6034</v>
      </c>
      <c r="D2645" s="3928" t="s">
        <v>6035</v>
      </c>
      <c r="E2645" s="3928" t="s">
        <v>6036</v>
      </c>
      <c r="F2645" s="3928" t="s">
        <v>2419</v>
      </c>
      <c r="G2645" s="3928" t="s">
        <v>24</v>
      </c>
      <c r="H2645" s="3928" t="s">
        <v>24</v>
      </c>
      <c r="I2645" s="3928" t="s">
        <v>857</v>
      </c>
    </row>
    <row r="2646" spans="1:9" ht="11.25" customHeight="1">
      <c r="A2646" s="3928" t="s">
        <v>2258</v>
      </c>
      <c r="B2646" s="3928" t="s">
        <v>14</v>
      </c>
      <c r="C2646" s="3928" t="s">
        <v>6040</v>
      </c>
      <c r="D2646" s="3928" t="s">
        <v>6041</v>
      </c>
      <c r="E2646" s="3928" t="s">
        <v>3893</v>
      </c>
      <c r="F2646" s="3928" t="s">
        <v>2624</v>
      </c>
      <c r="G2646" s="3928" t="s">
        <v>24</v>
      </c>
      <c r="H2646" s="3928" t="s">
        <v>6042</v>
      </c>
      <c r="I2646" s="3928" t="s">
        <v>857</v>
      </c>
    </row>
    <row r="2647" spans="1:9" ht="11.25" customHeight="1">
      <c r="A2647" s="3928" t="s">
        <v>2258</v>
      </c>
      <c r="B2647" s="3928" t="s">
        <v>14</v>
      </c>
      <c r="C2647" s="3928" t="s">
        <v>7814</v>
      </c>
      <c r="D2647" s="3928" t="s">
        <v>7815</v>
      </c>
      <c r="E2647" s="3928" t="s">
        <v>7816</v>
      </c>
      <c r="F2647" s="3928" t="s">
        <v>3023</v>
      </c>
      <c r="G2647" s="3928" t="s">
        <v>5485</v>
      </c>
      <c r="H2647" s="3928" t="s">
        <v>24</v>
      </c>
      <c r="I2647" s="3928" t="s">
        <v>857</v>
      </c>
    </row>
    <row r="2648" spans="1:9" ht="11.25" customHeight="1">
      <c r="A2648" s="3928" t="s">
        <v>2258</v>
      </c>
      <c r="B2648" s="3928" t="s">
        <v>14</v>
      </c>
      <c r="C2648" s="3928" t="s">
        <v>6043</v>
      </c>
      <c r="D2648" s="3928" t="s">
        <v>6044</v>
      </c>
      <c r="E2648" s="3928" t="s">
        <v>6045</v>
      </c>
      <c r="F2648" s="3928" t="s">
        <v>2965</v>
      </c>
      <c r="G2648" s="3928" t="s">
        <v>24</v>
      </c>
      <c r="H2648" s="3928" t="s">
        <v>2263</v>
      </c>
      <c r="I2648" s="3928" t="s">
        <v>857</v>
      </c>
    </row>
    <row r="2649" spans="1:9" ht="11.25" customHeight="1">
      <c r="A2649" s="3928" t="s">
        <v>2258</v>
      </c>
      <c r="B2649" s="3928" t="s">
        <v>14</v>
      </c>
      <c r="C2649" s="3928" t="s">
        <v>6046</v>
      </c>
      <c r="D2649" s="3928" t="s">
        <v>6047</v>
      </c>
      <c r="E2649" s="3928" t="s">
        <v>6048</v>
      </c>
      <c r="F2649" s="3928" t="s">
        <v>2344</v>
      </c>
      <c r="G2649" s="3928" t="s">
        <v>6049</v>
      </c>
      <c r="H2649" s="3928" t="s">
        <v>24</v>
      </c>
      <c r="I2649" s="3928" t="s">
        <v>857</v>
      </c>
    </row>
    <row r="2650" spans="1:9" ht="11.25" customHeight="1">
      <c r="A2650" s="3928" t="s">
        <v>2258</v>
      </c>
      <c r="B2650" s="3928" t="s">
        <v>14</v>
      </c>
      <c r="C2650" s="3928" t="s">
        <v>6050</v>
      </c>
      <c r="D2650" s="3928" t="s">
        <v>6051</v>
      </c>
      <c r="E2650" s="3928" t="s">
        <v>6052</v>
      </c>
      <c r="F2650" s="3928" t="s">
        <v>2486</v>
      </c>
      <c r="G2650" s="3928" t="s">
        <v>6053</v>
      </c>
      <c r="H2650" s="3928" t="s">
        <v>24</v>
      </c>
      <c r="I2650" s="3928" t="s">
        <v>857</v>
      </c>
    </row>
    <row r="2651" spans="1:9" ht="11.25" customHeight="1">
      <c r="A2651" s="3928" t="s">
        <v>2258</v>
      </c>
      <c r="B2651" s="3928" t="s">
        <v>14</v>
      </c>
      <c r="C2651" s="3928" t="s">
        <v>6054</v>
      </c>
      <c r="D2651" s="3928" t="s">
        <v>6055</v>
      </c>
      <c r="E2651" s="3928" t="s">
        <v>6056</v>
      </c>
      <c r="F2651" s="3928" t="s">
        <v>3353</v>
      </c>
      <c r="G2651" s="3928" t="s">
        <v>24</v>
      </c>
      <c r="H2651" s="3928" t="s">
        <v>2475</v>
      </c>
      <c r="I2651" s="3928" t="s">
        <v>857</v>
      </c>
    </row>
    <row r="2652" spans="1:9" ht="11.25" customHeight="1">
      <c r="A2652" s="3928" t="s">
        <v>2258</v>
      </c>
      <c r="B2652" s="3928" t="s">
        <v>14</v>
      </c>
      <c r="C2652" s="3928" t="s">
        <v>6057</v>
      </c>
      <c r="D2652" s="3928" t="s">
        <v>6058</v>
      </c>
      <c r="E2652" s="3928" t="s">
        <v>6059</v>
      </c>
      <c r="F2652" s="3928" t="s">
        <v>2675</v>
      </c>
      <c r="G2652" s="3928" t="s">
        <v>24</v>
      </c>
      <c r="H2652" s="3928" t="s">
        <v>24</v>
      </c>
      <c r="I2652" s="3928" t="s">
        <v>857</v>
      </c>
    </row>
    <row r="2653" spans="1:9" ht="11.25" customHeight="1">
      <c r="A2653" s="3928" t="s">
        <v>2258</v>
      </c>
      <c r="B2653" s="3928" t="s">
        <v>14</v>
      </c>
      <c r="C2653" s="3928" t="s">
        <v>7817</v>
      </c>
      <c r="D2653" s="3928" t="s">
        <v>7818</v>
      </c>
      <c r="E2653" s="3928" t="s">
        <v>7819</v>
      </c>
      <c r="F2653" s="3928" t="s">
        <v>2796</v>
      </c>
      <c r="G2653" s="3928" t="s">
        <v>24</v>
      </c>
      <c r="H2653" s="3928" t="s">
        <v>7820</v>
      </c>
      <c r="I2653" s="3928" t="s">
        <v>857</v>
      </c>
    </row>
    <row r="2654" spans="1:9" ht="11.25" customHeight="1">
      <c r="A2654" s="3928" t="s">
        <v>2258</v>
      </c>
      <c r="B2654" s="3928" t="s">
        <v>14</v>
      </c>
      <c r="C2654" s="3928" t="s">
        <v>6063</v>
      </c>
      <c r="D2654" s="3928" t="s">
        <v>6064</v>
      </c>
      <c r="E2654" s="3928" t="s">
        <v>6065</v>
      </c>
      <c r="F2654" s="3928" t="s">
        <v>2304</v>
      </c>
      <c r="G2654" s="3928" t="s">
        <v>24</v>
      </c>
      <c r="H2654" s="3928" t="s">
        <v>24</v>
      </c>
      <c r="I2654" s="3928" t="s">
        <v>857</v>
      </c>
    </row>
    <row r="2655" spans="1:9" ht="11.25" customHeight="1">
      <c r="A2655" s="3928" t="s">
        <v>2258</v>
      </c>
      <c r="B2655" s="3928" t="s">
        <v>14</v>
      </c>
      <c r="C2655" s="3928" t="s">
        <v>6066</v>
      </c>
      <c r="D2655" s="3928" t="s">
        <v>6067</v>
      </c>
      <c r="E2655" s="3928" t="s">
        <v>6068</v>
      </c>
      <c r="F2655" s="3928" t="s">
        <v>2419</v>
      </c>
      <c r="G2655" s="3928" t="s">
        <v>6069</v>
      </c>
      <c r="H2655" s="3928" t="s">
        <v>24</v>
      </c>
      <c r="I2655" s="3928" t="s">
        <v>857</v>
      </c>
    </row>
    <row r="2656" spans="1:9" ht="11.25" customHeight="1">
      <c r="A2656" s="3928" t="s">
        <v>2258</v>
      </c>
      <c r="B2656" s="3928" t="s">
        <v>14</v>
      </c>
      <c r="C2656" s="3928" t="s">
        <v>6070</v>
      </c>
      <c r="D2656" s="3928" t="s">
        <v>6071</v>
      </c>
      <c r="E2656" s="3928" t="s">
        <v>6072</v>
      </c>
      <c r="F2656" s="3928" t="s">
        <v>2701</v>
      </c>
      <c r="G2656" s="3928" t="s">
        <v>24</v>
      </c>
      <c r="H2656" s="3928" t="s">
        <v>24</v>
      </c>
      <c r="I2656" s="3928" t="s">
        <v>857</v>
      </c>
    </row>
    <row r="2657" spans="1:9" ht="11.25" customHeight="1">
      <c r="A2657" s="3928" t="s">
        <v>2258</v>
      </c>
      <c r="B2657" s="3928" t="s">
        <v>14</v>
      </c>
      <c r="C2657" s="3928" t="s">
        <v>6073</v>
      </c>
      <c r="D2657" s="3928" t="s">
        <v>6074</v>
      </c>
      <c r="E2657" s="3928" t="s">
        <v>6075</v>
      </c>
      <c r="F2657" s="3928" t="s">
        <v>2309</v>
      </c>
      <c r="G2657" s="3928" t="s">
        <v>24</v>
      </c>
      <c r="H2657" s="3928" t="s">
        <v>24</v>
      </c>
      <c r="I2657" s="3928" t="s">
        <v>857</v>
      </c>
    </row>
    <row r="2658" spans="1:9" ht="11.25" customHeight="1">
      <c r="A2658" s="3928" t="s">
        <v>2258</v>
      </c>
      <c r="B2658" s="3928" t="s">
        <v>14</v>
      </c>
      <c r="C2658" s="3928" t="s">
        <v>7821</v>
      </c>
      <c r="D2658" s="3928" t="s">
        <v>7822</v>
      </c>
      <c r="E2658" s="3928" t="s">
        <v>7823</v>
      </c>
      <c r="F2658" s="3928" t="s">
        <v>3086</v>
      </c>
      <c r="G2658" s="3928" t="s">
        <v>7824</v>
      </c>
      <c r="H2658" s="3928" t="s">
        <v>24</v>
      </c>
      <c r="I2658" s="3928" t="s">
        <v>857</v>
      </c>
    </row>
    <row r="2659" spans="1:9" ht="11.25" customHeight="1">
      <c r="A2659" s="3928" t="s">
        <v>2258</v>
      </c>
      <c r="B2659" s="3928" t="s">
        <v>14</v>
      </c>
      <c r="C2659" s="3928" t="s">
        <v>7825</v>
      </c>
      <c r="D2659" s="3928" t="s">
        <v>7826</v>
      </c>
      <c r="E2659" s="3928" t="s">
        <v>7827</v>
      </c>
      <c r="F2659" s="3928" t="s">
        <v>2469</v>
      </c>
      <c r="G2659" s="3928" t="s">
        <v>24</v>
      </c>
      <c r="H2659" s="3928" t="s">
        <v>24</v>
      </c>
      <c r="I2659" s="3928" t="s">
        <v>857</v>
      </c>
    </row>
    <row r="2660" spans="1:9" ht="11.25" customHeight="1">
      <c r="A2660" s="3928" t="s">
        <v>2258</v>
      </c>
      <c r="B2660" s="3928" t="s">
        <v>14</v>
      </c>
      <c r="C2660" s="3928" t="s">
        <v>6079</v>
      </c>
      <c r="D2660" s="3928" t="s">
        <v>6080</v>
      </c>
      <c r="E2660" s="3928" t="s">
        <v>6081</v>
      </c>
      <c r="F2660" s="3928" t="s">
        <v>2414</v>
      </c>
      <c r="G2660" s="3928" t="s">
        <v>24</v>
      </c>
      <c r="H2660" s="3928" t="s">
        <v>24</v>
      </c>
      <c r="I2660" s="3928" t="s">
        <v>857</v>
      </c>
    </row>
    <row r="2661" spans="1:9" ht="11.25" customHeight="1">
      <c r="A2661" s="3928" t="s">
        <v>2258</v>
      </c>
      <c r="B2661" s="3928" t="s">
        <v>14</v>
      </c>
      <c r="C2661" s="3928" t="s">
        <v>6082</v>
      </c>
      <c r="D2661" s="3928" t="s">
        <v>6083</v>
      </c>
      <c r="E2661" s="3928" t="s">
        <v>6084</v>
      </c>
      <c r="F2661" s="3928" t="s">
        <v>2965</v>
      </c>
      <c r="G2661" s="3928" t="s">
        <v>24</v>
      </c>
      <c r="H2661" s="3928" t="s">
        <v>24</v>
      </c>
      <c r="I2661" s="3928" t="s">
        <v>857</v>
      </c>
    </row>
    <row r="2662" spans="1:9" ht="11.25" customHeight="1">
      <c r="A2662" s="3928" t="s">
        <v>2258</v>
      </c>
      <c r="B2662" s="3928" t="s">
        <v>14</v>
      </c>
      <c r="C2662" s="3928" t="s">
        <v>6092</v>
      </c>
      <c r="D2662" s="3928" t="s">
        <v>6093</v>
      </c>
      <c r="E2662" s="3928" t="s">
        <v>6094</v>
      </c>
      <c r="F2662" s="3928" t="s">
        <v>2535</v>
      </c>
      <c r="G2662" s="3928" t="s">
        <v>24</v>
      </c>
      <c r="H2662" s="3928" t="s">
        <v>2263</v>
      </c>
      <c r="I2662" s="3928" t="s">
        <v>857</v>
      </c>
    </row>
    <row r="2663" spans="1:9" ht="11.25" customHeight="1">
      <c r="A2663" s="3928" t="s">
        <v>2258</v>
      </c>
      <c r="B2663" s="3928" t="s">
        <v>14</v>
      </c>
      <c r="C2663" s="3928" t="s">
        <v>7828</v>
      </c>
      <c r="D2663" s="3928" t="s">
        <v>7829</v>
      </c>
      <c r="E2663" s="3928" t="s">
        <v>7830</v>
      </c>
      <c r="F2663" s="3928" t="s">
        <v>2289</v>
      </c>
      <c r="G2663" s="3928" t="s">
        <v>24</v>
      </c>
      <c r="H2663" s="3928" t="s">
        <v>24</v>
      </c>
      <c r="I2663" s="3928" t="s">
        <v>857</v>
      </c>
    </row>
    <row r="2664" spans="1:9" ht="11.25" customHeight="1">
      <c r="A2664" s="3928" t="s">
        <v>2258</v>
      </c>
      <c r="B2664" s="3928" t="s">
        <v>14</v>
      </c>
      <c r="C2664" s="3928" t="s">
        <v>6107</v>
      </c>
      <c r="D2664" s="3928" t="s">
        <v>6108</v>
      </c>
      <c r="E2664" s="3928" t="s">
        <v>6109</v>
      </c>
      <c r="F2664" s="3928" t="s">
        <v>2567</v>
      </c>
      <c r="G2664" s="3928" t="s">
        <v>24</v>
      </c>
      <c r="H2664" s="3928" t="s">
        <v>2263</v>
      </c>
      <c r="I2664" s="3928" t="s">
        <v>857</v>
      </c>
    </row>
    <row r="2665" spans="1:9" ht="11.25" customHeight="1">
      <c r="A2665" s="3928" t="s">
        <v>2258</v>
      </c>
      <c r="B2665" s="3928" t="s">
        <v>14</v>
      </c>
      <c r="C2665" s="3928" t="s">
        <v>6110</v>
      </c>
      <c r="D2665" s="3928" t="s">
        <v>6111</v>
      </c>
      <c r="E2665" s="3928" t="s">
        <v>6112</v>
      </c>
      <c r="F2665" s="3928" t="s">
        <v>6113</v>
      </c>
      <c r="G2665" s="3928" t="s">
        <v>24</v>
      </c>
      <c r="H2665" s="3928" t="s">
        <v>2848</v>
      </c>
      <c r="I2665" s="3928" t="s">
        <v>857</v>
      </c>
    </row>
    <row r="2666" spans="1:9" ht="11.25" customHeight="1">
      <c r="A2666" s="3928" t="s">
        <v>2258</v>
      </c>
      <c r="B2666" s="3928" t="s">
        <v>14</v>
      </c>
      <c r="C2666" s="3928" t="s">
        <v>7831</v>
      </c>
      <c r="D2666" s="3928" t="s">
        <v>7832</v>
      </c>
      <c r="E2666" s="3928" t="s">
        <v>6000</v>
      </c>
      <c r="F2666" s="3928" t="s">
        <v>7833</v>
      </c>
      <c r="G2666" s="3928" t="s">
        <v>24</v>
      </c>
      <c r="H2666" s="3928" t="s">
        <v>24</v>
      </c>
      <c r="I2666" s="3928" t="s">
        <v>857</v>
      </c>
    </row>
    <row r="2667" spans="1:9" ht="11.25" customHeight="1">
      <c r="A2667" s="3928" t="s">
        <v>2258</v>
      </c>
      <c r="B2667" s="3928" t="s">
        <v>14</v>
      </c>
      <c r="C2667" s="3928" t="s">
        <v>7834</v>
      </c>
      <c r="D2667" s="3928" t="s">
        <v>7835</v>
      </c>
      <c r="E2667" s="3928" t="s">
        <v>7836</v>
      </c>
      <c r="F2667" s="3928" t="s">
        <v>2289</v>
      </c>
      <c r="G2667" s="3928" t="s">
        <v>24</v>
      </c>
      <c r="H2667" s="3928" t="s">
        <v>24</v>
      </c>
      <c r="I2667" s="3928" t="s">
        <v>857</v>
      </c>
    </row>
    <row r="2668" spans="1:9" ht="11.25" customHeight="1">
      <c r="A2668" s="3928" t="s">
        <v>2258</v>
      </c>
      <c r="B2668" s="3928" t="s">
        <v>14</v>
      </c>
      <c r="C2668" s="3928" t="s">
        <v>6114</v>
      </c>
      <c r="D2668" s="3928" t="s">
        <v>6115</v>
      </c>
      <c r="E2668" s="3928" t="s">
        <v>6116</v>
      </c>
      <c r="F2668" s="3928" t="s">
        <v>2294</v>
      </c>
      <c r="G2668" s="3928" t="s">
        <v>24</v>
      </c>
      <c r="H2668" s="3928" t="s">
        <v>24</v>
      </c>
      <c r="I2668" s="3928" t="s">
        <v>857</v>
      </c>
    </row>
    <row r="2669" spans="1:9" ht="11.25" customHeight="1">
      <c r="A2669" s="3928" t="s">
        <v>2258</v>
      </c>
      <c r="B2669" s="3928" t="s">
        <v>14</v>
      </c>
      <c r="C2669" s="3928" t="s">
        <v>7837</v>
      </c>
      <c r="D2669" s="3928" t="s">
        <v>7838</v>
      </c>
      <c r="E2669" s="3928" t="s">
        <v>7839</v>
      </c>
      <c r="F2669" s="3928" t="s">
        <v>7840</v>
      </c>
      <c r="G2669" s="3928" t="s">
        <v>24</v>
      </c>
      <c r="H2669" s="3928" t="s">
        <v>2848</v>
      </c>
      <c r="I2669" s="3928" t="s">
        <v>857</v>
      </c>
    </row>
    <row r="2670" spans="1:9" ht="11.25" customHeight="1">
      <c r="A2670" s="3928" t="s">
        <v>2258</v>
      </c>
      <c r="B2670" s="3928" t="s">
        <v>14</v>
      </c>
      <c r="C2670" s="3928" t="s">
        <v>6123</v>
      </c>
      <c r="D2670" s="3928" t="s">
        <v>6124</v>
      </c>
      <c r="E2670" s="3928" t="s">
        <v>6125</v>
      </c>
      <c r="F2670" s="3928" t="s">
        <v>2294</v>
      </c>
      <c r="G2670" s="3928" t="s">
        <v>24</v>
      </c>
      <c r="H2670" s="3928" t="s">
        <v>2263</v>
      </c>
      <c r="I2670" s="3928" t="s">
        <v>857</v>
      </c>
    </row>
    <row r="2671" spans="1:9" ht="11.25" customHeight="1">
      <c r="A2671" s="3928" t="s">
        <v>2258</v>
      </c>
      <c r="B2671" s="3928" t="s">
        <v>14</v>
      </c>
      <c r="C2671" s="3928" t="s">
        <v>7841</v>
      </c>
      <c r="D2671" s="3928" t="s">
        <v>7842</v>
      </c>
      <c r="E2671" s="3928" t="s">
        <v>7843</v>
      </c>
      <c r="F2671" s="3928" t="s">
        <v>5848</v>
      </c>
      <c r="G2671" s="3928" t="s">
        <v>24</v>
      </c>
      <c r="H2671" s="3928" t="s">
        <v>24</v>
      </c>
      <c r="I2671" s="3928" t="s">
        <v>857</v>
      </c>
    </row>
    <row r="2672" spans="1:9" ht="11.25" customHeight="1">
      <c r="A2672" s="3928" t="s">
        <v>2258</v>
      </c>
      <c r="B2672" s="3928" t="s">
        <v>14</v>
      </c>
      <c r="C2672" s="3928" t="s">
        <v>6129</v>
      </c>
      <c r="D2672" s="3928" t="s">
        <v>6130</v>
      </c>
      <c r="E2672" s="3928" t="s">
        <v>6131</v>
      </c>
      <c r="F2672" s="3928" t="s">
        <v>2289</v>
      </c>
      <c r="G2672" s="3928" t="s">
        <v>24</v>
      </c>
      <c r="H2672" s="3928" t="s">
        <v>2263</v>
      </c>
      <c r="I2672" s="3928" t="s">
        <v>857</v>
      </c>
    </row>
    <row r="2673" spans="1:9" ht="11.25" customHeight="1">
      <c r="A2673" s="3928" t="s">
        <v>2258</v>
      </c>
      <c r="B2673" s="3928" t="s">
        <v>14</v>
      </c>
      <c r="C2673" s="3928" t="s">
        <v>7844</v>
      </c>
      <c r="D2673" s="3928" t="s">
        <v>7845</v>
      </c>
      <c r="E2673" s="3928" t="s">
        <v>7846</v>
      </c>
      <c r="F2673" s="3928" t="s">
        <v>2304</v>
      </c>
      <c r="G2673" s="3928" t="s">
        <v>24</v>
      </c>
      <c r="H2673" s="3928" t="s">
        <v>2263</v>
      </c>
      <c r="I2673" s="3928" t="s">
        <v>857</v>
      </c>
    </row>
    <row r="2674" spans="1:9" ht="11.25" customHeight="1">
      <c r="A2674" s="3928" t="s">
        <v>2258</v>
      </c>
      <c r="B2674" s="3928" t="s">
        <v>14</v>
      </c>
      <c r="C2674" s="3928" t="s">
        <v>6144</v>
      </c>
      <c r="D2674" s="3928" t="s">
        <v>6145</v>
      </c>
      <c r="E2674" s="3928" t="s">
        <v>6146</v>
      </c>
      <c r="F2674" s="3928" t="s">
        <v>2262</v>
      </c>
      <c r="G2674" s="3928" t="s">
        <v>24</v>
      </c>
      <c r="H2674" s="3928" t="s">
        <v>6147</v>
      </c>
      <c r="I2674" s="3928" t="s">
        <v>857</v>
      </c>
    </row>
    <row r="2675" spans="1:9" ht="11.25" customHeight="1">
      <c r="A2675" s="3928" t="s">
        <v>2258</v>
      </c>
      <c r="B2675" s="3928" t="s">
        <v>14</v>
      </c>
      <c r="C2675" s="3928" t="s">
        <v>7847</v>
      </c>
      <c r="D2675" s="3928" t="s">
        <v>7848</v>
      </c>
      <c r="E2675" s="3928" t="s">
        <v>7849</v>
      </c>
      <c r="F2675" s="3928" t="s">
        <v>7850</v>
      </c>
      <c r="G2675" s="3928" t="s">
        <v>24</v>
      </c>
      <c r="H2675" s="3928" t="s">
        <v>24</v>
      </c>
      <c r="I2675" s="3928" t="s">
        <v>857</v>
      </c>
    </row>
    <row r="2676" spans="1:9" ht="11.25" customHeight="1">
      <c r="A2676" s="3928" t="s">
        <v>2258</v>
      </c>
      <c r="B2676" s="3928" t="s">
        <v>14</v>
      </c>
      <c r="C2676" s="3928" t="s">
        <v>6148</v>
      </c>
      <c r="D2676" s="3928" t="s">
        <v>6149</v>
      </c>
      <c r="E2676" s="3928" t="s">
        <v>6150</v>
      </c>
      <c r="F2676" s="3928" t="s">
        <v>2486</v>
      </c>
      <c r="G2676" s="3928" t="s">
        <v>24</v>
      </c>
      <c r="H2676" s="3928" t="s">
        <v>24</v>
      </c>
      <c r="I2676" s="3928" t="s">
        <v>857</v>
      </c>
    </row>
    <row r="2677" spans="1:9" ht="11.25" customHeight="1">
      <c r="A2677" s="3928" t="s">
        <v>2258</v>
      </c>
      <c r="B2677" s="3928" t="s">
        <v>14</v>
      </c>
      <c r="C2677" s="3928" t="s">
        <v>6151</v>
      </c>
      <c r="D2677" s="3928" t="s">
        <v>6152</v>
      </c>
      <c r="E2677" s="3928" t="s">
        <v>6153</v>
      </c>
      <c r="F2677" s="3928" t="s">
        <v>4428</v>
      </c>
      <c r="G2677" s="3928" t="s">
        <v>24</v>
      </c>
      <c r="H2677" s="3928" t="s">
        <v>2945</v>
      </c>
      <c r="I2677" s="3928" t="s">
        <v>857</v>
      </c>
    </row>
    <row r="2678" spans="1:9" ht="11.25" customHeight="1">
      <c r="A2678" s="3928" t="s">
        <v>2258</v>
      </c>
      <c r="B2678" s="3928" t="s">
        <v>14</v>
      </c>
      <c r="C2678" s="3928" t="s">
        <v>7851</v>
      </c>
      <c r="D2678" s="3928" t="s">
        <v>7852</v>
      </c>
      <c r="E2678" s="3928" t="s">
        <v>7853</v>
      </c>
      <c r="F2678" s="3928" t="s">
        <v>2393</v>
      </c>
      <c r="G2678" s="3928" t="s">
        <v>24</v>
      </c>
      <c r="H2678" s="3928" t="s">
        <v>24</v>
      </c>
      <c r="I2678" s="3928" t="s">
        <v>857</v>
      </c>
    </row>
    <row r="2679" spans="1:9" ht="11.25" customHeight="1">
      <c r="A2679" s="3928" t="s">
        <v>2258</v>
      </c>
      <c r="B2679" s="3928" t="s">
        <v>14</v>
      </c>
      <c r="C2679" s="3928" t="s">
        <v>7854</v>
      </c>
      <c r="D2679" s="3928" t="s">
        <v>7855</v>
      </c>
      <c r="E2679" s="3928" t="s">
        <v>7856</v>
      </c>
      <c r="F2679" s="3928" t="s">
        <v>2780</v>
      </c>
      <c r="G2679" s="3928" t="s">
        <v>24</v>
      </c>
      <c r="H2679" s="3928" t="s">
        <v>2848</v>
      </c>
      <c r="I2679" s="3928" t="s">
        <v>857</v>
      </c>
    </row>
    <row r="2680" spans="1:9" ht="11.25" customHeight="1">
      <c r="A2680" s="3928" t="s">
        <v>2258</v>
      </c>
      <c r="B2680" s="3928" t="s">
        <v>14</v>
      </c>
      <c r="C2680" s="3928" t="s">
        <v>6154</v>
      </c>
      <c r="D2680" s="3928" t="s">
        <v>6155</v>
      </c>
      <c r="E2680" s="3928" t="s">
        <v>6146</v>
      </c>
      <c r="F2680" s="3928" t="s">
        <v>6156</v>
      </c>
      <c r="G2680" s="3928" t="s">
        <v>24</v>
      </c>
      <c r="H2680" s="3928" t="s">
        <v>24</v>
      </c>
      <c r="I2680" s="3928" t="s">
        <v>857</v>
      </c>
    </row>
    <row r="2681" spans="1:9" ht="11.25" customHeight="1">
      <c r="A2681" s="3928" t="s">
        <v>2258</v>
      </c>
      <c r="B2681" s="3928" t="s">
        <v>14</v>
      </c>
      <c r="C2681" s="3928" t="s">
        <v>6163</v>
      </c>
      <c r="D2681" s="3928" t="s">
        <v>6164</v>
      </c>
      <c r="E2681" s="3928" t="s">
        <v>6165</v>
      </c>
      <c r="F2681" s="3928" t="s">
        <v>2393</v>
      </c>
      <c r="G2681" s="3928" t="s">
        <v>6166</v>
      </c>
      <c r="H2681" s="3928" t="s">
        <v>24</v>
      </c>
      <c r="I2681" s="3928" t="s">
        <v>857</v>
      </c>
    </row>
    <row r="2682" spans="1:9" ht="11.25" customHeight="1">
      <c r="A2682" s="3928" t="s">
        <v>2258</v>
      </c>
      <c r="B2682" s="3928" t="s">
        <v>14</v>
      </c>
      <c r="C2682" s="3928" t="s">
        <v>6167</v>
      </c>
      <c r="D2682" s="3928" t="s">
        <v>6168</v>
      </c>
      <c r="E2682" s="3928" t="s">
        <v>6169</v>
      </c>
      <c r="F2682" s="3928" t="s">
        <v>2513</v>
      </c>
      <c r="G2682" s="3928" t="s">
        <v>24</v>
      </c>
      <c r="H2682" s="3928" t="s">
        <v>6170</v>
      </c>
      <c r="I2682" s="3928" t="s">
        <v>857</v>
      </c>
    </row>
    <row r="2683" spans="1:9" ht="11.25" customHeight="1">
      <c r="A2683" s="3928" t="s">
        <v>2258</v>
      </c>
      <c r="B2683" s="3928" t="s">
        <v>14</v>
      </c>
      <c r="C2683" s="3928" t="s">
        <v>6467</v>
      </c>
      <c r="D2683" s="3928" t="s">
        <v>6468</v>
      </c>
      <c r="E2683" s="3928" t="s">
        <v>3720</v>
      </c>
      <c r="F2683" s="3928" t="s">
        <v>6469</v>
      </c>
      <c r="G2683" s="3928" t="s">
        <v>24</v>
      </c>
      <c r="H2683" s="3928" t="s">
        <v>6470</v>
      </c>
      <c r="I2683" s="3928" t="s">
        <v>857</v>
      </c>
    </row>
    <row r="2684" spans="1:9" ht="11.25" customHeight="1">
      <c r="A2684" s="3928" t="s">
        <v>2258</v>
      </c>
      <c r="B2684" s="3928" t="s">
        <v>14</v>
      </c>
      <c r="C2684" s="3928" t="s">
        <v>6181</v>
      </c>
      <c r="D2684" s="3928" t="s">
        <v>6182</v>
      </c>
      <c r="E2684" s="3928" t="s">
        <v>6183</v>
      </c>
      <c r="F2684" s="3928" t="s">
        <v>6184</v>
      </c>
      <c r="G2684" s="3928" t="s">
        <v>24</v>
      </c>
      <c r="H2684" s="3928" t="s">
        <v>24</v>
      </c>
      <c r="I2684" s="3928" t="s">
        <v>857</v>
      </c>
    </row>
    <row r="2685" spans="1:9" ht="11.25" customHeight="1">
      <c r="A2685" s="3928" t="s">
        <v>2258</v>
      </c>
      <c r="B2685" s="3928" t="s">
        <v>14</v>
      </c>
      <c r="C2685" s="3928" t="s">
        <v>7857</v>
      </c>
      <c r="D2685" s="3928" t="s">
        <v>7858</v>
      </c>
      <c r="E2685" s="3928" t="s">
        <v>7859</v>
      </c>
      <c r="F2685" s="3928" t="s">
        <v>5696</v>
      </c>
      <c r="G2685" s="3928" t="s">
        <v>24</v>
      </c>
      <c r="H2685" s="3928" t="s">
        <v>7803</v>
      </c>
      <c r="I2685" s="3928" t="s">
        <v>857</v>
      </c>
    </row>
    <row r="2686" spans="1:9" ht="11.25" customHeight="1">
      <c r="A2686" s="3928" t="s">
        <v>2258</v>
      </c>
      <c r="B2686" s="3928" t="s">
        <v>14</v>
      </c>
      <c r="C2686" s="3928" t="s">
        <v>6185</v>
      </c>
      <c r="D2686" s="3928" t="s">
        <v>6186</v>
      </c>
      <c r="E2686" s="3928" t="s">
        <v>6187</v>
      </c>
      <c r="F2686" s="3928" t="s">
        <v>3086</v>
      </c>
      <c r="G2686" s="3928" t="s">
        <v>24</v>
      </c>
      <c r="H2686" s="3928" t="s">
        <v>5945</v>
      </c>
      <c r="I2686" s="3928" t="s">
        <v>857</v>
      </c>
    </row>
    <row r="2687" spans="1:9" ht="11.25" customHeight="1">
      <c r="A2687" s="3928" t="s">
        <v>2258</v>
      </c>
      <c r="B2687" s="3928" t="s">
        <v>14</v>
      </c>
      <c r="C2687" s="3928" t="s">
        <v>6191</v>
      </c>
      <c r="D2687" s="3928" t="s">
        <v>627</v>
      </c>
      <c r="E2687" s="3928" t="s">
        <v>6192</v>
      </c>
      <c r="F2687" s="3928" t="s">
        <v>2675</v>
      </c>
      <c r="G2687" s="3928" t="s">
        <v>6193</v>
      </c>
      <c r="H2687" s="3928" t="s">
        <v>24</v>
      </c>
      <c r="I2687" s="3928" t="s">
        <v>857</v>
      </c>
    </row>
    <row r="2688" spans="1:9" ht="11.25" customHeight="1">
      <c r="A2688" s="3928" t="s">
        <v>2258</v>
      </c>
      <c r="B2688" s="3928" t="s">
        <v>14</v>
      </c>
      <c r="C2688" s="3928" t="s">
        <v>7860</v>
      </c>
      <c r="D2688" s="3928" t="s">
        <v>7861</v>
      </c>
      <c r="E2688" s="3928" t="s">
        <v>3106</v>
      </c>
      <c r="F2688" s="3928" t="s">
        <v>7862</v>
      </c>
      <c r="G2688" s="3928" t="s">
        <v>24</v>
      </c>
      <c r="H2688" s="3928" t="s">
        <v>24</v>
      </c>
      <c r="I2688" s="3928" t="s">
        <v>857</v>
      </c>
    </row>
    <row r="2689" spans="1:9" ht="11.25" customHeight="1">
      <c r="A2689" s="3928" t="s">
        <v>2258</v>
      </c>
      <c r="B2689" s="3928" t="s">
        <v>14</v>
      </c>
      <c r="C2689" s="3928" t="s">
        <v>7863</v>
      </c>
      <c r="D2689" s="3928" t="s">
        <v>7864</v>
      </c>
      <c r="E2689" s="3928" t="s">
        <v>6492</v>
      </c>
      <c r="F2689" s="3928" t="s">
        <v>7865</v>
      </c>
      <c r="G2689" s="3928" t="s">
        <v>24</v>
      </c>
      <c r="H2689" s="3928" t="s">
        <v>3168</v>
      </c>
      <c r="I2689" s="3928" t="s">
        <v>857</v>
      </c>
    </row>
    <row r="2690" spans="1:9" ht="11.25" customHeight="1">
      <c r="A2690" s="3928" t="s">
        <v>2258</v>
      </c>
      <c r="B2690" s="3928" t="s">
        <v>14</v>
      </c>
      <c r="C2690" s="3928" t="s">
        <v>6194</v>
      </c>
      <c r="D2690" s="3928" t="s">
        <v>6195</v>
      </c>
      <c r="E2690" s="3928" t="s">
        <v>6196</v>
      </c>
      <c r="F2690" s="3928" t="s">
        <v>2473</v>
      </c>
      <c r="G2690" s="3928" t="s">
        <v>24</v>
      </c>
      <c r="H2690" s="3928" t="s">
        <v>6197</v>
      </c>
      <c r="I2690" s="3928" t="s">
        <v>857</v>
      </c>
    </row>
    <row r="2691" spans="1:9" ht="11.25" customHeight="1">
      <c r="A2691" s="3928" t="s">
        <v>2258</v>
      </c>
      <c r="B2691" s="3928" t="s">
        <v>14</v>
      </c>
      <c r="C2691" s="3928" t="s">
        <v>6198</v>
      </c>
      <c r="D2691" s="3928" t="s">
        <v>6199</v>
      </c>
      <c r="E2691" s="3928" t="s">
        <v>6200</v>
      </c>
      <c r="F2691" s="3928" t="s">
        <v>2469</v>
      </c>
      <c r="G2691" s="3928" t="s">
        <v>24</v>
      </c>
      <c r="H2691" s="3928" t="s">
        <v>6201</v>
      </c>
      <c r="I2691" s="3928" t="s">
        <v>857</v>
      </c>
    </row>
    <row r="2692" spans="1:9" ht="11.25" customHeight="1">
      <c r="A2692" s="3928" t="s">
        <v>2258</v>
      </c>
      <c r="B2692" s="3928" t="s">
        <v>14</v>
      </c>
      <c r="C2692" s="3928" t="s">
        <v>7866</v>
      </c>
      <c r="D2692" s="3928" t="s">
        <v>7867</v>
      </c>
      <c r="E2692" s="3928" t="s">
        <v>7868</v>
      </c>
      <c r="F2692" s="3928" t="s">
        <v>3023</v>
      </c>
      <c r="G2692" s="3928" t="s">
        <v>7869</v>
      </c>
      <c r="H2692" s="3928" t="s">
        <v>5485</v>
      </c>
      <c r="I2692" s="3928" t="s">
        <v>857</v>
      </c>
    </row>
    <row r="2693" spans="1:9" ht="11.25" customHeight="1">
      <c r="A2693" s="3928" t="s">
        <v>2258</v>
      </c>
      <c r="B2693" s="3928" t="s">
        <v>14</v>
      </c>
      <c r="C2693" s="3928" t="s">
        <v>7870</v>
      </c>
      <c r="D2693" s="3928" t="s">
        <v>7871</v>
      </c>
      <c r="E2693" s="3928" t="s">
        <v>7872</v>
      </c>
      <c r="F2693" s="3928" t="s">
        <v>4792</v>
      </c>
      <c r="G2693" s="3928" t="s">
        <v>24</v>
      </c>
      <c r="H2693" s="3928" t="s">
        <v>2945</v>
      </c>
      <c r="I2693" s="3928" t="s">
        <v>857</v>
      </c>
    </row>
    <row r="2694" spans="1:9" ht="11.25" customHeight="1">
      <c r="A2694" s="3928" t="s">
        <v>2258</v>
      </c>
      <c r="B2694" s="3928" t="s">
        <v>14</v>
      </c>
      <c r="C2694" s="3928" t="s">
        <v>7873</v>
      </c>
      <c r="D2694" s="3928" t="s">
        <v>7874</v>
      </c>
      <c r="E2694" s="3928" t="s">
        <v>3095</v>
      </c>
      <c r="F2694" s="3928" t="s">
        <v>7875</v>
      </c>
      <c r="G2694" s="3928" t="s">
        <v>6225</v>
      </c>
      <c r="H2694" s="3928" t="s">
        <v>2945</v>
      </c>
      <c r="I2694" s="3928" t="s">
        <v>857</v>
      </c>
    </row>
    <row r="2695" spans="1:9" ht="11.25" customHeight="1">
      <c r="A2695" s="3928" t="s">
        <v>2258</v>
      </c>
      <c r="B2695" s="3928" t="s">
        <v>14</v>
      </c>
      <c r="C2695" s="3928" t="s">
        <v>7876</v>
      </c>
      <c r="D2695" s="3928" t="s">
        <v>7877</v>
      </c>
      <c r="E2695" s="3928" t="s">
        <v>7878</v>
      </c>
      <c r="F2695" s="3928" t="s">
        <v>7879</v>
      </c>
      <c r="G2695" s="3928" t="s">
        <v>7880</v>
      </c>
      <c r="H2695" s="3928" t="s">
        <v>24</v>
      </c>
      <c r="I2695" s="3928" t="s">
        <v>857</v>
      </c>
    </row>
    <row r="2696" spans="1:9" ht="11.25" customHeight="1">
      <c r="A2696" s="3928" t="s">
        <v>2258</v>
      </c>
      <c r="B2696" s="3928" t="s">
        <v>14</v>
      </c>
      <c r="C2696" s="3928" t="s">
        <v>7881</v>
      </c>
      <c r="D2696" s="3928" t="s">
        <v>7882</v>
      </c>
      <c r="E2696" s="3928" t="s">
        <v>7883</v>
      </c>
      <c r="F2696" s="3928" t="s">
        <v>2513</v>
      </c>
      <c r="G2696" s="3928" t="s">
        <v>7884</v>
      </c>
      <c r="H2696" s="3928" t="s">
        <v>6501</v>
      </c>
      <c r="I2696" s="3928" t="s">
        <v>857</v>
      </c>
    </row>
    <row r="2697" spans="1:9" ht="11.25" customHeight="1">
      <c r="A2697" s="3928" t="s">
        <v>2258</v>
      </c>
      <c r="B2697" s="3928" t="s">
        <v>14</v>
      </c>
      <c r="C2697" s="3928" t="s">
        <v>6209</v>
      </c>
      <c r="D2697" s="3928" t="s">
        <v>6210</v>
      </c>
      <c r="E2697" s="3928" t="s">
        <v>6211</v>
      </c>
      <c r="F2697" s="3928" t="s">
        <v>2359</v>
      </c>
      <c r="G2697" s="3928" t="s">
        <v>24</v>
      </c>
      <c r="H2697" s="3928" t="s">
        <v>24</v>
      </c>
      <c r="I2697" s="3928" t="s">
        <v>857</v>
      </c>
    </row>
    <row r="2698" spans="1:9" ht="11.25" customHeight="1">
      <c r="A2698" s="3928" t="s">
        <v>2258</v>
      </c>
      <c r="B2698" s="3928" t="s">
        <v>14</v>
      </c>
      <c r="C2698" s="3928" t="s">
        <v>6212</v>
      </c>
      <c r="D2698" s="3928" t="s">
        <v>6213</v>
      </c>
      <c r="E2698" s="3928" t="s">
        <v>6214</v>
      </c>
      <c r="F2698" s="3928" t="s">
        <v>2675</v>
      </c>
      <c r="G2698" s="3928" t="s">
        <v>24</v>
      </c>
      <c r="H2698" s="3928" t="s">
        <v>24</v>
      </c>
      <c r="I2698" s="3928" t="s">
        <v>857</v>
      </c>
    </row>
    <row r="2699" spans="1:9" ht="11.25" customHeight="1">
      <c r="A2699" s="3928" t="s">
        <v>2258</v>
      </c>
      <c r="B2699" s="3928" t="s">
        <v>14</v>
      </c>
      <c r="C2699" s="3928" t="s">
        <v>6215</v>
      </c>
      <c r="D2699" s="3928" t="s">
        <v>6216</v>
      </c>
      <c r="E2699" s="3928" t="s">
        <v>6217</v>
      </c>
      <c r="F2699" s="3928" t="s">
        <v>2965</v>
      </c>
      <c r="G2699" s="3928" t="s">
        <v>24</v>
      </c>
      <c r="H2699" s="3928" t="s">
        <v>24</v>
      </c>
      <c r="I2699" s="3928" t="s">
        <v>857</v>
      </c>
    </row>
    <row r="2700" spans="1:9" ht="11.25" customHeight="1">
      <c r="A2700" s="3928" t="s">
        <v>2258</v>
      </c>
      <c r="B2700" s="3928" t="s">
        <v>14</v>
      </c>
      <c r="C2700" s="3928" t="s">
        <v>6218</v>
      </c>
      <c r="D2700" s="3928" t="s">
        <v>6219</v>
      </c>
      <c r="E2700" s="3928" t="s">
        <v>6220</v>
      </c>
      <c r="F2700" s="3928" t="s">
        <v>2486</v>
      </c>
      <c r="G2700" s="3928" t="s">
        <v>6221</v>
      </c>
      <c r="H2700" s="3928" t="s">
        <v>24</v>
      </c>
      <c r="I2700" s="3928" t="s">
        <v>857</v>
      </c>
    </row>
    <row r="2701" spans="1:9" ht="11.25" customHeight="1">
      <c r="A2701" s="3928" t="s">
        <v>2258</v>
      </c>
      <c r="B2701" s="3928" t="s">
        <v>14</v>
      </c>
      <c r="C2701" s="3928" t="s">
        <v>6229</v>
      </c>
      <c r="D2701" s="3928" t="s">
        <v>6230</v>
      </c>
      <c r="E2701" s="3928" t="s">
        <v>6231</v>
      </c>
      <c r="F2701" s="3928" t="s">
        <v>2587</v>
      </c>
      <c r="G2701" s="3928" t="s">
        <v>24</v>
      </c>
      <c r="H2701" s="3928" t="s">
        <v>2263</v>
      </c>
      <c r="I2701" s="3928" t="s">
        <v>857</v>
      </c>
    </row>
    <row r="2702" spans="1:9" ht="11.25" customHeight="1">
      <c r="A2702" s="3928" t="s">
        <v>2258</v>
      </c>
      <c r="B2702" s="3928" t="s">
        <v>14</v>
      </c>
      <c r="C2702" s="3928" t="s">
        <v>6232</v>
      </c>
      <c r="D2702" s="3928" t="s">
        <v>6233</v>
      </c>
      <c r="E2702" s="3928" t="s">
        <v>6234</v>
      </c>
      <c r="F2702" s="3928" t="s">
        <v>2469</v>
      </c>
      <c r="G2702" s="3928" t="s">
        <v>24</v>
      </c>
      <c r="H2702" s="3928" t="s">
        <v>24</v>
      </c>
      <c r="I2702" s="3928" t="s">
        <v>857</v>
      </c>
    </row>
    <row r="2703" spans="1:9" ht="11.25" customHeight="1">
      <c r="A2703" s="3928" t="s">
        <v>2258</v>
      </c>
      <c r="B2703" s="3928" t="s">
        <v>14</v>
      </c>
      <c r="C2703" s="3928" t="s">
        <v>7885</v>
      </c>
      <c r="D2703" s="3928" t="s">
        <v>7886</v>
      </c>
      <c r="E2703" s="3928" t="s">
        <v>7887</v>
      </c>
      <c r="F2703" s="3928" t="s">
        <v>49</v>
      </c>
      <c r="G2703" s="3928" t="s">
        <v>7888</v>
      </c>
      <c r="H2703" s="3928" t="s">
        <v>2772</v>
      </c>
      <c r="I2703" s="3928" t="s">
        <v>857</v>
      </c>
    </row>
    <row r="2704" spans="1:9" ht="11.25" customHeight="1">
      <c r="A2704" s="3928" t="s">
        <v>2258</v>
      </c>
      <c r="B2704" s="3928" t="s">
        <v>14</v>
      </c>
      <c r="C2704" s="3928" t="s">
        <v>6235</v>
      </c>
      <c r="D2704" s="3928" t="s">
        <v>6236</v>
      </c>
      <c r="E2704" s="3928" t="s">
        <v>6237</v>
      </c>
      <c r="F2704" s="3928" t="s">
        <v>2419</v>
      </c>
      <c r="G2704" s="3928" t="s">
        <v>6238</v>
      </c>
      <c r="H2704" s="3928" t="s">
        <v>24</v>
      </c>
      <c r="I2704" s="3928" t="s">
        <v>857</v>
      </c>
    </row>
    <row r="2705" spans="1:9" ht="11.25" customHeight="1">
      <c r="A2705" s="3928" t="s">
        <v>2258</v>
      </c>
      <c r="B2705" s="3928" t="s">
        <v>14</v>
      </c>
      <c r="C2705" s="3928" t="s">
        <v>6241</v>
      </c>
      <c r="D2705" s="3928" t="s">
        <v>6242</v>
      </c>
      <c r="E2705" s="3928" t="s">
        <v>6243</v>
      </c>
      <c r="F2705" s="3928" t="s">
        <v>6244</v>
      </c>
      <c r="G2705" s="3928" t="s">
        <v>24</v>
      </c>
      <c r="H2705" s="3928" t="s">
        <v>2263</v>
      </c>
      <c r="I2705" s="3928" t="s">
        <v>857</v>
      </c>
    </row>
    <row r="2706" spans="1:9" ht="11.25" customHeight="1">
      <c r="A2706" s="3928" t="s">
        <v>2258</v>
      </c>
      <c r="B2706" s="3928" t="s">
        <v>14</v>
      </c>
      <c r="C2706" s="3928" t="s">
        <v>6245</v>
      </c>
      <c r="D2706" s="3928" t="s">
        <v>6242</v>
      </c>
      <c r="E2706" s="3928" t="s">
        <v>6243</v>
      </c>
      <c r="F2706" s="3928" t="s">
        <v>2393</v>
      </c>
      <c r="G2706" s="3928" t="s">
        <v>6246</v>
      </c>
      <c r="H2706" s="3928" t="s">
        <v>24</v>
      </c>
      <c r="I2706" s="3928" t="s">
        <v>857</v>
      </c>
    </row>
    <row r="2707" spans="1:9" ht="11.25" customHeight="1">
      <c r="A2707" s="3928" t="s">
        <v>2258</v>
      </c>
      <c r="B2707" s="3928" t="s">
        <v>14</v>
      </c>
      <c r="C2707" s="3928" t="s">
        <v>6247</v>
      </c>
      <c r="D2707" s="3928" t="s">
        <v>6248</v>
      </c>
      <c r="E2707" s="3928" t="s">
        <v>6153</v>
      </c>
      <c r="F2707" s="3928" t="s">
        <v>6249</v>
      </c>
      <c r="G2707" s="3928" t="s">
        <v>24</v>
      </c>
      <c r="H2707" s="3928" t="s">
        <v>2263</v>
      </c>
      <c r="I2707" s="3928" t="s">
        <v>857</v>
      </c>
    </row>
    <row r="2708" spans="1:9" ht="11.25" customHeight="1">
      <c r="A2708" s="3928" t="s">
        <v>2258</v>
      </c>
      <c r="B2708" s="3928" t="s">
        <v>14</v>
      </c>
      <c r="C2708" s="3928" t="s">
        <v>7889</v>
      </c>
      <c r="D2708" s="3928" t="s">
        <v>7890</v>
      </c>
      <c r="E2708" s="3928" t="s">
        <v>6586</v>
      </c>
      <c r="F2708" s="3928" t="s">
        <v>7891</v>
      </c>
      <c r="G2708" s="3928" t="s">
        <v>24</v>
      </c>
      <c r="H2708" s="3928" t="s">
        <v>7892</v>
      </c>
      <c r="I2708" s="3928" t="s">
        <v>857</v>
      </c>
    </row>
    <row r="2709" spans="1:9" ht="11.25" customHeight="1">
      <c r="A2709" s="3928" t="s">
        <v>2258</v>
      </c>
      <c r="B2709" s="3928" t="s">
        <v>14</v>
      </c>
      <c r="C2709" s="3928" t="s">
        <v>6250</v>
      </c>
      <c r="D2709" s="3928" t="s">
        <v>6251</v>
      </c>
      <c r="E2709" s="3928" t="s">
        <v>6252</v>
      </c>
      <c r="F2709" s="3928" t="s">
        <v>6253</v>
      </c>
      <c r="G2709" s="3928" t="s">
        <v>6254</v>
      </c>
      <c r="H2709" s="3928" t="s">
        <v>24</v>
      </c>
      <c r="I2709" s="3928" t="s">
        <v>857</v>
      </c>
    </row>
    <row r="2710" spans="1:9" ht="11.25" customHeight="1">
      <c r="A2710" s="3928" t="s">
        <v>2258</v>
      </c>
      <c r="B2710" s="3928" t="s">
        <v>14</v>
      </c>
      <c r="C2710" s="3928" t="s">
        <v>6259</v>
      </c>
      <c r="D2710" s="3928" t="s">
        <v>6260</v>
      </c>
      <c r="E2710" s="3928" t="s">
        <v>5827</v>
      </c>
      <c r="F2710" s="3928" t="s">
        <v>6261</v>
      </c>
      <c r="G2710" s="3928" t="s">
        <v>6262</v>
      </c>
      <c r="H2710" s="3928" t="s">
        <v>24</v>
      </c>
      <c r="I2710" s="3928" t="s">
        <v>857</v>
      </c>
    </row>
    <row r="2711" spans="1:9" ht="11.25" customHeight="1">
      <c r="A2711" s="3928" t="s">
        <v>2258</v>
      </c>
      <c r="B2711" s="3928" t="s">
        <v>14</v>
      </c>
      <c r="C2711" s="3928" t="s">
        <v>6471</v>
      </c>
      <c r="D2711" s="3928" t="s">
        <v>6472</v>
      </c>
      <c r="E2711" s="3928" t="s">
        <v>5776</v>
      </c>
      <c r="F2711" s="3928" t="s">
        <v>6473</v>
      </c>
      <c r="G2711" s="3928" t="s">
        <v>24</v>
      </c>
      <c r="H2711" s="3928" t="s">
        <v>3297</v>
      </c>
      <c r="I2711" s="3928" t="s">
        <v>857</v>
      </c>
    </row>
    <row r="2712" spans="1:9" ht="11.25" customHeight="1">
      <c r="A2712" s="3928" t="s">
        <v>2258</v>
      </c>
      <c r="B2712" s="3928" t="s">
        <v>14</v>
      </c>
      <c r="C2712" s="3928" t="s">
        <v>6271</v>
      </c>
      <c r="D2712" s="3928" t="s">
        <v>6272</v>
      </c>
      <c r="E2712" s="3928" t="s">
        <v>6273</v>
      </c>
      <c r="F2712" s="3928" t="s">
        <v>6274</v>
      </c>
      <c r="G2712" s="3928" t="s">
        <v>6275</v>
      </c>
      <c r="H2712" s="3928" t="s">
        <v>24</v>
      </c>
      <c r="I2712" s="3928" t="s">
        <v>857</v>
      </c>
    </row>
    <row r="2713" spans="1:9" ht="11.25" customHeight="1">
      <c r="A2713" s="3928" t="s">
        <v>2258</v>
      </c>
      <c r="B2713" s="3928" t="s">
        <v>14</v>
      </c>
      <c r="C2713" s="3928" t="s">
        <v>6276</v>
      </c>
      <c r="D2713" s="3928" t="s">
        <v>6277</v>
      </c>
      <c r="E2713" s="3928" t="s">
        <v>6278</v>
      </c>
      <c r="F2713" s="3928" t="s">
        <v>6279</v>
      </c>
      <c r="G2713" s="3928" t="s">
        <v>6280</v>
      </c>
      <c r="H2713" s="3928" t="s">
        <v>24</v>
      </c>
      <c r="I2713" s="3928" t="s">
        <v>857</v>
      </c>
    </row>
    <row r="2714" spans="1:9" ht="11.25" customHeight="1">
      <c r="A2714" s="3928" t="s">
        <v>2258</v>
      </c>
      <c r="B2714" s="3928" t="s">
        <v>14</v>
      </c>
      <c r="C2714" s="3928" t="s">
        <v>7893</v>
      </c>
      <c r="D2714" s="3928" t="s">
        <v>7894</v>
      </c>
      <c r="E2714" s="3928" t="s">
        <v>3095</v>
      </c>
      <c r="F2714" s="3928" t="s">
        <v>2826</v>
      </c>
      <c r="G2714" s="3928" t="s">
        <v>5351</v>
      </c>
      <c r="H2714" s="3928" t="s">
        <v>2945</v>
      </c>
      <c r="I2714" s="3928" t="s">
        <v>857</v>
      </c>
    </row>
    <row r="2715" spans="1:9" ht="11.25" customHeight="1">
      <c r="A2715" s="3928" t="s">
        <v>2258</v>
      </c>
      <c r="B2715" s="3928" t="s">
        <v>14</v>
      </c>
      <c r="C2715" s="3928" t="s">
        <v>7895</v>
      </c>
      <c r="D2715" s="3928" t="s">
        <v>7896</v>
      </c>
      <c r="E2715" s="3928" t="s">
        <v>3095</v>
      </c>
      <c r="F2715" s="3928" t="s">
        <v>7897</v>
      </c>
      <c r="G2715" s="3928" t="s">
        <v>6284</v>
      </c>
      <c r="H2715" s="3928" t="s">
        <v>24</v>
      </c>
      <c r="I2715" s="3928" t="s">
        <v>857</v>
      </c>
    </row>
    <row r="2716" spans="1:9" ht="11.25" customHeight="1">
      <c r="A2716" s="3928" t="s">
        <v>2258</v>
      </c>
      <c r="B2716" s="3928" t="s">
        <v>14</v>
      </c>
      <c r="C2716" s="3928" t="s">
        <v>7898</v>
      </c>
      <c r="D2716" s="3928" t="s">
        <v>7899</v>
      </c>
      <c r="E2716" s="3928" t="s">
        <v>3095</v>
      </c>
      <c r="F2716" s="3928" t="s">
        <v>7900</v>
      </c>
      <c r="G2716" s="3928" t="s">
        <v>3096</v>
      </c>
      <c r="H2716" s="3928" t="s">
        <v>24</v>
      </c>
      <c r="I2716" s="3928" t="s">
        <v>857</v>
      </c>
    </row>
    <row r="2717" spans="1:9" ht="11.25" customHeight="1">
      <c r="A2717" s="3928" t="s">
        <v>2258</v>
      </c>
      <c r="B2717" s="3928" t="s">
        <v>14</v>
      </c>
      <c r="C2717" s="3928" t="s">
        <v>6281</v>
      </c>
      <c r="D2717" s="3928" t="s">
        <v>6282</v>
      </c>
      <c r="E2717" s="3928" t="s">
        <v>3095</v>
      </c>
      <c r="F2717" s="3928" t="s">
        <v>6283</v>
      </c>
      <c r="G2717" s="3928" t="s">
        <v>6284</v>
      </c>
      <c r="H2717" s="3928" t="s">
        <v>2263</v>
      </c>
      <c r="I2717" s="3928" t="s">
        <v>857</v>
      </c>
    </row>
    <row r="2718" spans="1:9" ht="11.25" customHeight="1">
      <c r="A2718" s="3928" t="s">
        <v>2258</v>
      </c>
      <c r="B2718" s="3928" t="s">
        <v>14</v>
      </c>
      <c r="C2718" s="3928" t="s">
        <v>7901</v>
      </c>
      <c r="D2718" s="3928" t="s">
        <v>7902</v>
      </c>
      <c r="E2718" s="3928" t="s">
        <v>7903</v>
      </c>
      <c r="F2718" s="3928" t="s">
        <v>2701</v>
      </c>
      <c r="G2718" s="3928" t="s">
        <v>24</v>
      </c>
      <c r="H2718" s="3928" t="s">
        <v>2263</v>
      </c>
      <c r="I2718" s="3928" t="s">
        <v>857</v>
      </c>
    </row>
    <row r="2719" spans="1:9" ht="11.25" customHeight="1">
      <c r="A2719" s="3928" t="s">
        <v>2258</v>
      </c>
      <c r="B2719" s="3928" t="s">
        <v>14</v>
      </c>
      <c r="C2719" s="3928" t="s">
        <v>7904</v>
      </c>
      <c r="D2719" s="3928" t="s">
        <v>7905</v>
      </c>
      <c r="E2719" s="3928" t="s">
        <v>2821</v>
      </c>
      <c r="F2719" s="3928" t="s">
        <v>7906</v>
      </c>
      <c r="G2719" s="3928" t="s">
        <v>24</v>
      </c>
      <c r="H2719" s="3928" t="s">
        <v>24</v>
      </c>
      <c r="I2719" s="3928" t="s">
        <v>857</v>
      </c>
    </row>
    <row r="2720" spans="1:9" ht="11.25" customHeight="1">
      <c r="A2720" s="3928" t="s">
        <v>2258</v>
      </c>
      <c r="B2720" s="3928" t="s">
        <v>14</v>
      </c>
      <c r="C2720" s="3928" t="s">
        <v>7907</v>
      </c>
      <c r="D2720" s="3928" t="s">
        <v>7908</v>
      </c>
      <c r="E2720" s="3928" t="s">
        <v>2821</v>
      </c>
      <c r="F2720" s="3928" t="s">
        <v>5937</v>
      </c>
      <c r="G2720" s="3928" t="s">
        <v>24</v>
      </c>
      <c r="H2720" s="3928" t="s">
        <v>24</v>
      </c>
      <c r="I2720" s="3928" t="s">
        <v>857</v>
      </c>
    </row>
    <row r="2721" spans="1:9" ht="11.25" customHeight="1">
      <c r="A2721" s="3928" t="s">
        <v>2258</v>
      </c>
      <c r="B2721" s="3928" t="s">
        <v>14</v>
      </c>
      <c r="C2721" s="3928" t="s">
        <v>7909</v>
      </c>
      <c r="D2721" s="3928" t="s">
        <v>7910</v>
      </c>
      <c r="E2721" s="3928" t="s">
        <v>5851</v>
      </c>
      <c r="F2721" s="3928" t="s">
        <v>7911</v>
      </c>
      <c r="G2721" s="3928" t="s">
        <v>24</v>
      </c>
      <c r="H2721" s="3928" t="s">
        <v>24</v>
      </c>
      <c r="I2721" s="3928" t="s">
        <v>857</v>
      </c>
    </row>
    <row r="2722" spans="1:9" ht="11.25" customHeight="1">
      <c r="A2722" s="3928" t="s">
        <v>2258</v>
      </c>
      <c r="B2722" s="3928" t="s">
        <v>14</v>
      </c>
      <c r="C2722" s="3928" t="s">
        <v>7912</v>
      </c>
      <c r="D2722" s="3928" t="s">
        <v>7913</v>
      </c>
      <c r="E2722" s="3928" t="s">
        <v>7115</v>
      </c>
      <c r="F2722" s="3928" t="s">
        <v>7914</v>
      </c>
      <c r="G2722" s="3928" t="s">
        <v>24</v>
      </c>
      <c r="H2722" s="3928" t="s">
        <v>24</v>
      </c>
      <c r="I2722" s="3928" t="s">
        <v>857</v>
      </c>
    </row>
    <row r="2723" spans="1:9" ht="11.25" customHeight="1">
      <c r="A2723" s="3928" t="s">
        <v>2258</v>
      </c>
      <c r="B2723" s="3928" t="s">
        <v>14</v>
      </c>
      <c r="C2723" s="3928" t="s">
        <v>6294</v>
      </c>
      <c r="D2723" s="3928" t="s">
        <v>6295</v>
      </c>
      <c r="E2723" s="3928" t="s">
        <v>6296</v>
      </c>
      <c r="F2723" s="3928" t="s">
        <v>2397</v>
      </c>
      <c r="G2723" s="3928" t="s">
        <v>24</v>
      </c>
      <c r="H2723" s="3928" t="s">
        <v>24</v>
      </c>
      <c r="I2723" s="3928" t="s">
        <v>857</v>
      </c>
    </row>
    <row r="2724" spans="1:9" ht="11.25" customHeight="1">
      <c r="A2724" s="3928" t="s">
        <v>2258</v>
      </c>
      <c r="B2724" s="3928" t="s">
        <v>14</v>
      </c>
      <c r="C2724" s="3928" t="s">
        <v>6300</v>
      </c>
      <c r="D2724" s="3928" t="s">
        <v>6301</v>
      </c>
      <c r="E2724" s="3928" t="s">
        <v>5771</v>
      </c>
      <c r="F2724" s="3928" t="s">
        <v>6302</v>
      </c>
      <c r="G2724" s="3928" t="s">
        <v>24</v>
      </c>
      <c r="H2724" s="3928" t="s">
        <v>24</v>
      </c>
      <c r="I2724" s="3928" t="s">
        <v>857</v>
      </c>
    </row>
    <row r="2725" spans="1:9" ht="11.25" customHeight="1">
      <c r="A2725" s="3928" t="s">
        <v>2258</v>
      </c>
      <c r="B2725" s="3928" t="s">
        <v>14</v>
      </c>
      <c r="C2725" s="3928" t="s">
        <v>6303</v>
      </c>
      <c r="D2725" s="3928" t="s">
        <v>6304</v>
      </c>
      <c r="E2725" s="3928" t="s">
        <v>6305</v>
      </c>
      <c r="F2725" s="3928" t="s">
        <v>6306</v>
      </c>
      <c r="G2725" s="3928" t="s">
        <v>6307</v>
      </c>
      <c r="H2725" s="3928" t="s">
        <v>24</v>
      </c>
      <c r="I2725" s="3928" t="s">
        <v>857</v>
      </c>
    </row>
    <row r="2726" spans="1:9" ht="11.25" customHeight="1">
      <c r="A2726" s="3928" t="s">
        <v>2258</v>
      </c>
      <c r="B2726" s="3928" t="s">
        <v>14</v>
      </c>
      <c r="C2726" s="3928" t="s">
        <v>6311</v>
      </c>
      <c r="D2726" s="3928" t="s">
        <v>6312</v>
      </c>
      <c r="E2726" s="3928" t="s">
        <v>6313</v>
      </c>
      <c r="F2726" s="3928" t="s">
        <v>2796</v>
      </c>
      <c r="G2726" s="3928" t="s">
        <v>6314</v>
      </c>
      <c r="H2726" s="3928" t="s">
        <v>24</v>
      </c>
      <c r="I2726" s="3928" t="s">
        <v>857</v>
      </c>
    </row>
    <row r="2727" spans="1:9" ht="11.25" customHeight="1">
      <c r="A2727" s="3928" t="s">
        <v>2258</v>
      </c>
      <c r="B2727" s="3928" t="s">
        <v>14</v>
      </c>
      <c r="C2727" s="3928" t="s">
        <v>6315</v>
      </c>
      <c r="D2727" s="3928" t="s">
        <v>6316</v>
      </c>
      <c r="E2727" s="3928" t="s">
        <v>5246</v>
      </c>
      <c r="F2727" s="3928" t="s">
        <v>6317</v>
      </c>
      <c r="G2727" s="3928" t="s">
        <v>24</v>
      </c>
      <c r="H2727" s="3928" t="s">
        <v>24</v>
      </c>
      <c r="I2727" s="3928" t="s">
        <v>857</v>
      </c>
    </row>
    <row r="2728" spans="1:9" ht="11.25" customHeight="1">
      <c r="A2728" s="3928" t="s">
        <v>2258</v>
      </c>
      <c r="B2728" s="3928" t="s">
        <v>14</v>
      </c>
      <c r="C2728" s="3928" t="s">
        <v>7915</v>
      </c>
      <c r="D2728" s="3928" t="s">
        <v>6319</v>
      </c>
      <c r="E2728" s="3928" t="s">
        <v>6320</v>
      </c>
      <c r="F2728" s="3928" t="s">
        <v>2294</v>
      </c>
      <c r="G2728" s="3928" t="s">
        <v>24</v>
      </c>
      <c r="H2728" s="3928" t="s">
        <v>2848</v>
      </c>
      <c r="I2728" s="3928" t="s">
        <v>857</v>
      </c>
    </row>
    <row r="2729" spans="1:9" ht="11.25" customHeight="1">
      <c r="A2729" s="3928" t="s">
        <v>2258</v>
      </c>
      <c r="B2729" s="3928" t="s">
        <v>14</v>
      </c>
      <c r="C2729" s="3928" t="s">
        <v>7916</v>
      </c>
      <c r="D2729" s="3928" t="s">
        <v>7917</v>
      </c>
      <c r="E2729" s="3928" t="s">
        <v>7918</v>
      </c>
      <c r="F2729" s="3928" t="s">
        <v>2397</v>
      </c>
      <c r="G2729" s="3928" t="s">
        <v>24</v>
      </c>
      <c r="H2729" s="3928" t="s">
        <v>7919</v>
      </c>
      <c r="I2729" s="3928" t="s">
        <v>857</v>
      </c>
    </row>
    <row r="2730" spans="1:9" ht="11.25" customHeight="1">
      <c r="A2730" s="3928" t="s">
        <v>2258</v>
      </c>
      <c r="B2730" s="3928" t="s">
        <v>14</v>
      </c>
      <c r="C2730" s="3928" t="s">
        <v>7920</v>
      </c>
      <c r="D2730" s="3928" t="s">
        <v>7921</v>
      </c>
      <c r="E2730" s="3928" t="s">
        <v>5776</v>
      </c>
      <c r="F2730" s="3928" t="s">
        <v>7922</v>
      </c>
      <c r="G2730" s="3928" t="s">
        <v>7923</v>
      </c>
      <c r="H2730" s="3928" t="s">
        <v>24</v>
      </c>
      <c r="I2730" s="3928" t="s">
        <v>857</v>
      </c>
    </row>
    <row r="2731" spans="1:9" ht="11.25" customHeight="1">
      <c r="A2731" s="3928" t="s">
        <v>2258</v>
      </c>
      <c r="B2731" s="3928" t="s">
        <v>14</v>
      </c>
      <c r="C2731" s="3928" t="s">
        <v>7924</v>
      </c>
      <c r="D2731" s="3928" t="s">
        <v>7925</v>
      </c>
      <c r="E2731" s="3928" t="s">
        <v>3855</v>
      </c>
      <c r="F2731" s="3928" t="s">
        <v>7926</v>
      </c>
      <c r="G2731" s="3928" t="s">
        <v>7927</v>
      </c>
      <c r="H2731" s="3928" t="s">
        <v>2263</v>
      </c>
      <c r="I2731" s="3928" t="s">
        <v>857</v>
      </c>
    </row>
    <row r="2732" spans="1:9" ht="11.25" customHeight="1">
      <c r="A2732" s="3928" t="s">
        <v>2258</v>
      </c>
      <c r="B2732" s="3928" t="s">
        <v>14</v>
      </c>
      <c r="C2732" s="3928" t="s">
        <v>7928</v>
      </c>
      <c r="D2732" s="3928" t="s">
        <v>7929</v>
      </c>
      <c r="E2732" s="3928" t="s">
        <v>3855</v>
      </c>
      <c r="F2732" s="3928" t="s">
        <v>7900</v>
      </c>
      <c r="G2732" s="3928" t="s">
        <v>24</v>
      </c>
      <c r="H2732" s="3928" t="s">
        <v>2263</v>
      </c>
      <c r="I2732" s="3928" t="s">
        <v>857</v>
      </c>
    </row>
    <row r="2733" spans="1:9" ht="11.25" customHeight="1">
      <c r="A2733" s="3928" t="s">
        <v>2258</v>
      </c>
      <c r="B2733" s="3928" t="s">
        <v>14</v>
      </c>
      <c r="C2733" s="3928" t="s">
        <v>6326</v>
      </c>
      <c r="D2733" s="3928" t="s">
        <v>6327</v>
      </c>
      <c r="E2733" s="3928" t="s">
        <v>5851</v>
      </c>
      <c r="F2733" s="3928" t="s">
        <v>6328</v>
      </c>
      <c r="G2733" s="3928" t="s">
        <v>24</v>
      </c>
      <c r="H2733" s="3928" t="s">
        <v>24</v>
      </c>
      <c r="I2733" s="3928" t="s">
        <v>857</v>
      </c>
    </row>
    <row r="2734" spans="1:9" ht="11.25" customHeight="1">
      <c r="A2734" s="3928" t="s">
        <v>2258</v>
      </c>
      <c r="B2734" s="3928" t="s">
        <v>14</v>
      </c>
      <c r="C2734" s="3928" t="s">
        <v>6329</v>
      </c>
      <c r="D2734" s="3928" t="s">
        <v>6330</v>
      </c>
      <c r="E2734" s="3928" t="s">
        <v>2400</v>
      </c>
      <c r="F2734" s="3928" t="s">
        <v>2763</v>
      </c>
      <c r="G2734" s="3928" t="s">
        <v>24</v>
      </c>
      <c r="H2734" s="3928" t="s">
        <v>24</v>
      </c>
      <c r="I2734" s="3928" t="s">
        <v>912</v>
      </c>
    </row>
    <row r="2735" spans="1:9" ht="11.25" customHeight="1">
      <c r="A2735" s="3928" t="s">
        <v>2258</v>
      </c>
      <c r="B2735" s="3928" t="s">
        <v>14</v>
      </c>
      <c r="C2735" s="3928" t="s">
        <v>6477</v>
      </c>
      <c r="D2735" s="3928" t="s">
        <v>6478</v>
      </c>
      <c r="E2735" s="3928" t="s">
        <v>6479</v>
      </c>
      <c r="F2735" s="3928" t="s">
        <v>2469</v>
      </c>
      <c r="G2735" s="3928" t="s">
        <v>24</v>
      </c>
      <c r="H2735" s="3928" t="s">
        <v>24</v>
      </c>
      <c r="I2735" s="3928" t="s">
        <v>912</v>
      </c>
    </row>
    <row r="2736" spans="1:9" ht="11.25" customHeight="1">
      <c r="A2736" s="3928" t="s">
        <v>2258</v>
      </c>
      <c r="B2736" s="3928" t="s">
        <v>14</v>
      </c>
      <c r="C2736" s="3928" t="s">
        <v>6483</v>
      </c>
      <c r="D2736" s="3928" t="s">
        <v>6484</v>
      </c>
      <c r="E2736" s="3928" t="s">
        <v>6485</v>
      </c>
      <c r="F2736" s="3928" t="s">
        <v>49</v>
      </c>
      <c r="G2736" s="3928" t="s">
        <v>24</v>
      </c>
      <c r="H2736" s="3928" t="s">
        <v>2848</v>
      </c>
      <c r="I2736" s="3928" t="s">
        <v>912</v>
      </c>
    </row>
    <row r="2737" spans="1:9" ht="11.25" customHeight="1">
      <c r="A2737" s="3928" t="s">
        <v>2258</v>
      </c>
      <c r="B2737" s="3928" t="s">
        <v>14</v>
      </c>
      <c r="C2737" s="3928" t="s">
        <v>6490</v>
      </c>
      <c r="D2737" s="3928" t="s">
        <v>6491</v>
      </c>
      <c r="E2737" s="3928" t="s">
        <v>6492</v>
      </c>
      <c r="F2737" s="3928" t="s">
        <v>2359</v>
      </c>
      <c r="G2737" s="3928" t="s">
        <v>24</v>
      </c>
      <c r="H2737" s="3928" t="s">
        <v>6493</v>
      </c>
      <c r="I2737" s="3928" t="s">
        <v>912</v>
      </c>
    </row>
    <row r="2738" spans="1:9" ht="11.25" customHeight="1">
      <c r="A2738" s="3928" t="s">
        <v>2258</v>
      </c>
      <c r="B2738" s="3928" t="s">
        <v>14</v>
      </c>
      <c r="C2738" s="3928" t="s">
        <v>7930</v>
      </c>
      <c r="D2738" s="3928" t="s">
        <v>7931</v>
      </c>
      <c r="E2738" s="3928" t="s">
        <v>7932</v>
      </c>
      <c r="F2738" s="3928" t="s">
        <v>7933</v>
      </c>
      <c r="G2738" s="3928" t="s">
        <v>7934</v>
      </c>
      <c r="H2738" s="3928" t="s">
        <v>2263</v>
      </c>
      <c r="I2738" s="3928" t="s">
        <v>912</v>
      </c>
    </row>
    <row r="2739" spans="1:9" ht="11.25" customHeight="1">
      <c r="A2739" s="3928" t="s">
        <v>2258</v>
      </c>
      <c r="B2739" s="3928" t="s">
        <v>14</v>
      </c>
      <c r="C2739" s="3928" t="s">
        <v>7935</v>
      </c>
      <c r="D2739" s="3928" t="s">
        <v>7936</v>
      </c>
      <c r="E2739" s="3928" t="s">
        <v>7937</v>
      </c>
      <c r="F2739" s="3928" t="s">
        <v>2397</v>
      </c>
      <c r="G2739" s="3928" t="s">
        <v>3349</v>
      </c>
      <c r="H2739" s="3928" t="s">
        <v>24</v>
      </c>
      <c r="I2739" s="3928" t="s">
        <v>912</v>
      </c>
    </row>
    <row r="2740" spans="1:9" ht="11.25" customHeight="1">
      <c r="A2740" s="3928" t="s">
        <v>2258</v>
      </c>
      <c r="B2740" s="3928" t="s">
        <v>14</v>
      </c>
      <c r="C2740" s="3928" t="s">
        <v>2286</v>
      </c>
      <c r="D2740" s="3928" t="s">
        <v>2287</v>
      </c>
      <c r="E2740" s="3928" t="s">
        <v>2288</v>
      </c>
      <c r="F2740" s="3928" t="s">
        <v>2289</v>
      </c>
      <c r="G2740" s="3928" t="s">
        <v>2290</v>
      </c>
      <c r="H2740" s="3928" t="s">
        <v>24</v>
      </c>
      <c r="I2740" s="3928" t="s">
        <v>912</v>
      </c>
    </row>
    <row r="2741" spans="1:9" ht="11.25" customHeight="1">
      <c r="A2741" s="3928" t="s">
        <v>2258</v>
      </c>
      <c r="B2741" s="3928" t="s">
        <v>14</v>
      </c>
      <c r="C2741" s="3928" t="s">
        <v>2296</v>
      </c>
      <c r="D2741" s="3928" t="s">
        <v>2297</v>
      </c>
      <c r="E2741" s="3928" t="s">
        <v>2298</v>
      </c>
      <c r="F2741" s="3928" t="s">
        <v>2299</v>
      </c>
      <c r="G2741" s="3928" t="s">
        <v>2300</v>
      </c>
      <c r="H2741" s="3928" t="s">
        <v>24</v>
      </c>
      <c r="I2741" s="3928" t="s">
        <v>912</v>
      </c>
    </row>
    <row r="2742" spans="1:9" ht="11.25" customHeight="1">
      <c r="A2742" s="3928" t="s">
        <v>2258</v>
      </c>
      <c r="B2742" s="3928" t="s">
        <v>14</v>
      </c>
      <c r="C2742" s="3928" t="s">
        <v>2301</v>
      </c>
      <c r="D2742" s="3928" t="s">
        <v>2302</v>
      </c>
      <c r="E2742" s="3928" t="s">
        <v>2303</v>
      </c>
      <c r="F2742" s="3928" t="s">
        <v>2304</v>
      </c>
      <c r="G2742" s="3928" t="s">
        <v>2305</v>
      </c>
      <c r="H2742" s="3928" t="s">
        <v>24</v>
      </c>
      <c r="I2742" s="3928" t="s">
        <v>912</v>
      </c>
    </row>
    <row r="2743" spans="1:9" ht="11.25" customHeight="1">
      <c r="A2743" s="3928" t="s">
        <v>2258</v>
      </c>
      <c r="B2743" s="3928" t="s">
        <v>14</v>
      </c>
      <c r="C2743" s="3928" t="s">
        <v>7938</v>
      </c>
      <c r="D2743" s="3928" t="s">
        <v>7939</v>
      </c>
      <c r="E2743" s="3928" t="s">
        <v>7940</v>
      </c>
      <c r="F2743" s="3928" t="s">
        <v>7941</v>
      </c>
      <c r="G2743" s="3928" t="s">
        <v>7942</v>
      </c>
      <c r="H2743" s="3928" t="s">
        <v>24</v>
      </c>
      <c r="I2743" s="3928" t="s">
        <v>912</v>
      </c>
    </row>
    <row r="2744" spans="1:9" ht="11.25" customHeight="1">
      <c r="A2744" s="3928" t="s">
        <v>2258</v>
      </c>
      <c r="B2744" s="3928" t="s">
        <v>14</v>
      </c>
      <c r="C2744" s="3928" t="s">
        <v>2315</v>
      </c>
      <c r="D2744" s="3928" t="s">
        <v>2316</v>
      </c>
      <c r="E2744" s="3928" t="s">
        <v>2317</v>
      </c>
      <c r="F2744" s="3928" t="s">
        <v>2289</v>
      </c>
      <c r="G2744" s="3928" t="s">
        <v>24</v>
      </c>
      <c r="H2744" s="3928" t="s">
        <v>24</v>
      </c>
      <c r="I2744" s="3928" t="s">
        <v>912</v>
      </c>
    </row>
    <row r="2745" spans="1:9" ht="11.25" customHeight="1">
      <c r="A2745" s="3928" t="s">
        <v>2258</v>
      </c>
      <c r="B2745" s="3928" t="s">
        <v>14</v>
      </c>
      <c r="C2745" s="3928" t="s">
        <v>6494</v>
      </c>
      <c r="D2745" s="3928" t="s">
        <v>6495</v>
      </c>
      <c r="E2745" s="3928" t="s">
        <v>6496</v>
      </c>
      <c r="F2745" s="3928" t="s">
        <v>2304</v>
      </c>
      <c r="G2745" s="3928" t="s">
        <v>6497</v>
      </c>
      <c r="H2745" s="3928" t="s">
        <v>24</v>
      </c>
      <c r="I2745" s="3928" t="s">
        <v>912</v>
      </c>
    </row>
    <row r="2746" spans="1:9" ht="11.25" customHeight="1">
      <c r="A2746" s="3928" t="s">
        <v>2258</v>
      </c>
      <c r="B2746" s="3928" t="s">
        <v>14</v>
      </c>
      <c r="C2746" s="3928" t="s">
        <v>2332</v>
      </c>
      <c r="D2746" s="3928" t="s">
        <v>2333</v>
      </c>
      <c r="E2746" s="3928" t="s">
        <v>2334</v>
      </c>
      <c r="F2746" s="3928" t="s">
        <v>2294</v>
      </c>
      <c r="G2746" s="3928" t="s">
        <v>2335</v>
      </c>
      <c r="H2746" s="3928" t="s">
        <v>24</v>
      </c>
      <c r="I2746" s="3928" t="s">
        <v>912</v>
      </c>
    </row>
    <row r="2747" spans="1:9" ht="11.25" customHeight="1">
      <c r="A2747" s="3928" t="s">
        <v>2258</v>
      </c>
      <c r="B2747" s="3928" t="s">
        <v>14</v>
      </c>
      <c r="C2747" s="3928" t="s">
        <v>2336</v>
      </c>
      <c r="D2747" s="3928" t="s">
        <v>2337</v>
      </c>
      <c r="E2747" s="3928" t="s">
        <v>2338</v>
      </c>
      <c r="F2747" s="3928" t="s">
        <v>2339</v>
      </c>
      <c r="G2747" s="3928" t="s">
        <v>2340</v>
      </c>
      <c r="H2747" s="3928" t="s">
        <v>24</v>
      </c>
      <c r="I2747" s="3928" t="s">
        <v>912</v>
      </c>
    </row>
    <row r="2748" spans="1:9" ht="11.25" customHeight="1">
      <c r="A2748" s="3928" t="s">
        <v>2258</v>
      </c>
      <c r="B2748" s="3928" t="s">
        <v>14</v>
      </c>
      <c r="C2748" s="3928" t="s">
        <v>6498</v>
      </c>
      <c r="D2748" s="3928" t="s">
        <v>6499</v>
      </c>
      <c r="E2748" s="3928" t="s">
        <v>6500</v>
      </c>
      <c r="F2748" s="3928" t="s">
        <v>2359</v>
      </c>
      <c r="G2748" s="3928" t="s">
        <v>6501</v>
      </c>
      <c r="H2748" s="3928" t="s">
        <v>24</v>
      </c>
      <c r="I2748" s="3928" t="s">
        <v>912</v>
      </c>
    </row>
    <row r="2749" spans="1:9" ht="11.25" customHeight="1">
      <c r="A2749" s="3928" t="s">
        <v>2258</v>
      </c>
      <c r="B2749" s="3928" t="s">
        <v>14</v>
      </c>
      <c r="C2749" s="3928" t="s">
        <v>2351</v>
      </c>
      <c r="D2749" s="3928" t="s">
        <v>2352</v>
      </c>
      <c r="E2749" s="3928" t="s">
        <v>2353</v>
      </c>
      <c r="F2749" s="3928" t="s">
        <v>2354</v>
      </c>
      <c r="G2749" s="3928" t="s">
        <v>2355</v>
      </c>
      <c r="H2749" s="3928" t="s">
        <v>24</v>
      </c>
      <c r="I2749" s="3928" t="s">
        <v>912</v>
      </c>
    </row>
    <row r="2750" spans="1:9" ht="11.25" customHeight="1">
      <c r="A2750" s="3928" t="s">
        <v>2258</v>
      </c>
      <c r="B2750" s="3928" t="s">
        <v>14</v>
      </c>
      <c r="C2750" s="3928" t="s">
        <v>6502</v>
      </c>
      <c r="D2750" s="3928" t="s">
        <v>6503</v>
      </c>
      <c r="E2750" s="3928" t="s">
        <v>6504</v>
      </c>
      <c r="F2750" s="3928" t="s">
        <v>2294</v>
      </c>
      <c r="G2750" s="3928" t="s">
        <v>6505</v>
      </c>
      <c r="H2750" s="3928" t="s">
        <v>24</v>
      </c>
      <c r="I2750" s="3928" t="s">
        <v>912</v>
      </c>
    </row>
    <row r="2751" spans="1:9" ht="11.25" customHeight="1">
      <c r="A2751" s="3928" t="s">
        <v>2258</v>
      </c>
      <c r="B2751" s="3928" t="s">
        <v>14</v>
      </c>
      <c r="C2751" s="3928" t="s">
        <v>6506</v>
      </c>
      <c r="D2751" s="3928" t="s">
        <v>6507</v>
      </c>
      <c r="E2751" s="3928" t="s">
        <v>6508</v>
      </c>
      <c r="F2751" s="3928" t="s">
        <v>2587</v>
      </c>
      <c r="G2751" s="3928" t="s">
        <v>6509</v>
      </c>
      <c r="H2751" s="3928" t="s">
        <v>24</v>
      </c>
      <c r="I2751" s="3928" t="s">
        <v>912</v>
      </c>
    </row>
    <row r="2752" spans="1:9" ht="11.25" customHeight="1">
      <c r="A2752" s="3928" t="s">
        <v>2258</v>
      </c>
      <c r="B2752" s="3928" t="s">
        <v>14</v>
      </c>
      <c r="C2752" s="3928" t="s">
        <v>6510</v>
      </c>
      <c r="D2752" s="3928" t="s">
        <v>6507</v>
      </c>
      <c r="E2752" s="3928" t="s">
        <v>6511</v>
      </c>
      <c r="F2752" s="3928" t="s">
        <v>2294</v>
      </c>
      <c r="G2752" s="3928" t="s">
        <v>6512</v>
      </c>
      <c r="H2752" s="3928" t="s">
        <v>24</v>
      </c>
      <c r="I2752" s="3928" t="s">
        <v>912</v>
      </c>
    </row>
    <row r="2753" spans="1:9" ht="11.25" customHeight="1">
      <c r="A2753" s="3928" t="s">
        <v>2258</v>
      </c>
      <c r="B2753" s="3928" t="s">
        <v>14</v>
      </c>
      <c r="C2753" s="3928" t="s">
        <v>6513</v>
      </c>
      <c r="D2753" s="3928" t="s">
        <v>6514</v>
      </c>
      <c r="E2753" s="3928" t="s">
        <v>6515</v>
      </c>
      <c r="F2753" s="3928" t="s">
        <v>2567</v>
      </c>
      <c r="G2753" s="3928" t="s">
        <v>24</v>
      </c>
      <c r="H2753" s="3928" t="s">
        <v>24</v>
      </c>
      <c r="I2753" s="3928" t="s">
        <v>912</v>
      </c>
    </row>
    <row r="2754" spans="1:9" ht="11.25" customHeight="1">
      <c r="A2754" s="3928" t="s">
        <v>2258</v>
      </c>
      <c r="B2754" s="3928" t="s">
        <v>14</v>
      </c>
      <c r="C2754" s="3928" t="s">
        <v>2372</v>
      </c>
      <c r="D2754" s="3928" t="s">
        <v>2373</v>
      </c>
      <c r="E2754" s="3928" t="s">
        <v>2374</v>
      </c>
      <c r="F2754" s="3928" t="s">
        <v>2375</v>
      </c>
      <c r="G2754" s="3928" t="s">
        <v>2376</v>
      </c>
      <c r="H2754" s="3928" t="s">
        <v>24</v>
      </c>
      <c r="I2754" s="3928" t="s">
        <v>912</v>
      </c>
    </row>
    <row r="2755" spans="1:9" ht="11.25" customHeight="1">
      <c r="A2755" s="3928" t="s">
        <v>2258</v>
      </c>
      <c r="B2755" s="3928" t="s">
        <v>14</v>
      </c>
      <c r="C2755" s="3928" t="s">
        <v>2377</v>
      </c>
      <c r="D2755" s="3928" t="s">
        <v>2378</v>
      </c>
      <c r="E2755" s="3928" t="s">
        <v>2379</v>
      </c>
      <c r="F2755" s="3928" t="s">
        <v>2359</v>
      </c>
      <c r="G2755" s="3928" t="s">
        <v>2380</v>
      </c>
      <c r="H2755" s="3928" t="s">
        <v>2381</v>
      </c>
      <c r="I2755" s="3928" t="s">
        <v>912</v>
      </c>
    </row>
    <row r="2756" spans="1:9" ht="11.25" customHeight="1">
      <c r="A2756" s="3928" t="s">
        <v>2258</v>
      </c>
      <c r="B2756" s="3928" t="s">
        <v>14</v>
      </c>
      <c r="C2756" s="3928" t="s">
        <v>6516</v>
      </c>
      <c r="D2756" s="3928" t="s">
        <v>6517</v>
      </c>
      <c r="E2756" s="3928" t="s">
        <v>6492</v>
      </c>
      <c r="F2756" s="3928" t="s">
        <v>6518</v>
      </c>
      <c r="G2756" s="3928" t="s">
        <v>6519</v>
      </c>
      <c r="H2756" s="3928" t="s">
        <v>2263</v>
      </c>
      <c r="I2756" s="3928" t="s">
        <v>912</v>
      </c>
    </row>
    <row r="2757" spans="1:9" ht="11.25" customHeight="1">
      <c r="A2757" s="3928" t="s">
        <v>2258</v>
      </c>
      <c r="B2757" s="3928" t="s">
        <v>14</v>
      </c>
      <c r="C2757" s="3928" t="s">
        <v>6520</v>
      </c>
      <c r="D2757" s="3928" t="s">
        <v>6517</v>
      </c>
      <c r="E2757" s="3928" t="s">
        <v>6521</v>
      </c>
      <c r="F2757" s="3928" t="s">
        <v>6522</v>
      </c>
      <c r="G2757" s="3928" t="s">
        <v>24</v>
      </c>
      <c r="H2757" s="3928" t="s">
        <v>24</v>
      </c>
      <c r="I2757" s="3928" t="s">
        <v>912</v>
      </c>
    </row>
    <row r="2758" spans="1:9" ht="11.25" customHeight="1">
      <c r="A2758" s="3928" t="s">
        <v>2258</v>
      </c>
      <c r="B2758" s="3928" t="s">
        <v>14</v>
      </c>
      <c r="C2758" s="3928" t="s">
        <v>2390</v>
      </c>
      <c r="D2758" s="3928" t="s">
        <v>2391</v>
      </c>
      <c r="E2758" s="3928" t="s">
        <v>2392</v>
      </c>
      <c r="F2758" s="3928" t="s">
        <v>2393</v>
      </c>
      <c r="G2758" s="3928" t="s">
        <v>24</v>
      </c>
      <c r="H2758" s="3928" t="s">
        <v>24</v>
      </c>
      <c r="I2758" s="3928" t="s">
        <v>912</v>
      </c>
    </row>
    <row r="2759" spans="1:9" ht="11.25" customHeight="1">
      <c r="A2759" s="3928" t="s">
        <v>2258</v>
      </c>
      <c r="B2759" s="3928" t="s">
        <v>14</v>
      </c>
      <c r="C2759" s="3928" t="s">
        <v>2398</v>
      </c>
      <c r="D2759" s="3928" t="s">
        <v>2399</v>
      </c>
      <c r="E2759" s="3928" t="s">
        <v>2400</v>
      </c>
      <c r="F2759" s="3928" t="s">
        <v>2393</v>
      </c>
      <c r="G2759" s="3928" t="s">
        <v>2401</v>
      </c>
      <c r="H2759" s="3928" t="s">
        <v>24</v>
      </c>
      <c r="I2759" s="3928" t="s">
        <v>912</v>
      </c>
    </row>
    <row r="2760" spans="1:9" ht="11.25" customHeight="1">
      <c r="A2760" s="3928" t="s">
        <v>2258</v>
      </c>
      <c r="B2760" s="3928" t="s">
        <v>14</v>
      </c>
      <c r="C2760" s="3928" t="s">
        <v>6523</v>
      </c>
      <c r="D2760" s="3928" t="s">
        <v>6524</v>
      </c>
      <c r="E2760" s="3928" t="s">
        <v>6525</v>
      </c>
      <c r="F2760" s="3928" t="s">
        <v>2289</v>
      </c>
      <c r="G2760" s="3928" t="s">
        <v>24</v>
      </c>
      <c r="H2760" s="3928" t="s">
        <v>24</v>
      </c>
      <c r="I2760" s="3928" t="s">
        <v>912</v>
      </c>
    </row>
    <row r="2761" spans="1:9" ht="11.25" customHeight="1">
      <c r="A2761" s="3928" t="s">
        <v>2258</v>
      </c>
      <c r="B2761" s="3928" t="s">
        <v>14</v>
      </c>
      <c r="C2761" s="3928" t="s">
        <v>2402</v>
      </c>
      <c r="D2761" s="3928" t="s">
        <v>2403</v>
      </c>
      <c r="E2761" s="3928" t="s">
        <v>2404</v>
      </c>
      <c r="F2761" s="3928" t="s">
        <v>2405</v>
      </c>
      <c r="G2761" s="3928" t="s">
        <v>24</v>
      </c>
      <c r="H2761" s="3928" t="s">
        <v>24</v>
      </c>
      <c r="I2761" s="3928" t="s">
        <v>912</v>
      </c>
    </row>
    <row r="2762" spans="1:9" ht="11.25" customHeight="1">
      <c r="A2762" s="3928" t="s">
        <v>2258</v>
      </c>
      <c r="B2762" s="3928" t="s">
        <v>14</v>
      </c>
      <c r="C2762" s="3928" t="s">
        <v>2426</v>
      </c>
      <c r="D2762" s="3928" t="s">
        <v>2427</v>
      </c>
      <c r="E2762" s="3928" t="s">
        <v>2428</v>
      </c>
      <c r="F2762" s="3928" t="s">
        <v>2429</v>
      </c>
      <c r="G2762" s="3928" t="s">
        <v>2430</v>
      </c>
      <c r="H2762" s="3928" t="s">
        <v>24</v>
      </c>
      <c r="I2762" s="3928" t="s">
        <v>912</v>
      </c>
    </row>
    <row r="2763" spans="1:9" ht="11.25" customHeight="1">
      <c r="A2763" s="3928" t="s">
        <v>2258</v>
      </c>
      <c r="B2763" s="3928" t="s">
        <v>14</v>
      </c>
      <c r="C2763" s="3928" t="s">
        <v>6526</v>
      </c>
      <c r="D2763" s="3928" t="s">
        <v>6527</v>
      </c>
      <c r="E2763" s="3928" t="s">
        <v>6528</v>
      </c>
      <c r="F2763" s="3928" t="s">
        <v>2289</v>
      </c>
      <c r="G2763" s="3928" t="s">
        <v>6529</v>
      </c>
      <c r="H2763" s="3928" t="s">
        <v>24</v>
      </c>
      <c r="I2763" s="3928" t="s">
        <v>912</v>
      </c>
    </row>
    <row r="2764" spans="1:9" ht="11.25" customHeight="1">
      <c r="A2764" s="3928" t="s">
        <v>2258</v>
      </c>
      <c r="B2764" s="3928" t="s">
        <v>14</v>
      </c>
      <c r="C2764" s="3928" t="s">
        <v>7943</v>
      </c>
      <c r="D2764" s="3928" t="s">
        <v>7944</v>
      </c>
      <c r="E2764" s="3928" t="s">
        <v>7945</v>
      </c>
      <c r="F2764" s="3928" t="s">
        <v>2304</v>
      </c>
      <c r="G2764" s="3928" t="s">
        <v>7946</v>
      </c>
      <c r="H2764" s="3928" t="s">
        <v>24</v>
      </c>
      <c r="I2764" s="3928" t="s">
        <v>912</v>
      </c>
    </row>
    <row r="2765" spans="1:9" ht="11.25" customHeight="1">
      <c r="A2765" s="3928" t="s">
        <v>2258</v>
      </c>
      <c r="B2765" s="3928" t="s">
        <v>14</v>
      </c>
      <c r="C2765" s="3928" t="s">
        <v>2431</v>
      </c>
      <c r="D2765" s="3928" t="s">
        <v>2432</v>
      </c>
      <c r="E2765" s="3928" t="s">
        <v>2433</v>
      </c>
      <c r="F2765" s="3928" t="s">
        <v>2289</v>
      </c>
      <c r="G2765" s="3928" t="s">
        <v>2434</v>
      </c>
      <c r="H2765" s="3928" t="s">
        <v>24</v>
      </c>
      <c r="I2765" s="3928" t="s">
        <v>912</v>
      </c>
    </row>
    <row r="2766" spans="1:9" ht="11.25" customHeight="1">
      <c r="A2766" s="3928" t="s">
        <v>2258</v>
      </c>
      <c r="B2766" s="3928" t="s">
        <v>14</v>
      </c>
      <c r="C2766" s="3928" t="s">
        <v>6530</v>
      </c>
      <c r="D2766" s="3928" t="s">
        <v>6531</v>
      </c>
      <c r="E2766" s="3928" t="s">
        <v>6532</v>
      </c>
      <c r="F2766" s="3928" t="s">
        <v>2587</v>
      </c>
      <c r="G2766" s="3928" t="s">
        <v>6533</v>
      </c>
      <c r="H2766" s="3928" t="s">
        <v>24</v>
      </c>
      <c r="I2766" s="3928" t="s">
        <v>912</v>
      </c>
    </row>
    <row r="2767" spans="1:9" ht="11.25" customHeight="1">
      <c r="A2767" s="3928" t="s">
        <v>2258</v>
      </c>
      <c r="B2767" s="3928" t="s">
        <v>14</v>
      </c>
      <c r="C2767" s="3928" t="s">
        <v>2461</v>
      </c>
      <c r="D2767" s="3928" t="s">
        <v>2462</v>
      </c>
      <c r="E2767" s="3928" t="s">
        <v>2463</v>
      </c>
      <c r="F2767" s="3928" t="s">
        <v>2464</v>
      </c>
      <c r="G2767" s="3928" t="s">
        <v>2465</v>
      </c>
      <c r="H2767" s="3928" t="s">
        <v>24</v>
      </c>
      <c r="I2767" s="3928" t="s">
        <v>912</v>
      </c>
    </row>
    <row r="2768" spans="1:9" ht="11.25" customHeight="1">
      <c r="A2768" s="3928" t="s">
        <v>2258</v>
      </c>
      <c r="B2768" s="3928" t="s">
        <v>14</v>
      </c>
      <c r="C2768" s="3928" t="s">
        <v>2466</v>
      </c>
      <c r="D2768" s="3928" t="s">
        <v>2467</v>
      </c>
      <c r="E2768" s="3928" t="s">
        <v>2468</v>
      </c>
      <c r="F2768" s="3928" t="s">
        <v>2469</v>
      </c>
      <c r="G2768" s="3928" t="s">
        <v>24</v>
      </c>
      <c r="H2768" s="3928" t="s">
        <v>24</v>
      </c>
      <c r="I2768" s="3928" t="s">
        <v>912</v>
      </c>
    </row>
    <row r="2769" spans="1:9" ht="11.25" customHeight="1">
      <c r="A2769" s="3928" t="s">
        <v>2258</v>
      </c>
      <c r="B2769" s="3928" t="s">
        <v>14</v>
      </c>
      <c r="C2769" s="3928" t="s">
        <v>6540</v>
      </c>
      <c r="D2769" s="3928" t="s">
        <v>6541</v>
      </c>
      <c r="E2769" s="3928" t="s">
        <v>6542</v>
      </c>
      <c r="F2769" s="3928" t="s">
        <v>2587</v>
      </c>
      <c r="G2769" s="3928" t="s">
        <v>6543</v>
      </c>
      <c r="H2769" s="3928" t="s">
        <v>24</v>
      </c>
      <c r="I2769" s="3928" t="s">
        <v>912</v>
      </c>
    </row>
    <row r="2770" spans="1:9" ht="11.25" customHeight="1">
      <c r="A2770" s="3928" t="s">
        <v>2258</v>
      </c>
      <c r="B2770" s="3928" t="s">
        <v>14</v>
      </c>
      <c r="C2770" s="3928" t="s">
        <v>2470</v>
      </c>
      <c r="D2770" s="3928" t="s">
        <v>2471</v>
      </c>
      <c r="E2770" s="3928" t="s">
        <v>2472</v>
      </c>
      <c r="F2770" s="3928" t="s">
        <v>2473</v>
      </c>
      <c r="G2770" s="3928" t="s">
        <v>2474</v>
      </c>
      <c r="H2770" s="3928" t="s">
        <v>2475</v>
      </c>
      <c r="I2770" s="3928" t="s">
        <v>912</v>
      </c>
    </row>
    <row r="2771" spans="1:9" ht="11.25" customHeight="1">
      <c r="A2771" s="3928" t="s">
        <v>2258</v>
      </c>
      <c r="B2771" s="3928" t="s">
        <v>14</v>
      </c>
      <c r="C2771" s="3928" t="s">
        <v>2476</v>
      </c>
      <c r="D2771" s="3928" t="s">
        <v>2477</v>
      </c>
      <c r="E2771" s="3928" t="s">
        <v>2478</v>
      </c>
      <c r="F2771" s="3928" t="s">
        <v>2479</v>
      </c>
      <c r="G2771" s="3928" t="s">
        <v>24</v>
      </c>
      <c r="H2771" s="3928" t="s">
        <v>24</v>
      </c>
      <c r="I2771" s="3928" t="s">
        <v>912</v>
      </c>
    </row>
    <row r="2772" spans="1:9" ht="11.25" customHeight="1">
      <c r="A2772" s="3928" t="s">
        <v>2258</v>
      </c>
      <c r="B2772" s="3928" t="s">
        <v>14</v>
      </c>
      <c r="C2772" s="3928" t="s">
        <v>6544</v>
      </c>
      <c r="D2772" s="3928" t="s">
        <v>6545</v>
      </c>
      <c r="E2772" s="3928" t="s">
        <v>6546</v>
      </c>
      <c r="F2772" s="3928" t="s">
        <v>2294</v>
      </c>
      <c r="G2772" s="3928" t="s">
        <v>6547</v>
      </c>
      <c r="H2772" s="3928" t="s">
        <v>24</v>
      </c>
      <c r="I2772" s="3928" t="s">
        <v>912</v>
      </c>
    </row>
    <row r="2773" spans="1:9" ht="11.25" customHeight="1">
      <c r="A2773" s="3928" t="s">
        <v>2258</v>
      </c>
      <c r="B2773" s="3928" t="s">
        <v>14</v>
      </c>
      <c r="C2773" s="3928" t="s">
        <v>7947</v>
      </c>
      <c r="D2773" s="3928" t="s">
        <v>7948</v>
      </c>
      <c r="E2773" s="3928" t="s">
        <v>7949</v>
      </c>
      <c r="F2773" s="3928" t="s">
        <v>3841</v>
      </c>
      <c r="G2773" s="3928" t="s">
        <v>7950</v>
      </c>
      <c r="H2773" s="3928" t="s">
        <v>7951</v>
      </c>
      <c r="I2773" s="3928" t="s">
        <v>912</v>
      </c>
    </row>
    <row r="2774" spans="1:9" ht="11.25" customHeight="1">
      <c r="A2774" s="3928" t="s">
        <v>2258</v>
      </c>
      <c r="B2774" s="3928" t="s">
        <v>14</v>
      </c>
      <c r="C2774" s="3928" t="s">
        <v>2492</v>
      </c>
      <c r="D2774" s="3928" t="s">
        <v>2493</v>
      </c>
      <c r="E2774" s="3928" t="s">
        <v>2494</v>
      </c>
      <c r="F2774" s="3928" t="s">
        <v>2304</v>
      </c>
      <c r="G2774" s="3928" t="s">
        <v>2495</v>
      </c>
      <c r="H2774" s="3928" t="s">
        <v>24</v>
      </c>
      <c r="I2774" s="3928" t="s">
        <v>912</v>
      </c>
    </row>
    <row r="2775" spans="1:9" ht="11.25" customHeight="1">
      <c r="A2775" s="3928" t="s">
        <v>2258</v>
      </c>
      <c r="B2775" s="3928" t="s">
        <v>14</v>
      </c>
      <c r="C2775" s="3928" t="s">
        <v>6548</v>
      </c>
      <c r="D2775" s="3928" t="s">
        <v>6549</v>
      </c>
      <c r="E2775" s="3928" t="s">
        <v>6550</v>
      </c>
      <c r="F2775" s="3928" t="s">
        <v>6551</v>
      </c>
      <c r="G2775" s="3928" t="s">
        <v>6552</v>
      </c>
      <c r="H2775" s="3928" t="s">
        <v>24</v>
      </c>
      <c r="I2775" s="3928" t="s">
        <v>912</v>
      </c>
    </row>
    <row r="2776" spans="1:9" ht="11.25" customHeight="1">
      <c r="A2776" s="3928" t="s">
        <v>2258</v>
      </c>
      <c r="B2776" s="3928" t="s">
        <v>14</v>
      </c>
      <c r="C2776" s="3928" t="s">
        <v>6553</v>
      </c>
      <c r="D2776" s="3928" t="s">
        <v>6554</v>
      </c>
      <c r="E2776" s="3928" t="s">
        <v>6555</v>
      </c>
      <c r="F2776" s="3928" t="s">
        <v>2473</v>
      </c>
      <c r="G2776" s="3928" t="s">
        <v>2502</v>
      </c>
      <c r="H2776" s="3928" t="s">
        <v>24</v>
      </c>
      <c r="I2776" s="3928" t="s">
        <v>912</v>
      </c>
    </row>
    <row r="2777" spans="1:9" ht="11.25" customHeight="1">
      <c r="A2777" s="3928" t="s">
        <v>2258</v>
      </c>
      <c r="B2777" s="3928" t="s">
        <v>14</v>
      </c>
      <c r="C2777" s="3928" t="s">
        <v>2503</v>
      </c>
      <c r="D2777" s="3928" t="s">
        <v>2504</v>
      </c>
      <c r="E2777" s="3928" t="s">
        <v>2505</v>
      </c>
      <c r="F2777" s="3928" t="s">
        <v>2469</v>
      </c>
      <c r="G2777" s="3928" t="s">
        <v>24</v>
      </c>
      <c r="H2777" s="3928" t="s">
        <v>24</v>
      </c>
      <c r="I2777" s="3928" t="s">
        <v>912</v>
      </c>
    </row>
    <row r="2778" spans="1:9" ht="11.25" customHeight="1">
      <c r="A2778" s="3928" t="s">
        <v>2258</v>
      </c>
      <c r="B2778" s="3928" t="s">
        <v>14</v>
      </c>
      <c r="C2778" s="3928" t="s">
        <v>2506</v>
      </c>
      <c r="D2778" s="3928" t="s">
        <v>2507</v>
      </c>
      <c r="E2778" s="3928" t="s">
        <v>2508</v>
      </c>
      <c r="F2778" s="3928" t="s">
        <v>2344</v>
      </c>
      <c r="G2778" s="3928" t="s">
        <v>2509</v>
      </c>
      <c r="H2778" s="3928" t="s">
        <v>24</v>
      </c>
      <c r="I2778" s="3928" t="s">
        <v>912</v>
      </c>
    </row>
    <row r="2779" spans="1:9" ht="11.25" customHeight="1">
      <c r="A2779" s="3928" t="s">
        <v>2258</v>
      </c>
      <c r="B2779" s="3928" t="s">
        <v>14</v>
      </c>
      <c r="C2779" s="3928" t="s">
        <v>2515</v>
      </c>
      <c r="D2779" s="3928" t="s">
        <v>2516</v>
      </c>
      <c r="E2779" s="3928" t="s">
        <v>2517</v>
      </c>
      <c r="F2779" s="3928" t="s">
        <v>2262</v>
      </c>
      <c r="G2779" s="3928" t="s">
        <v>2518</v>
      </c>
      <c r="H2779" s="3928" t="s">
        <v>24</v>
      </c>
      <c r="I2779" s="3928" t="s">
        <v>912</v>
      </c>
    </row>
    <row r="2780" spans="1:9" ht="11.25" customHeight="1">
      <c r="A2780" s="3928" t="s">
        <v>2258</v>
      </c>
      <c r="B2780" s="3928" t="s">
        <v>14</v>
      </c>
      <c r="C2780" s="3928" t="s">
        <v>2519</v>
      </c>
      <c r="D2780" s="3928" t="s">
        <v>2520</v>
      </c>
      <c r="E2780" s="3928" t="s">
        <v>2521</v>
      </c>
      <c r="F2780" s="3928" t="s">
        <v>2522</v>
      </c>
      <c r="G2780" s="3928" t="s">
        <v>2523</v>
      </c>
      <c r="H2780" s="3928" t="s">
        <v>24</v>
      </c>
      <c r="I2780" s="3928" t="s">
        <v>912</v>
      </c>
    </row>
    <row r="2781" spans="1:9" ht="11.25" customHeight="1">
      <c r="A2781" s="3928" t="s">
        <v>2258</v>
      </c>
      <c r="B2781" s="3928" t="s">
        <v>14</v>
      </c>
      <c r="C2781" s="3928" t="s">
        <v>2528</v>
      </c>
      <c r="D2781" s="3928" t="s">
        <v>2529</v>
      </c>
      <c r="E2781" s="3928" t="s">
        <v>2530</v>
      </c>
      <c r="F2781" s="3928" t="s">
        <v>2473</v>
      </c>
      <c r="G2781" s="3928" t="s">
        <v>2531</v>
      </c>
      <c r="H2781" s="3928" t="s">
        <v>24</v>
      </c>
      <c r="I2781" s="3928" t="s">
        <v>912</v>
      </c>
    </row>
    <row r="2782" spans="1:9" ht="11.25" customHeight="1">
      <c r="A2782" s="3928" t="s">
        <v>2258</v>
      </c>
      <c r="B2782" s="3928" t="s">
        <v>14</v>
      </c>
      <c r="C2782" s="3928" t="s">
        <v>2541</v>
      </c>
      <c r="D2782" s="3928" t="s">
        <v>2542</v>
      </c>
      <c r="E2782" s="3928" t="s">
        <v>2543</v>
      </c>
      <c r="F2782" s="3928" t="s">
        <v>2544</v>
      </c>
      <c r="G2782" s="3928" t="s">
        <v>24</v>
      </c>
      <c r="H2782" s="3928" t="s">
        <v>24</v>
      </c>
      <c r="I2782" s="3928" t="s">
        <v>912</v>
      </c>
    </row>
    <row r="2783" spans="1:9" ht="11.25" customHeight="1">
      <c r="A2783" s="3928" t="s">
        <v>2258</v>
      </c>
      <c r="B2783" s="3928" t="s">
        <v>14</v>
      </c>
      <c r="C2783" s="3928" t="s">
        <v>2549</v>
      </c>
      <c r="D2783" s="3928" t="s">
        <v>2550</v>
      </c>
      <c r="E2783" s="3928" t="s">
        <v>2551</v>
      </c>
      <c r="F2783" s="3928" t="s">
        <v>2552</v>
      </c>
      <c r="G2783" s="3928" t="s">
        <v>2553</v>
      </c>
      <c r="H2783" s="3928" t="s">
        <v>24</v>
      </c>
      <c r="I2783" s="3928" t="s">
        <v>912</v>
      </c>
    </row>
    <row r="2784" spans="1:9" ht="11.25" customHeight="1">
      <c r="A2784" s="3928" t="s">
        <v>2258</v>
      </c>
      <c r="B2784" s="3928" t="s">
        <v>14</v>
      </c>
      <c r="C2784" s="3928" t="s">
        <v>6556</v>
      </c>
      <c r="D2784" s="3928" t="s">
        <v>6557</v>
      </c>
      <c r="E2784" s="3928" t="s">
        <v>6558</v>
      </c>
      <c r="F2784" s="3928" t="s">
        <v>3370</v>
      </c>
      <c r="G2784" s="3928" t="s">
        <v>24</v>
      </c>
      <c r="H2784" s="3928" t="s">
        <v>24</v>
      </c>
      <c r="I2784" s="3928" t="s">
        <v>912</v>
      </c>
    </row>
    <row r="2785" spans="1:9" ht="11.25" customHeight="1">
      <c r="A2785" s="3928" t="s">
        <v>2258</v>
      </c>
      <c r="B2785" s="3928" t="s">
        <v>14</v>
      </c>
      <c r="C2785" s="3928" t="s">
        <v>2558</v>
      </c>
      <c r="D2785" s="3928" t="s">
        <v>2559</v>
      </c>
      <c r="E2785" s="3928" t="s">
        <v>2560</v>
      </c>
      <c r="F2785" s="3928" t="s">
        <v>2262</v>
      </c>
      <c r="G2785" s="3928" t="s">
        <v>2561</v>
      </c>
      <c r="H2785" s="3928" t="s">
        <v>24</v>
      </c>
      <c r="I2785" s="3928" t="s">
        <v>912</v>
      </c>
    </row>
    <row r="2786" spans="1:9" ht="11.25" customHeight="1">
      <c r="A2786" s="3928" t="s">
        <v>2258</v>
      </c>
      <c r="B2786" s="3928" t="s">
        <v>14</v>
      </c>
      <c r="C2786" s="3928" t="s">
        <v>2589</v>
      </c>
      <c r="D2786" s="3928" t="s">
        <v>2590</v>
      </c>
      <c r="E2786" s="3928" t="s">
        <v>2591</v>
      </c>
      <c r="F2786" s="3928" t="s">
        <v>2486</v>
      </c>
      <c r="G2786" s="3928" t="s">
        <v>2592</v>
      </c>
      <c r="H2786" s="3928" t="s">
        <v>24</v>
      </c>
      <c r="I2786" s="3928" t="s">
        <v>912</v>
      </c>
    </row>
    <row r="2787" spans="1:9" ht="11.25" customHeight="1">
      <c r="A2787" s="3928" t="s">
        <v>2258</v>
      </c>
      <c r="B2787" s="3928" t="s">
        <v>14</v>
      </c>
      <c r="C2787" s="3928" t="s">
        <v>6563</v>
      </c>
      <c r="D2787" s="3928" t="s">
        <v>6564</v>
      </c>
      <c r="E2787" s="3928" t="s">
        <v>6565</v>
      </c>
      <c r="F2787" s="3928" t="s">
        <v>2397</v>
      </c>
      <c r="G2787" s="3928" t="s">
        <v>6566</v>
      </c>
      <c r="H2787" s="3928" t="s">
        <v>6567</v>
      </c>
      <c r="I2787" s="3928" t="s">
        <v>912</v>
      </c>
    </row>
    <row r="2788" spans="1:9" ht="11.25" customHeight="1">
      <c r="A2788" s="3928" t="s">
        <v>2258</v>
      </c>
      <c r="B2788" s="3928" t="s">
        <v>14</v>
      </c>
      <c r="C2788" s="3928" t="s">
        <v>6568</v>
      </c>
      <c r="D2788" s="3928" t="s">
        <v>6569</v>
      </c>
      <c r="E2788" s="3928" t="s">
        <v>6570</v>
      </c>
      <c r="F2788" s="3928" t="s">
        <v>2763</v>
      </c>
      <c r="G2788" s="3928" t="s">
        <v>6571</v>
      </c>
      <c r="H2788" s="3928" t="s">
        <v>6572</v>
      </c>
      <c r="I2788" s="3928" t="s">
        <v>912</v>
      </c>
    </row>
    <row r="2789" spans="1:9" ht="11.25" customHeight="1">
      <c r="A2789" s="3928" t="s">
        <v>2258</v>
      </c>
      <c r="B2789" s="3928" t="s">
        <v>14</v>
      </c>
      <c r="C2789" s="3928" t="s">
        <v>2621</v>
      </c>
      <c r="D2789" s="3928" t="s">
        <v>2622</v>
      </c>
      <c r="E2789" s="3928" t="s">
        <v>2623</v>
      </c>
      <c r="F2789" s="3928" t="s">
        <v>2624</v>
      </c>
      <c r="G2789" s="3928" t="s">
        <v>2625</v>
      </c>
      <c r="H2789" s="3928" t="s">
        <v>24</v>
      </c>
      <c r="I2789" s="3928" t="s">
        <v>912</v>
      </c>
    </row>
    <row r="2790" spans="1:9" ht="11.25" customHeight="1">
      <c r="A2790" s="3928" t="s">
        <v>2258</v>
      </c>
      <c r="B2790" s="3928" t="s">
        <v>14</v>
      </c>
      <c r="C2790" s="3928" t="s">
        <v>6331</v>
      </c>
      <c r="D2790" s="3928" t="s">
        <v>6332</v>
      </c>
      <c r="E2790" s="3928" t="s">
        <v>6333</v>
      </c>
      <c r="F2790" s="3928" t="s">
        <v>2405</v>
      </c>
      <c r="G2790" s="3928" t="s">
        <v>4058</v>
      </c>
      <c r="H2790" s="3928" t="s">
        <v>24</v>
      </c>
      <c r="I2790" s="3928" t="s">
        <v>912</v>
      </c>
    </row>
    <row r="2791" spans="1:9" ht="11.25" customHeight="1">
      <c r="A2791" s="3928" t="s">
        <v>2258</v>
      </c>
      <c r="B2791" s="3928" t="s">
        <v>14</v>
      </c>
      <c r="C2791" s="3928" t="s">
        <v>2631</v>
      </c>
      <c r="D2791" s="3928" t="s">
        <v>2632</v>
      </c>
      <c r="E2791" s="3928" t="s">
        <v>2633</v>
      </c>
      <c r="F2791" s="3928" t="s">
        <v>2289</v>
      </c>
      <c r="G2791" s="3928" t="s">
        <v>2634</v>
      </c>
      <c r="H2791" s="3928" t="s">
        <v>24</v>
      </c>
      <c r="I2791" s="3928" t="s">
        <v>912</v>
      </c>
    </row>
    <row r="2792" spans="1:9" ht="11.25" customHeight="1">
      <c r="A2792" s="3928" t="s">
        <v>2258</v>
      </c>
      <c r="B2792" s="3928" t="s">
        <v>14</v>
      </c>
      <c r="C2792" s="3928" t="s">
        <v>6576</v>
      </c>
      <c r="D2792" s="3928" t="s">
        <v>6577</v>
      </c>
      <c r="E2792" s="3928" t="s">
        <v>6578</v>
      </c>
      <c r="F2792" s="3928" t="s">
        <v>2289</v>
      </c>
      <c r="G2792" s="3928" t="s">
        <v>6579</v>
      </c>
      <c r="H2792" s="3928" t="s">
        <v>24</v>
      </c>
      <c r="I2792" s="3928" t="s">
        <v>912</v>
      </c>
    </row>
    <row r="2793" spans="1:9" ht="11.25" customHeight="1">
      <c r="A2793" s="3928" t="s">
        <v>2258</v>
      </c>
      <c r="B2793" s="3928" t="s">
        <v>14</v>
      </c>
      <c r="C2793" s="3928" t="s">
        <v>2663</v>
      </c>
      <c r="D2793" s="3928" t="s">
        <v>2664</v>
      </c>
      <c r="E2793" s="3928" t="s">
        <v>2665</v>
      </c>
      <c r="F2793" s="3928" t="s">
        <v>2638</v>
      </c>
      <c r="G2793" s="3928" t="s">
        <v>2666</v>
      </c>
      <c r="H2793" s="3928" t="s">
        <v>24</v>
      </c>
      <c r="I2793" s="3928" t="s">
        <v>912</v>
      </c>
    </row>
    <row r="2794" spans="1:9" ht="11.25" customHeight="1">
      <c r="A2794" s="3928" t="s">
        <v>2258</v>
      </c>
      <c r="B2794" s="3928" t="s">
        <v>14</v>
      </c>
      <c r="C2794" s="3928" t="s">
        <v>6580</v>
      </c>
      <c r="D2794" s="3928" t="s">
        <v>6581</v>
      </c>
      <c r="E2794" s="3928" t="s">
        <v>6582</v>
      </c>
      <c r="F2794" s="3928" t="s">
        <v>2638</v>
      </c>
      <c r="G2794" s="3928" t="s">
        <v>6583</v>
      </c>
      <c r="H2794" s="3928" t="s">
        <v>24</v>
      </c>
      <c r="I2794" s="3928" t="s">
        <v>912</v>
      </c>
    </row>
    <row r="2795" spans="1:9" ht="11.25" customHeight="1">
      <c r="A2795" s="3928" t="s">
        <v>2258</v>
      </c>
      <c r="B2795" s="3928" t="s">
        <v>14</v>
      </c>
      <c r="C2795" s="3928" t="s">
        <v>7952</v>
      </c>
      <c r="D2795" s="3928" t="s">
        <v>7953</v>
      </c>
      <c r="E2795" s="3928" t="s">
        <v>7954</v>
      </c>
      <c r="F2795" s="3928" t="s">
        <v>5359</v>
      </c>
      <c r="G2795" s="3928" t="s">
        <v>24</v>
      </c>
      <c r="H2795" s="3928" t="s">
        <v>24</v>
      </c>
      <c r="I2795" s="3928" t="s">
        <v>912</v>
      </c>
    </row>
    <row r="2796" spans="1:9" ht="11.25" customHeight="1">
      <c r="A2796" s="3928" t="s">
        <v>2258</v>
      </c>
      <c r="B2796" s="3928" t="s">
        <v>14</v>
      </c>
      <c r="C2796" s="3928" t="s">
        <v>2677</v>
      </c>
      <c r="D2796" s="3928" t="s">
        <v>2678</v>
      </c>
      <c r="E2796" s="3928" t="s">
        <v>2679</v>
      </c>
      <c r="F2796" s="3928" t="s">
        <v>2414</v>
      </c>
      <c r="G2796" s="3928" t="s">
        <v>2680</v>
      </c>
      <c r="H2796" s="3928" t="s">
        <v>24</v>
      </c>
      <c r="I2796" s="3928" t="s">
        <v>912</v>
      </c>
    </row>
    <row r="2797" spans="1:9" ht="11.25" customHeight="1">
      <c r="A2797" s="3928" t="s">
        <v>2258</v>
      </c>
      <c r="B2797" s="3928" t="s">
        <v>14</v>
      </c>
      <c r="C2797" s="3928" t="s">
        <v>2681</v>
      </c>
      <c r="D2797" s="3928" t="s">
        <v>2682</v>
      </c>
      <c r="E2797" s="3928" t="s">
        <v>2683</v>
      </c>
      <c r="F2797" s="3928" t="s">
        <v>2409</v>
      </c>
      <c r="G2797" s="3928" t="s">
        <v>2684</v>
      </c>
      <c r="H2797" s="3928" t="s">
        <v>24</v>
      </c>
      <c r="I2797" s="3928" t="s">
        <v>912</v>
      </c>
    </row>
    <row r="2798" spans="1:9" ht="11.25" customHeight="1">
      <c r="A2798" s="3928" t="s">
        <v>2258</v>
      </c>
      <c r="B2798" s="3928" t="s">
        <v>14</v>
      </c>
      <c r="C2798" s="3928" t="s">
        <v>6584</v>
      </c>
      <c r="D2798" s="3928" t="s">
        <v>6585</v>
      </c>
      <c r="E2798" s="3928" t="s">
        <v>6586</v>
      </c>
      <c r="F2798" s="3928" t="s">
        <v>6587</v>
      </c>
      <c r="G2798" s="3928" t="s">
        <v>6588</v>
      </c>
      <c r="H2798" s="3928" t="s">
        <v>6589</v>
      </c>
      <c r="I2798" s="3928" t="s">
        <v>912</v>
      </c>
    </row>
    <row r="2799" spans="1:9" ht="11.25" customHeight="1">
      <c r="A2799" s="3928" t="s">
        <v>2258</v>
      </c>
      <c r="B2799" s="3928" t="s">
        <v>14</v>
      </c>
      <c r="C2799" s="3928" t="s">
        <v>2694</v>
      </c>
      <c r="D2799" s="3928" t="s">
        <v>2695</v>
      </c>
      <c r="E2799" s="3928" t="s">
        <v>2696</v>
      </c>
      <c r="F2799" s="3928" t="s">
        <v>2289</v>
      </c>
      <c r="G2799" s="3928" t="s">
        <v>2697</v>
      </c>
      <c r="H2799" s="3928" t="s">
        <v>24</v>
      </c>
      <c r="I2799" s="3928" t="s">
        <v>912</v>
      </c>
    </row>
    <row r="2800" spans="1:9" ht="11.25" customHeight="1">
      <c r="A2800" s="3928" t="s">
        <v>2258</v>
      </c>
      <c r="B2800" s="3928" t="s">
        <v>14</v>
      </c>
      <c r="C2800" s="3928" t="s">
        <v>2698</v>
      </c>
      <c r="D2800" s="3928" t="s">
        <v>2699</v>
      </c>
      <c r="E2800" s="3928" t="s">
        <v>2700</v>
      </c>
      <c r="F2800" s="3928" t="s">
        <v>2701</v>
      </c>
      <c r="G2800" s="3928" t="s">
        <v>24</v>
      </c>
      <c r="H2800" s="3928" t="s">
        <v>24</v>
      </c>
      <c r="I2800" s="3928" t="s">
        <v>912</v>
      </c>
    </row>
    <row r="2801" spans="1:9" ht="11.25" customHeight="1">
      <c r="A2801" s="3928" t="s">
        <v>2258</v>
      </c>
      <c r="B2801" s="3928" t="s">
        <v>14</v>
      </c>
      <c r="C2801" s="3928" t="s">
        <v>2710</v>
      </c>
      <c r="D2801" s="3928" t="s">
        <v>2711</v>
      </c>
      <c r="E2801" s="3928" t="s">
        <v>2712</v>
      </c>
      <c r="F2801" s="3928" t="s">
        <v>2587</v>
      </c>
      <c r="G2801" s="3928" t="s">
        <v>2713</v>
      </c>
      <c r="H2801" s="3928" t="s">
        <v>2263</v>
      </c>
      <c r="I2801" s="3928" t="s">
        <v>912</v>
      </c>
    </row>
    <row r="2802" spans="1:9" ht="11.25" customHeight="1">
      <c r="A2802" s="3928" t="s">
        <v>2258</v>
      </c>
      <c r="B2802" s="3928" t="s">
        <v>14</v>
      </c>
      <c r="C2802" s="3928" t="s">
        <v>6594</v>
      </c>
      <c r="D2802" s="3928" t="s">
        <v>6595</v>
      </c>
      <c r="E2802" s="3928" t="s">
        <v>6596</v>
      </c>
      <c r="F2802" s="3928" t="s">
        <v>2397</v>
      </c>
      <c r="G2802" s="3928" t="s">
        <v>6597</v>
      </c>
      <c r="H2802" s="3928" t="s">
        <v>24</v>
      </c>
      <c r="I2802" s="3928" t="s">
        <v>912</v>
      </c>
    </row>
    <row r="2803" spans="1:9" ht="11.25" customHeight="1">
      <c r="A2803" s="3928" t="s">
        <v>2258</v>
      </c>
      <c r="B2803" s="3928" t="s">
        <v>14</v>
      </c>
      <c r="C2803" s="3928" t="s">
        <v>7955</v>
      </c>
      <c r="D2803" s="3928" t="s">
        <v>7956</v>
      </c>
      <c r="E2803" s="3928" t="s">
        <v>7957</v>
      </c>
      <c r="F2803" s="3928" t="s">
        <v>2486</v>
      </c>
      <c r="G2803" s="3928" t="s">
        <v>7958</v>
      </c>
      <c r="H2803" s="3928" t="s">
        <v>24</v>
      </c>
      <c r="I2803" s="3928" t="s">
        <v>912</v>
      </c>
    </row>
    <row r="2804" spans="1:9" ht="11.25" customHeight="1">
      <c r="A2804" s="3928" t="s">
        <v>2258</v>
      </c>
      <c r="B2804" s="3928" t="s">
        <v>14</v>
      </c>
      <c r="C2804" s="3928" t="s">
        <v>2723</v>
      </c>
      <c r="D2804" s="3928" t="s">
        <v>2724</v>
      </c>
      <c r="E2804" s="3928" t="s">
        <v>2725</v>
      </c>
      <c r="F2804" s="3928" t="s">
        <v>2726</v>
      </c>
      <c r="G2804" s="3928" t="s">
        <v>24</v>
      </c>
      <c r="H2804" s="3928" t="s">
        <v>24</v>
      </c>
      <c r="I2804" s="3928" t="s">
        <v>912</v>
      </c>
    </row>
    <row r="2805" spans="1:9" ht="11.25" customHeight="1">
      <c r="A2805" s="3928" t="s">
        <v>2258</v>
      </c>
      <c r="B2805" s="3928" t="s">
        <v>14</v>
      </c>
      <c r="C2805" s="3928" t="s">
        <v>2727</v>
      </c>
      <c r="D2805" s="3928" t="s">
        <v>2728</v>
      </c>
      <c r="E2805" s="3928" t="s">
        <v>2729</v>
      </c>
      <c r="F2805" s="3928" t="s">
        <v>2299</v>
      </c>
      <c r="G2805" s="3928" t="s">
        <v>2730</v>
      </c>
      <c r="H2805" s="3928" t="s">
        <v>24</v>
      </c>
      <c r="I2805" s="3928" t="s">
        <v>912</v>
      </c>
    </row>
    <row r="2806" spans="1:9" ht="11.25" customHeight="1">
      <c r="A2806" s="3928" t="s">
        <v>2258</v>
      </c>
      <c r="B2806" s="3928" t="s">
        <v>14</v>
      </c>
      <c r="C2806" s="3928" t="s">
        <v>2739</v>
      </c>
      <c r="D2806" s="3928" t="s">
        <v>2740</v>
      </c>
      <c r="E2806" s="3928" t="s">
        <v>2741</v>
      </c>
      <c r="F2806" s="3928" t="s">
        <v>2587</v>
      </c>
      <c r="G2806" s="3928" t="s">
        <v>2742</v>
      </c>
      <c r="H2806" s="3928" t="s">
        <v>24</v>
      </c>
      <c r="I2806" s="3928" t="s">
        <v>912</v>
      </c>
    </row>
    <row r="2807" spans="1:9" ht="11.25" customHeight="1">
      <c r="A2807" s="3928" t="s">
        <v>2258</v>
      </c>
      <c r="B2807" s="3928" t="s">
        <v>14</v>
      </c>
      <c r="C2807" s="3928" t="s">
        <v>2743</v>
      </c>
      <c r="D2807" s="3928" t="s">
        <v>2744</v>
      </c>
      <c r="E2807" s="3928" t="s">
        <v>2745</v>
      </c>
      <c r="F2807" s="3928" t="s">
        <v>2746</v>
      </c>
      <c r="G2807" s="3928" t="s">
        <v>2747</v>
      </c>
      <c r="H2807" s="3928" t="s">
        <v>24</v>
      </c>
      <c r="I2807" s="3928" t="s">
        <v>912</v>
      </c>
    </row>
    <row r="2808" spans="1:9" ht="11.25" customHeight="1">
      <c r="A2808" s="3928" t="s">
        <v>2258</v>
      </c>
      <c r="B2808" s="3928" t="s">
        <v>14</v>
      </c>
      <c r="C2808" s="3928" t="s">
        <v>7959</v>
      </c>
      <c r="D2808" s="3928" t="s">
        <v>7960</v>
      </c>
      <c r="E2808" s="3928" t="s">
        <v>7961</v>
      </c>
      <c r="F2808" s="3928" t="s">
        <v>2469</v>
      </c>
      <c r="G2808" s="3928" t="s">
        <v>24</v>
      </c>
      <c r="H2808" s="3928" t="s">
        <v>24</v>
      </c>
      <c r="I2808" s="3928" t="s">
        <v>912</v>
      </c>
    </row>
    <row r="2809" spans="1:9" ht="11.25" customHeight="1">
      <c r="A2809" s="3928" t="s">
        <v>2258</v>
      </c>
      <c r="B2809" s="3928" t="s">
        <v>14</v>
      </c>
      <c r="C2809" s="3928" t="s">
        <v>2748</v>
      </c>
      <c r="D2809" s="3928" t="s">
        <v>2749</v>
      </c>
      <c r="E2809" s="3928" t="s">
        <v>2750</v>
      </c>
      <c r="F2809" s="3928" t="s">
        <v>2294</v>
      </c>
      <c r="G2809" s="3928" t="s">
        <v>2751</v>
      </c>
      <c r="H2809" s="3928" t="s">
        <v>24</v>
      </c>
      <c r="I2809" s="3928" t="s">
        <v>912</v>
      </c>
    </row>
    <row r="2810" spans="1:9" ht="11.25" customHeight="1">
      <c r="A2810" s="3928" t="s">
        <v>2258</v>
      </c>
      <c r="B2810" s="3928" t="s">
        <v>14</v>
      </c>
      <c r="C2810" s="3928" t="s">
        <v>2752</v>
      </c>
      <c r="D2810" s="3928" t="s">
        <v>2753</v>
      </c>
      <c r="E2810" s="3928" t="s">
        <v>2754</v>
      </c>
      <c r="F2810" s="3928" t="s">
        <v>2638</v>
      </c>
      <c r="G2810" s="3928" t="s">
        <v>2755</v>
      </c>
      <c r="H2810" s="3928" t="s">
        <v>2756</v>
      </c>
      <c r="I2810" s="3928" t="s">
        <v>912</v>
      </c>
    </row>
    <row r="2811" spans="1:9" ht="11.25" customHeight="1">
      <c r="A2811" s="3928" t="s">
        <v>2258</v>
      </c>
      <c r="B2811" s="3928" t="s">
        <v>14</v>
      </c>
      <c r="C2811" s="3928" t="s">
        <v>6602</v>
      </c>
      <c r="D2811" s="3928" t="s">
        <v>6603</v>
      </c>
      <c r="E2811" s="3928" t="s">
        <v>6604</v>
      </c>
      <c r="F2811" s="3928" t="s">
        <v>2473</v>
      </c>
      <c r="G2811" s="3928" t="s">
        <v>6605</v>
      </c>
      <c r="H2811" s="3928" t="s">
        <v>24</v>
      </c>
      <c r="I2811" s="3928" t="s">
        <v>912</v>
      </c>
    </row>
    <row r="2812" spans="1:9" ht="11.25" customHeight="1">
      <c r="A2812" s="3928" t="s">
        <v>2258</v>
      </c>
      <c r="B2812" s="3928" t="s">
        <v>14</v>
      </c>
      <c r="C2812" s="3928" t="s">
        <v>6606</v>
      </c>
      <c r="D2812" s="3928" t="s">
        <v>6607</v>
      </c>
      <c r="E2812" s="3928" t="s">
        <v>6608</v>
      </c>
      <c r="F2812" s="3928" t="s">
        <v>2473</v>
      </c>
      <c r="G2812" s="3928" t="s">
        <v>6609</v>
      </c>
      <c r="H2812" s="3928" t="s">
        <v>6610</v>
      </c>
      <c r="I2812" s="3928" t="s">
        <v>912</v>
      </c>
    </row>
    <row r="2813" spans="1:9" ht="11.25" customHeight="1">
      <c r="A2813" s="3928" t="s">
        <v>2258</v>
      </c>
      <c r="B2813" s="3928" t="s">
        <v>14</v>
      </c>
      <c r="C2813" s="3928" t="s">
        <v>6611</v>
      </c>
      <c r="D2813" s="3928" t="s">
        <v>6612</v>
      </c>
      <c r="E2813" s="3928" t="s">
        <v>6613</v>
      </c>
      <c r="F2813" s="3928" t="s">
        <v>3039</v>
      </c>
      <c r="G2813" s="3928" t="s">
        <v>24</v>
      </c>
      <c r="H2813" s="3928" t="s">
        <v>24</v>
      </c>
      <c r="I2813" s="3928" t="s">
        <v>912</v>
      </c>
    </row>
    <row r="2814" spans="1:9" ht="11.25" customHeight="1">
      <c r="A2814" s="3928" t="s">
        <v>2258</v>
      </c>
      <c r="B2814" s="3928" t="s">
        <v>14</v>
      </c>
      <c r="C2814" s="3928" t="s">
        <v>6614</v>
      </c>
      <c r="D2814" s="3928" t="s">
        <v>6615</v>
      </c>
      <c r="E2814" s="3928" t="s">
        <v>6616</v>
      </c>
      <c r="F2814" s="3928" t="s">
        <v>2409</v>
      </c>
      <c r="G2814" s="3928" t="s">
        <v>24</v>
      </c>
      <c r="H2814" s="3928" t="s">
        <v>24</v>
      </c>
      <c r="I2814" s="3928" t="s">
        <v>912</v>
      </c>
    </row>
    <row r="2815" spans="1:9" ht="11.25" customHeight="1">
      <c r="A2815" s="3928" t="s">
        <v>2258</v>
      </c>
      <c r="B2815" s="3928" t="s">
        <v>14</v>
      </c>
      <c r="C2815" s="3928" t="s">
        <v>2773</v>
      </c>
      <c r="D2815" s="3928" t="s">
        <v>2774</v>
      </c>
      <c r="E2815" s="3928" t="s">
        <v>2775</v>
      </c>
      <c r="F2815" s="3928" t="s">
        <v>2638</v>
      </c>
      <c r="G2815" s="3928" t="s">
        <v>2776</v>
      </c>
      <c r="H2815" s="3928" t="s">
        <v>24</v>
      </c>
      <c r="I2815" s="3928" t="s">
        <v>912</v>
      </c>
    </row>
    <row r="2816" spans="1:9" ht="11.25" customHeight="1">
      <c r="A2816" s="3928" t="s">
        <v>2258</v>
      </c>
      <c r="B2816" s="3928" t="s">
        <v>14</v>
      </c>
      <c r="C2816" s="3928" t="s">
        <v>2777</v>
      </c>
      <c r="D2816" s="3928" t="s">
        <v>2778</v>
      </c>
      <c r="E2816" s="3928" t="s">
        <v>2779</v>
      </c>
      <c r="F2816" s="3928" t="s">
        <v>2780</v>
      </c>
      <c r="G2816" s="3928" t="s">
        <v>2781</v>
      </c>
      <c r="H2816" s="3928" t="s">
        <v>24</v>
      </c>
      <c r="I2816" s="3928" t="s">
        <v>912</v>
      </c>
    </row>
    <row r="2817" spans="1:9" ht="11.25" customHeight="1">
      <c r="A2817" s="3928" t="s">
        <v>2258</v>
      </c>
      <c r="B2817" s="3928" t="s">
        <v>14</v>
      </c>
      <c r="C2817" s="3928" t="s">
        <v>2782</v>
      </c>
      <c r="D2817" s="3928" t="s">
        <v>2783</v>
      </c>
      <c r="E2817" s="3928" t="s">
        <v>2784</v>
      </c>
      <c r="F2817" s="3928" t="s">
        <v>2405</v>
      </c>
      <c r="G2817" s="3928" t="s">
        <v>2785</v>
      </c>
      <c r="H2817" s="3928" t="s">
        <v>24</v>
      </c>
      <c r="I2817" s="3928" t="s">
        <v>912</v>
      </c>
    </row>
    <row r="2818" spans="1:9" ht="11.25" customHeight="1">
      <c r="A2818" s="3928" t="s">
        <v>2258</v>
      </c>
      <c r="B2818" s="3928" t="s">
        <v>14</v>
      </c>
      <c r="C2818" s="3928" t="s">
        <v>2786</v>
      </c>
      <c r="D2818" s="3928" t="s">
        <v>2787</v>
      </c>
      <c r="E2818" s="3928" t="s">
        <v>2788</v>
      </c>
      <c r="F2818" s="3928" t="s">
        <v>2289</v>
      </c>
      <c r="G2818" s="3928" t="s">
        <v>2789</v>
      </c>
      <c r="H2818" s="3928" t="s">
        <v>24</v>
      </c>
      <c r="I2818" s="3928" t="s">
        <v>912</v>
      </c>
    </row>
    <row r="2819" spans="1:9" ht="11.25" customHeight="1">
      <c r="A2819" s="3928" t="s">
        <v>2258</v>
      </c>
      <c r="B2819" s="3928" t="s">
        <v>14</v>
      </c>
      <c r="C2819" s="3928" t="s">
        <v>6620</v>
      </c>
      <c r="D2819" s="3928" t="s">
        <v>6621</v>
      </c>
      <c r="E2819" s="3928" t="s">
        <v>6622</v>
      </c>
      <c r="F2819" s="3928" t="s">
        <v>2344</v>
      </c>
      <c r="G2819" s="3928" t="s">
        <v>24</v>
      </c>
      <c r="H2819" s="3928" t="s">
        <v>24</v>
      </c>
      <c r="I2819" s="3928" t="s">
        <v>912</v>
      </c>
    </row>
    <row r="2820" spans="1:9" ht="11.25" customHeight="1">
      <c r="A2820" s="3928" t="s">
        <v>2258</v>
      </c>
      <c r="B2820" s="3928" t="s">
        <v>14</v>
      </c>
      <c r="C2820" s="3928" t="s">
        <v>2814</v>
      </c>
      <c r="D2820" s="3928" t="s">
        <v>2815</v>
      </c>
      <c r="E2820" s="3928" t="s">
        <v>2816</v>
      </c>
      <c r="F2820" s="3928" t="s">
        <v>2817</v>
      </c>
      <c r="G2820" s="3928" t="s">
        <v>2818</v>
      </c>
      <c r="H2820" s="3928" t="s">
        <v>24</v>
      </c>
      <c r="I2820" s="3928" t="s">
        <v>912</v>
      </c>
    </row>
    <row r="2821" spans="1:9" ht="11.25" customHeight="1">
      <c r="A2821" s="3928" t="s">
        <v>2258</v>
      </c>
      <c r="B2821" s="3928" t="s">
        <v>14</v>
      </c>
      <c r="C2821" s="3928" t="s">
        <v>7962</v>
      </c>
      <c r="D2821" s="3928" t="s">
        <v>7963</v>
      </c>
      <c r="E2821" s="3928" t="s">
        <v>7964</v>
      </c>
      <c r="F2821" s="3928" t="s">
        <v>2567</v>
      </c>
      <c r="G2821" s="3928" t="s">
        <v>7965</v>
      </c>
      <c r="H2821" s="3928" t="s">
        <v>24</v>
      </c>
      <c r="I2821" s="3928" t="s">
        <v>912</v>
      </c>
    </row>
    <row r="2822" spans="1:9" ht="11.25" customHeight="1">
      <c r="A2822" s="3928" t="s">
        <v>2258</v>
      </c>
      <c r="B2822" s="3928" t="s">
        <v>14</v>
      </c>
      <c r="C2822" s="3928" t="s">
        <v>6633</v>
      </c>
      <c r="D2822" s="3928" t="s">
        <v>6634</v>
      </c>
      <c r="E2822" s="3928" t="s">
        <v>6635</v>
      </c>
      <c r="F2822" s="3928" t="s">
        <v>6636</v>
      </c>
      <c r="G2822" s="3928" t="s">
        <v>6637</v>
      </c>
      <c r="H2822" s="3928" t="s">
        <v>2945</v>
      </c>
      <c r="I2822" s="3928" t="s">
        <v>912</v>
      </c>
    </row>
    <row r="2823" spans="1:9" ht="11.25" customHeight="1">
      <c r="A2823" s="3928" t="s">
        <v>2258</v>
      </c>
      <c r="B2823" s="3928" t="s">
        <v>14</v>
      </c>
      <c r="C2823" s="3928" t="s">
        <v>6638</v>
      </c>
      <c r="D2823" s="3928" t="s">
        <v>6639</v>
      </c>
      <c r="E2823" s="3928" t="s">
        <v>5771</v>
      </c>
      <c r="F2823" s="3928" t="s">
        <v>5657</v>
      </c>
      <c r="G2823" s="3928" t="s">
        <v>6640</v>
      </c>
      <c r="H2823" s="3928" t="s">
        <v>24</v>
      </c>
      <c r="I2823" s="3928" t="s">
        <v>912</v>
      </c>
    </row>
    <row r="2824" spans="1:9" ht="11.25" customHeight="1">
      <c r="A2824" s="3928" t="s">
        <v>2258</v>
      </c>
      <c r="B2824" s="3928" t="s">
        <v>14</v>
      </c>
      <c r="C2824" s="3928" t="s">
        <v>2823</v>
      </c>
      <c r="D2824" s="3928" t="s">
        <v>2824</v>
      </c>
      <c r="E2824" s="3928" t="s">
        <v>2825</v>
      </c>
      <c r="F2824" s="3928" t="s">
        <v>2826</v>
      </c>
      <c r="G2824" s="3928" t="s">
        <v>2827</v>
      </c>
      <c r="H2824" s="3928" t="s">
        <v>24</v>
      </c>
      <c r="I2824" s="3928" t="s">
        <v>912</v>
      </c>
    </row>
    <row r="2825" spans="1:9" ht="11.25" customHeight="1">
      <c r="A2825" s="3928" t="s">
        <v>2258</v>
      </c>
      <c r="B2825" s="3928" t="s">
        <v>14</v>
      </c>
      <c r="C2825" s="3928" t="s">
        <v>2832</v>
      </c>
      <c r="D2825" s="3928" t="s">
        <v>2833</v>
      </c>
      <c r="E2825" s="3928" t="s">
        <v>2834</v>
      </c>
      <c r="F2825" s="3928" t="s">
        <v>2339</v>
      </c>
      <c r="G2825" s="3928" t="s">
        <v>24</v>
      </c>
      <c r="H2825" s="3928" t="s">
        <v>2263</v>
      </c>
      <c r="I2825" s="3928" t="s">
        <v>912</v>
      </c>
    </row>
    <row r="2826" spans="1:9" ht="11.25" customHeight="1">
      <c r="A2826" s="3928" t="s">
        <v>2258</v>
      </c>
      <c r="B2826" s="3928" t="s">
        <v>14</v>
      </c>
      <c r="C2826" s="3928" t="s">
        <v>6641</v>
      </c>
      <c r="D2826" s="3928" t="s">
        <v>6642</v>
      </c>
      <c r="E2826" s="3928" t="s">
        <v>6643</v>
      </c>
      <c r="F2826" s="3928" t="s">
        <v>2289</v>
      </c>
      <c r="G2826" s="3928" t="s">
        <v>24</v>
      </c>
      <c r="H2826" s="3928" t="s">
        <v>2848</v>
      </c>
      <c r="I2826" s="3928" t="s">
        <v>912</v>
      </c>
    </row>
    <row r="2827" spans="1:9" ht="11.25" customHeight="1">
      <c r="A2827" s="3928" t="s">
        <v>2258</v>
      </c>
      <c r="B2827" s="3928" t="s">
        <v>14</v>
      </c>
      <c r="C2827" s="3928" t="s">
        <v>6346</v>
      </c>
      <c r="D2827" s="3928" t="s">
        <v>6347</v>
      </c>
      <c r="E2827" s="3928" t="s">
        <v>6348</v>
      </c>
      <c r="F2827" s="3928" t="s">
        <v>2522</v>
      </c>
      <c r="G2827" s="3928" t="s">
        <v>24</v>
      </c>
      <c r="H2827" s="3928" t="s">
        <v>2263</v>
      </c>
      <c r="I2827" s="3928" t="s">
        <v>912</v>
      </c>
    </row>
    <row r="2828" spans="1:9" ht="11.25" customHeight="1">
      <c r="A2828" s="3928" t="s">
        <v>2258</v>
      </c>
      <c r="B2828" s="3928" t="s">
        <v>14</v>
      </c>
      <c r="C2828" s="3928" t="s">
        <v>6647</v>
      </c>
      <c r="D2828" s="3928" t="s">
        <v>6648</v>
      </c>
      <c r="E2828" s="3928" t="s">
        <v>6649</v>
      </c>
      <c r="F2828" s="3928" t="s">
        <v>6328</v>
      </c>
      <c r="G2828" s="3928" t="s">
        <v>6650</v>
      </c>
      <c r="H2828" s="3928" t="s">
        <v>6651</v>
      </c>
      <c r="I2828" s="3928" t="s">
        <v>912</v>
      </c>
    </row>
    <row r="2829" spans="1:9" ht="11.25" customHeight="1">
      <c r="A2829" s="3928" t="s">
        <v>2258</v>
      </c>
      <c r="B2829" s="3928" t="s">
        <v>14</v>
      </c>
      <c r="C2829" s="3928" t="s">
        <v>6652</v>
      </c>
      <c r="D2829" s="3928" t="s">
        <v>6653</v>
      </c>
      <c r="E2829" s="3928" t="s">
        <v>6654</v>
      </c>
      <c r="F2829" s="3928" t="s">
        <v>6655</v>
      </c>
      <c r="G2829" s="3928" t="s">
        <v>24</v>
      </c>
      <c r="H2829" s="3928" t="s">
        <v>6656</v>
      </c>
      <c r="I2829" s="3928" t="s">
        <v>912</v>
      </c>
    </row>
    <row r="2830" spans="1:9" ht="11.25" customHeight="1">
      <c r="A2830" s="3928" t="s">
        <v>2258</v>
      </c>
      <c r="B2830" s="3928" t="s">
        <v>14</v>
      </c>
      <c r="C2830" s="3928" t="s">
        <v>6657</v>
      </c>
      <c r="D2830" s="3928" t="s">
        <v>6658</v>
      </c>
      <c r="E2830" s="3928" t="s">
        <v>6659</v>
      </c>
      <c r="F2830" s="3928" t="s">
        <v>6660</v>
      </c>
      <c r="G2830" s="3928" t="s">
        <v>24</v>
      </c>
      <c r="H2830" s="3928" t="s">
        <v>24</v>
      </c>
      <c r="I2830" s="3928" t="s">
        <v>912</v>
      </c>
    </row>
    <row r="2831" spans="1:9" ht="11.25" customHeight="1">
      <c r="A2831" s="3928" t="s">
        <v>2258</v>
      </c>
      <c r="B2831" s="3928" t="s">
        <v>14</v>
      </c>
      <c r="C2831" s="3928" t="s">
        <v>2891</v>
      </c>
      <c r="D2831" s="3928" t="s">
        <v>2892</v>
      </c>
      <c r="E2831" s="3928" t="s">
        <v>2893</v>
      </c>
      <c r="F2831" s="3928" t="s">
        <v>2535</v>
      </c>
      <c r="G2831" s="3928" t="s">
        <v>2894</v>
      </c>
      <c r="H2831" s="3928" t="s">
        <v>24</v>
      </c>
      <c r="I2831" s="3928" t="s">
        <v>912</v>
      </c>
    </row>
    <row r="2832" spans="1:9" ht="11.25" customHeight="1">
      <c r="A2832" s="3928" t="s">
        <v>2258</v>
      </c>
      <c r="B2832" s="3928" t="s">
        <v>14</v>
      </c>
      <c r="C2832" s="3928" t="s">
        <v>2904</v>
      </c>
      <c r="D2832" s="3928" t="s">
        <v>2905</v>
      </c>
      <c r="E2832" s="3928" t="s">
        <v>2906</v>
      </c>
      <c r="F2832" s="3928" t="s">
        <v>2907</v>
      </c>
      <c r="G2832" s="3928" t="s">
        <v>2908</v>
      </c>
      <c r="H2832" s="3928" t="s">
        <v>2909</v>
      </c>
      <c r="I2832" s="3928" t="s">
        <v>912</v>
      </c>
    </row>
    <row r="2833" spans="1:9" ht="11.25" customHeight="1">
      <c r="A2833" s="3928" t="s">
        <v>2258</v>
      </c>
      <c r="B2833" s="3928" t="s">
        <v>14</v>
      </c>
      <c r="C2833" s="3928" t="s">
        <v>2914</v>
      </c>
      <c r="D2833" s="3928" t="s">
        <v>2915</v>
      </c>
      <c r="E2833" s="3928" t="s">
        <v>2916</v>
      </c>
      <c r="F2833" s="3928" t="s">
        <v>2424</v>
      </c>
      <c r="G2833" s="3928" t="s">
        <v>24</v>
      </c>
      <c r="H2833" s="3928" t="s">
        <v>2917</v>
      </c>
      <c r="I2833" s="3928" t="s">
        <v>912</v>
      </c>
    </row>
    <row r="2834" spans="1:9" ht="11.25" customHeight="1">
      <c r="A2834" s="3928" t="s">
        <v>2258</v>
      </c>
      <c r="B2834" s="3928" t="s">
        <v>14</v>
      </c>
      <c r="C2834" s="3928" t="s">
        <v>2922</v>
      </c>
      <c r="D2834" s="3928" t="s">
        <v>2923</v>
      </c>
      <c r="E2834" s="3928" t="s">
        <v>2924</v>
      </c>
      <c r="F2834" s="3928" t="s">
        <v>2535</v>
      </c>
      <c r="G2834" s="3928" t="s">
        <v>2925</v>
      </c>
      <c r="H2834" s="3928" t="s">
        <v>24</v>
      </c>
      <c r="I2834" s="3928" t="s">
        <v>912</v>
      </c>
    </row>
    <row r="2835" spans="1:9" ht="11.25" customHeight="1">
      <c r="A2835" s="3928" t="s">
        <v>2258</v>
      </c>
      <c r="B2835" s="3928" t="s">
        <v>14</v>
      </c>
      <c r="C2835" s="3928" t="s">
        <v>2930</v>
      </c>
      <c r="D2835" s="3928" t="s">
        <v>2931</v>
      </c>
      <c r="E2835" s="3928" t="s">
        <v>2932</v>
      </c>
      <c r="F2835" s="3928" t="s">
        <v>2796</v>
      </c>
      <c r="G2835" s="3928" t="s">
        <v>2933</v>
      </c>
      <c r="H2835" s="3928" t="s">
        <v>2263</v>
      </c>
      <c r="I2835" s="3928" t="s">
        <v>912</v>
      </c>
    </row>
    <row r="2836" spans="1:9" ht="11.25" customHeight="1">
      <c r="A2836" s="3928" t="s">
        <v>2258</v>
      </c>
      <c r="B2836" s="3928" t="s">
        <v>14</v>
      </c>
      <c r="C2836" s="3928" t="s">
        <v>2934</v>
      </c>
      <c r="D2836" s="3928" t="s">
        <v>2931</v>
      </c>
      <c r="E2836" s="3928" t="s">
        <v>2935</v>
      </c>
      <c r="F2836" s="3928" t="s">
        <v>2796</v>
      </c>
      <c r="G2836" s="3928" t="s">
        <v>2936</v>
      </c>
      <c r="H2836" s="3928" t="s">
        <v>24</v>
      </c>
      <c r="I2836" s="3928" t="s">
        <v>912</v>
      </c>
    </row>
    <row r="2837" spans="1:9" ht="11.25" customHeight="1">
      <c r="A2837" s="3928" t="s">
        <v>2258</v>
      </c>
      <c r="B2837" s="3928" t="s">
        <v>14</v>
      </c>
      <c r="C2837" s="3928" t="s">
        <v>2958</v>
      </c>
      <c r="D2837" s="3928" t="s">
        <v>2959</v>
      </c>
      <c r="E2837" s="3928" t="s">
        <v>2960</v>
      </c>
      <c r="F2837" s="3928" t="s">
        <v>2424</v>
      </c>
      <c r="G2837" s="3928" t="s">
        <v>2961</v>
      </c>
      <c r="H2837" s="3928" t="s">
        <v>24</v>
      </c>
      <c r="I2837" s="3928" t="s">
        <v>912</v>
      </c>
    </row>
    <row r="2838" spans="1:9" ht="11.25" customHeight="1">
      <c r="A2838" s="3928" t="s">
        <v>2258</v>
      </c>
      <c r="B2838" s="3928" t="s">
        <v>14</v>
      </c>
      <c r="C2838" s="3928" t="s">
        <v>2962</v>
      </c>
      <c r="D2838" s="3928" t="s">
        <v>2963</v>
      </c>
      <c r="E2838" s="3928" t="s">
        <v>2964</v>
      </c>
      <c r="F2838" s="3928" t="s">
        <v>2965</v>
      </c>
      <c r="G2838" s="3928" t="s">
        <v>2966</v>
      </c>
      <c r="H2838" s="3928" t="s">
        <v>24</v>
      </c>
      <c r="I2838" s="3928" t="s">
        <v>912</v>
      </c>
    </row>
    <row r="2839" spans="1:9" ht="11.25" customHeight="1">
      <c r="A2839" s="3928" t="s">
        <v>2258</v>
      </c>
      <c r="B2839" s="3928" t="s">
        <v>14</v>
      </c>
      <c r="C2839" s="3928" t="s">
        <v>2975</v>
      </c>
      <c r="D2839" s="3928" t="s">
        <v>2976</v>
      </c>
      <c r="E2839" s="3928" t="s">
        <v>2977</v>
      </c>
      <c r="F2839" s="3928" t="s">
        <v>2701</v>
      </c>
      <c r="G2839" s="3928" t="s">
        <v>2978</v>
      </c>
      <c r="H2839" s="3928" t="s">
        <v>24</v>
      </c>
      <c r="I2839" s="3928" t="s">
        <v>912</v>
      </c>
    </row>
    <row r="2840" spans="1:9" ht="11.25" customHeight="1">
      <c r="A2840" s="3928" t="s">
        <v>2258</v>
      </c>
      <c r="B2840" s="3928" t="s">
        <v>14</v>
      </c>
      <c r="C2840" s="3928" t="s">
        <v>2983</v>
      </c>
      <c r="D2840" s="3928" t="s">
        <v>2984</v>
      </c>
      <c r="E2840" s="3928" t="s">
        <v>2985</v>
      </c>
      <c r="F2840" s="3928" t="s">
        <v>2780</v>
      </c>
      <c r="G2840" s="3928" t="s">
        <v>24</v>
      </c>
      <c r="H2840" s="3928" t="s">
        <v>24</v>
      </c>
      <c r="I2840" s="3928" t="s">
        <v>912</v>
      </c>
    </row>
    <row r="2841" spans="1:9" ht="11.25" customHeight="1">
      <c r="A2841" s="3928" t="s">
        <v>2258</v>
      </c>
      <c r="B2841" s="3928" t="s">
        <v>14</v>
      </c>
      <c r="C2841" s="3928" t="s">
        <v>2986</v>
      </c>
      <c r="D2841" s="3928" t="s">
        <v>2987</v>
      </c>
      <c r="E2841" s="3928" t="s">
        <v>2988</v>
      </c>
      <c r="F2841" s="3928" t="s">
        <v>2701</v>
      </c>
      <c r="G2841" s="3928" t="s">
        <v>2989</v>
      </c>
      <c r="H2841" s="3928" t="s">
        <v>2990</v>
      </c>
      <c r="I2841" s="3928" t="s">
        <v>912</v>
      </c>
    </row>
    <row r="2842" spans="1:9" ht="11.25" customHeight="1">
      <c r="A2842" s="3928" t="s">
        <v>2258</v>
      </c>
      <c r="B2842" s="3928" t="s">
        <v>14</v>
      </c>
      <c r="C2842" s="3928" t="s">
        <v>2991</v>
      </c>
      <c r="D2842" s="3928" t="s">
        <v>2992</v>
      </c>
      <c r="E2842" s="3928" t="s">
        <v>2973</v>
      </c>
      <c r="F2842" s="3928" t="s">
        <v>2642</v>
      </c>
      <c r="G2842" s="3928" t="s">
        <v>2993</v>
      </c>
      <c r="H2842" s="3928" t="s">
        <v>24</v>
      </c>
      <c r="I2842" s="3928" t="s">
        <v>912</v>
      </c>
    </row>
    <row r="2843" spans="1:9" ht="11.25" customHeight="1">
      <c r="A2843" s="3928" t="s">
        <v>2258</v>
      </c>
      <c r="B2843" s="3928" t="s">
        <v>14</v>
      </c>
      <c r="C2843" s="3928" t="s">
        <v>6668</v>
      </c>
      <c r="D2843" s="3928" t="s">
        <v>6669</v>
      </c>
      <c r="E2843" s="3928" t="s">
        <v>6670</v>
      </c>
      <c r="F2843" s="3928" t="s">
        <v>49</v>
      </c>
      <c r="G2843" s="3928" t="s">
        <v>24</v>
      </c>
      <c r="H2843" s="3928" t="s">
        <v>24</v>
      </c>
      <c r="I2843" s="3928" t="s">
        <v>912</v>
      </c>
    </row>
    <row r="2844" spans="1:9" ht="11.25" customHeight="1">
      <c r="A2844" s="3928" t="s">
        <v>2258</v>
      </c>
      <c r="B2844" s="3928" t="s">
        <v>14</v>
      </c>
      <c r="C2844" s="3928" t="s">
        <v>2994</v>
      </c>
      <c r="D2844" s="3928" t="s">
        <v>2995</v>
      </c>
      <c r="E2844" s="3928" t="s">
        <v>2996</v>
      </c>
      <c r="F2844" s="3928" t="s">
        <v>2701</v>
      </c>
      <c r="G2844" s="3928" t="s">
        <v>2997</v>
      </c>
      <c r="H2844" s="3928" t="s">
        <v>24</v>
      </c>
      <c r="I2844" s="3928" t="s">
        <v>912</v>
      </c>
    </row>
    <row r="2845" spans="1:9" ht="11.25" customHeight="1">
      <c r="A2845" s="3928" t="s">
        <v>2258</v>
      </c>
      <c r="B2845" s="3928" t="s">
        <v>14</v>
      </c>
      <c r="C2845" s="3928" t="s">
        <v>2998</v>
      </c>
      <c r="D2845" s="3928" t="s">
        <v>2999</v>
      </c>
      <c r="E2845" s="3928" t="s">
        <v>3000</v>
      </c>
      <c r="F2845" s="3928" t="s">
        <v>2419</v>
      </c>
      <c r="G2845" s="3928" t="s">
        <v>3001</v>
      </c>
      <c r="H2845" s="3928" t="s">
        <v>24</v>
      </c>
      <c r="I2845" s="3928" t="s">
        <v>912</v>
      </c>
    </row>
    <row r="2846" spans="1:9" ht="11.25" customHeight="1">
      <c r="A2846" s="3928" t="s">
        <v>2258</v>
      </c>
      <c r="B2846" s="3928" t="s">
        <v>14</v>
      </c>
      <c r="C2846" s="3928" t="s">
        <v>3002</v>
      </c>
      <c r="D2846" s="3928" t="s">
        <v>3003</v>
      </c>
      <c r="E2846" s="3928" t="s">
        <v>3004</v>
      </c>
      <c r="F2846" s="3928" t="s">
        <v>2469</v>
      </c>
      <c r="G2846" s="3928" t="s">
        <v>24</v>
      </c>
      <c r="H2846" s="3928" t="s">
        <v>24</v>
      </c>
      <c r="I2846" s="3928" t="s">
        <v>912</v>
      </c>
    </row>
    <row r="2847" spans="1:9" ht="11.25" customHeight="1">
      <c r="A2847" s="3928" t="s">
        <v>2258</v>
      </c>
      <c r="B2847" s="3928" t="s">
        <v>14</v>
      </c>
      <c r="C2847" s="3928" t="s">
        <v>6349</v>
      </c>
      <c r="D2847" s="3928" t="s">
        <v>6350</v>
      </c>
      <c r="E2847" s="3928" t="s">
        <v>6351</v>
      </c>
      <c r="F2847" s="3928" t="s">
        <v>2289</v>
      </c>
      <c r="G2847" s="3928" t="s">
        <v>6352</v>
      </c>
      <c r="H2847" s="3928" t="s">
        <v>6353</v>
      </c>
      <c r="I2847" s="3928" t="s">
        <v>912</v>
      </c>
    </row>
    <row r="2848" spans="1:9" ht="11.25" customHeight="1">
      <c r="A2848" s="3928" t="s">
        <v>2258</v>
      </c>
      <c r="B2848" s="3928" t="s">
        <v>14</v>
      </c>
      <c r="C2848" s="3928" t="s">
        <v>3013</v>
      </c>
      <c r="D2848" s="3928" t="s">
        <v>3014</v>
      </c>
      <c r="E2848" s="3928" t="s">
        <v>3015</v>
      </c>
      <c r="F2848" s="3928" t="s">
        <v>2294</v>
      </c>
      <c r="G2848" s="3928" t="s">
        <v>24</v>
      </c>
      <c r="H2848" s="3928" t="s">
        <v>24</v>
      </c>
      <c r="I2848" s="3928" t="s">
        <v>912</v>
      </c>
    </row>
    <row r="2849" spans="1:9" ht="11.25" customHeight="1">
      <c r="A2849" s="3928" t="s">
        <v>2258</v>
      </c>
      <c r="B2849" s="3928" t="s">
        <v>14</v>
      </c>
      <c r="C2849" s="3928" t="s">
        <v>3016</v>
      </c>
      <c r="D2849" s="3928" t="s">
        <v>3017</v>
      </c>
      <c r="E2849" s="3928" t="s">
        <v>3018</v>
      </c>
      <c r="F2849" s="3928" t="s">
        <v>2965</v>
      </c>
      <c r="G2849" s="3928" t="s">
        <v>3019</v>
      </c>
      <c r="H2849" s="3928" t="s">
        <v>24</v>
      </c>
      <c r="I2849" s="3928" t="s">
        <v>912</v>
      </c>
    </row>
    <row r="2850" spans="1:9" ht="11.25" customHeight="1">
      <c r="A2850" s="3928" t="s">
        <v>2258</v>
      </c>
      <c r="B2850" s="3928" t="s">
        <v>14</v>
      </c>
      <c r="C2850" s="3928" t="s">
        <v>3020</v>
      </c>
      <c r="D2850" s="3928" t="s">
        <v>3021</v>
      </c>
      <c r="E2850" s="3928" t="s">
        <v>3022</v>
      </c>
      <c r="F2850" s="3928" t="s">
        <v>3023</v>
      </c>
      <c r="G2850" s="3928" t="s">
        <v>3024</v>
      </c>
      <c r="H2850" s="3928" t="s">
        <v>2263</v>
      </c>
      <c r="I2850" s="3928" t="s">
        <v>912</v>
      </c>
    </row>
    <row r="2851" spans="1:9" ht="11.25" customHeight="1">
      <c r="A2851" s="3928" t="s">
        <v>2258</v>
      </c>
      <c r="B2851" s="3928" t="s">
        <v>14</v>
      </c>
      <c r="C2851" s="3928" t="s">
        <v>6678</v>
      </c>
      <c r="D2851" s="3928" t="s">
        <v>6679</v>
      </c>
      <c r="E2851" s="3928" t="s">
        <v>6680</v>
      </c>
      <c r="F2851" s="3928" t="s">
        <v>2397</v>
      </c>
      <c r="G2851" s="3928" t="s">
        <v>24</v>
      </c>
      <c r="H2851" s="3928" t="s">
        <v>24</v>
      </c>
      <c r="I2851" s="3928" t="s">
        <v>912</v>
      </c>
    </row>
    <row r="2852" spans="1:9" ht="11.25" customHeight="1">
      <c r="A2852" s="3928" t="s">
        <v>2258</v>
      </c>
      <c r="B2852" s="3928" t="s">
        <v>14</v>
      </c>
      <c r="C2852" s="3928" t="s">
        <v>6681</v>
      </c>
      <c r="D2852" s="3928" t="s">
        <v>6682</v>
      </c>
      <c r="E2852" s="3928" t="s">
        <v>6683</v>
      </c>
      <c r="F2852" s="3928" t="s">
        <v>2567</v>
      </c>
      <c r="G2852" s="3928" t="s">
        <v>6684</v>
      </c>
      <c r="H2852" s="3928" t="s">
        <v>2772</v>
      </c>
      <c r="I2852" s="3928" t="s">
        <v>912</v>
      </c>
    </row>
    <row r="2853" spans="1:9" ht="11.25" customHeight="1">
      <c r="A2853" s="3928" t="s">
        <v>2258</v>
      </c>
      <c r="B2853" s="3928" t="s">
        <v>14</v>
      </c>
      <c r="C2853" s="3928" t="s">
        <v>6685</v>
      </c>
      <c r="D2853" s="3928" t="s">
        <v>6686</v>
      </c>
      <c r="E2853" s="3928" t="s">
        <v>6687</v>
      </c>
      <c r="F2853" s="3928" t="s">
        <v>3406</v>
      </c>
      <c r="G2853" s="3928" t="s">
        <v>6688</v>
      </c>
      <c r="H2853" s="3928" t="s">
        <v>6689</v>
      </c>
      <c r="I2853" s="3928" t="s">
        <v>912</v>
      </c>
    </row>
    <row r="2854" spans="1:9" ht="11.25" customHeight="1">
      <c r="A2854" s="3928" t="s">
        <v>2258</v>
      </c>
      <c r="B2854" s="3928" t="s">
        <v>14</v>
      </c>
      <c r="C2854" s="3928" t="s">
        <v>6690</v>
      </c>
      <c r="D2854" s="3928" t="s">
        <v>6691</v>
      </c>
      <c r="E2854" s="3928" t="s">
        <v>6692</v>
      </c>
      <c r="F2854" s="3928" t="s">
        <v>2429</v>
      </c>
      <c r="G2854" s="3928" t="s">
        <v>6693</v>
      </c>
      <c r="H2854" s="3928" t="s">
        <v>24</v>
      </c>
      <c r="I2854" s="3928" t="s">
        <v>912</v>
      </c>
    </row>
    <row r="2855" spans="1:9" ht="11.25" customHeight="1">
      <c r="A2855" s="3928" t="s">
        <v>2258</v>
      </c>
      <c r="B2855" s="3928" t="s">
        <v>14</v>
      </c>
      <c r="C2855" s="3928" t="s">
        <v>3029</v>
      </c>
      <c r="D2855" s="3928" t="s">
        <v>3030</v>
      </c>
      <c r="E2855" s="3928" t="s">
        <v>3031</v>
      </c>
      <c r="F2855" s="3928" t="s">
        <v>2414</v>
      </c>
      <c r="G2855" s="3928" t="s">
        <v>2420</v>
      </c>
      <c r="H2855" s="3928" t="s">
        <v>24</v>
      </c>
      <c r="I2855" s="3928" t="s">
        <v>912</v>
      </c>
    </row>
    <row r="2856" spans="1:9" ht="11.25" customHeight="1">
      <c r="A2856" s="3928" t="s">
        <v>2258</v>
      </c>
      <c r="B2856" s="3928" t="s">
        <v>14</v>
      </c>
      <c r="C2856" s="3928" t="s">
        <v>3036</v>
      </c>
      <c r="D2856" s="3928" t="s">
        <v>3037</v>
      </c>
      <c r="E2856" s="3928" t="s">
        <v>3038</v>
      </c>
      <c r="F2856" s="3928" t="s">
        <v>3039</v>
      </c>
      <c r="G2856" s="3928" t="s">
        <v>3040</v>
      </c>
      <c r="H2856" s="3928" t="s">
        <v>24</v>
      </c>
      <c r="I2856" s="3928" t="s">
        <v>912</v>
      </c>
    </row>
    <row r="2857" spans="1:9" ht="11.25" customHeight="1">
      <c r="A2857" s="3928" t="s">
        <v>2258</v>
      </c>
      <c r="B2857" s="3928" t="s">
        <v>14</v>
      </c>
      <c r="C2857" s="3928" t="s">
        <v>3041</v>
      </c>
      <c r="D2857" s="3928" t="s">
        <v>3042</v>
      </c>
      <c r="E2857" s="3928" t="s">
        <v>3043</v>
      </c>
      <c r="F2857" s="3928" t="s">
        <v>2486</v>
      </c>
      <c r="G2857" s="3928" t="s">
        <v>24</v>
      </c>
      <c r="H2857" s="3928" t="s">
        <v>24</v>
      </c>
      <c r="I2857" s="3928" t="s">
        <v>912</v>
      </c>
    </row>
    <row r="2858" spans="1:9" ht="11.25" customHeight="1">
      <c r="A2858" s="3928" t="s">
        <v>2258</v>
      </c>
      <c r="B2858" s="3928" t="s">
        <v>14</v>
      </c>
      <c r="C2858" s="3928" t="s">
        <v>3048</v>
      </c>
      <c r="D2858" s="3928" t="s">
        <v>3049</v>
      </c>
      <c r="E2858" s="3928" t="s">
        <v>3050</v>
      </c>
      <c r="F2858" s="3928" t="s">
        <v>3051</v>
      </c>
      <c r="G2858" s="3928" t="s">
        <v>3052</v>
      </c>
      <c r="H2858" s="3928" t="s">
        <v>24</v>
      </c>
      <c r="I2858" s="3928" t="s">
        <v>912</v>
      </c>
    </row>
    <row r="2859" spans="1:9" ht="11.25" customHeight="1">
      <c r="A2859" s="3928" t="s">
        <v>2258</v>
      </c>
      <c r="B2859" s="3928" t="s">
        <v>14</v>
      </c>
      <c r="C2859" s="3928" t="s">
        <v>3053</v>
      </c>
      <c r="D2859" s="3928" t="s">
        <v>3054</v>
      </c>
      <c r="E2859" s="3928" t="s">
        <v>3055</v>
      </c>
      <c r="F2859" s="3928" t="s">
        <v>2429</v>
      </c>
      <c r="G2859" s="3928" t="s">
        <v>24</v>
      </c>
      <c r="H2859" s="3928" t="s">
        <v>3056</v>
      </c>
      <c r="I2859" s="3928" t="s">
        <v>912</v>
      </c>
    </row>
    <row r="2860" spans="1:9" ht="11.25" customHeight="1">
      <c r="A2860" s="3928" t="s">
        <v>2258</v>
      </c>
      <c r="B2860" s="3928" t="s">
        <v>14</v>
      </c>
      <c r="C2860" s="3928" t="s">
        <v>7966</v>
      </c>
      <c r="D2860" s="3928" t="s">
        <v>7967</v>
      </c>
      <c r="E2860" s="3928" t="s">
        <v>7968</v>
      </c>
      <c r="F2860" s="3928" t="s">
        <v>2486</v>
      </c>
      <c r="G2860" s="3928" t="s">
        <v>24</v>
      </c>
      <c r="H2860" s="3928" t="s">
        <v>2848</v>
      </c>
      <c r="I2860" s="3928" t="s">
        <v>912</v>
      </c>
    </row>
    <row r="2861" spans="1:9" ht="11.25" customHeight="1">
      <c r="A2861" s="3928" t="s">
        <v>2258</v>
      </c>
      <c r="B2861" s="3928" t="s">
        <v>14</v>
      </c>
      <c r="C2861" s="3928" t="s">
        <v>3072</v>
      </c>
      <c r="D2861" s="3928" t="s">
        <v>3073</v>
      </c>
      <c r="E2861" s="3928" t="s">
        <v>3074</v>
      </c>
      <c r="F2861" s="3928" t="s">
        <v>2397</v>
      </c>
      <c r="G2861" s="3928" t="s">
        <v>24</v>
      </c>
      <c r="H2861" s="3928" t="s">
        <v>3075</v>
      </c>
      <c r="I2861" s="3928" t="s">
        <v>912</v>
      </c>
    </row>
    <row r="2862" spans="1:9" ht="11.25" customHeight="1">
      <c r="A2862" s="3928" t="s">
        <v>2258</v>
      </c>
      <c r="B2862" s="3928" t="s">
        <v>14</v>
      </c>
      <c r="C2862" s="3928" t="s">
        <v>6701</v>
      </c>
      <c r="D2862" s="3928" t="s">
        <v>6702</v>
      </c>
      <c r="E2862" s="3928" t="s">
        <v>6703</v>
      </c>
      <c r="F2862" s="3928" t="s">
        <v>2289</v>
      </c>
      <c r="G2862" s="3928" t="s">
        <v>24</v>
      </c>
      <c r="H2862" s="3928" t="s">
        <v>3068</v>
      </c>
      <c r="I2862" s="3928" t="s">
        <v>912</v>
      </c>
    </row>
    <row r="2863" spans="1:9" ht="11.25" customHeight="1">
      <c r="A2863" s="3928" t="s">
        <v>2258</v>
      </c>
      <c r="B2863" s="3928" t="s">
        <v>14</v>
      </c>
      <c r="C2863" s="3928" t="s">
        <v>6704</v>
      </c>
      <c r="D2863" s="3928" t="s">
        <v>6705</v>
      </c>
      <c r="E2863" s="3928" t="s">
        <v>6325</v>
      </c>
      <c r="F2863" s="3928" t="s">
        <v>6113</v>
      </c>
      <c r="G2863" s="3928" t="s">
        <v>24</v>
      </c>
      <c r="H2863" s="3928" t="s">
        <v>24</v>
      </c>
      <c r="I2863" s="3928" t="s">
        <v>912</v>
      </c>
    </row>
    <row r="2864" spans="1:9" ht="11.25" customHeight="1">
      <c r="A2864" s="3928" t="s">
        <v>2258</v>
      </c>
      <c r="B2864" s="3928" t="s">
        <v>14</v>
      </c>
      <c r="C2864" s="3928" t="s">
        <v>3083</v>
      </c>
      <c r="D2864" s="3928" t="s">
        <v>3084</v>
      </c>
      <c r="E2864" s="3928" t="s">
        <v>3085</v>
      </c>
      <c r="F2864" s="3928" t="s">
        <v>3086</v>
      </c>
      <c r="G2864" s="3928" t="s">
        <v>3087</v>
      </c>
      <c r="H2864" s="3928" t="s">
        <v>24</v>
      </c>
      <c r="I2864" s="3928" t="s">
        <v>912</v>
      </c>
    </row>
    <row r="2865" spans="1:9" ht="11.25" customHeight="1">
      <c r="A2865" s="3928" t="s">
        <v>2258</v>
      </c>
      <c r="B2865" s="3928" t="s">
        <v>14</v>
      </c>
      <c r="C2865" s="3928" t="s">
        <v>3093</v>
      </c>
      <c r="D2865" s="3928" t="s">
        <v>3094</v>
      </c>
      <c r="E2865" s="3928" t="s">
        <v>3095</v>
      </c>
      <c r="F2865" s="3928" t="s">
        <v>2464</v>
      </c>
      <c r="G2865" s="3928" t="s">
        <v>3096</v>
      </c>
      <c r="H2865" s="3928" t="s">
        <v>24</v>
      </c>
      <c r="I2865" s="3928" t="s">
        <v>912</v>
      </c>
    </row>
    <row r="2866" spans="1:9" ht="11.25" customHeight="1">
      <c r="A2866" s="3928" t="s">
        <v>2258</v>
      </c>
      <c r="B2866" s="3928" t="s">
        <v>14</v>
      </c>
      <c r="C2866" s="3928" t="s">
        <v>3097</v>
      </c>
      <c r="D2866" s="3928" t="s">
        <v>3098</v>
      </c>
      <c r="E2866" s="3928" t="s">
        <v>3099</v>
      </c>
      <c r="F2866" s="3928" t="s">
        <v>2929</v>
      </c>
      <c r="G2866" s="3928" t="s">
        <v>3100</v>
      </c>
      <c r="H2866" s="3928" t="s">
        <v>24</v>
      </c>
      <c r="I2866" s="3928" t="s">
        <v>912</v>
      </c>
    </row>
    <row r="2867" spans="1:9" ht="11.25" customHeight="1">
      <c r="A2867" s="3928" t="s">
        <v>2258</v>
      </c>
      <c r="B2867" s="3928" t="s">
        <v>14</v>
      </c>
      <c r="C2867" s="3928" t="s">
        <v>3108</v>
      </c>
      <c r="D2867" s="3928" t="s">
        <v>3109</v>
      </c>
      <c r="E2867" s="3928" t="s">
        <v>3110</v>
      </c>
      <c r="F2867" s="3928" t="s">
        <v>2473</v>
      </c>
      <c r="G2867" s="3928" t="s">
        <v>3111</v>
      </c>
      <c r="H2867" s="3928" t="s">
        <v>24</v>
      </c>
      <c r="I2867" s="3928" t="s">
        <v>912</v>
      </c>
    </row>
    <row r="2868" spans="1:9" ht="11.25" customHeight="1">
      <c r="A2868" s="3928" t="s">
        <v>2258</v>
      </c>
      <c r="B2868" s="3928" t="s">
        <v>14</v>
      </c>
      <c r="C2868" s="3928" t="s">
        <v>6713</v>
      </c>
      <c r="D2868" s="3928" t="s">
        <v>6714</v>
      </c>
      <c r="E2868" s="3928" t="s">
        <v>6715</v>
      </c>
      <c r="F2868" s="3928" t="s">
        <v>2294</v>
      </c>
      <c r="G2868" s="3928" t="s">
        <v>6716</v>
      </c>
      <c r="H2868" s="3928" t="s">
        <v>6717</v>
      </c>
      <c r="I2868" s="3928" t="s">
        <v>912</v>
      </c>
    </row>
    <row r="2869" spans="1:9" ht="11.25" customHeight="1">
      <c r="A2869" s="3928" t="s">
        <v>2258</v>
      </c>
      <c r="B2869" s="3928" t="s">
        <v>14</v>
      </c>
      <c r="C2869" s="3928" t="s">
        <v>6718</v>
      </c>
      <c r="D2869" s="3928" t="s">
        <v>6719</v>
      </c>
      <c r="E2869" s="3928" t="s">
        <v>6720</v>
      </c>
      <c r="F2869" s="3928" t="s">
        <v>2486</v>
      </c>
      <c r="G2869" s="3928" t="s">
        <v>24</v>
      </c>
      <c r="H2869" s="3928" t="s">
        <v>24</v>
      </c>
      <c r="I2869" s="3928" t="s">
        <v>912</v>
      </c>
    </row>
    <row r="2870" spans="1:9" ht="11.25" customHeight="1">
      <c r="A2870" s="3928" t="s">
        <v>2258</v>
      </c>
      <c r="B2870" s="3928" t="s">
        <v>14</v>
      </c>
      <c r="C2870" s="3928" t="s">
        <v>6354</v>
      </c>
      <c r="D2870" s="3928" t="s">
        <v>6355</v>
      </c>
      <c r="E2870" s="3928" t="s">
        <v>6356</v>
      </c>
      <c r="F2870" s="3928" t="s">
        <v>2409</v>
      </c>
      <c r="G2870" s="3928" t="s">
        <v>24</v>
      </c>
      <c r="H2870" s="3928" t="s">
        <v>2263</v>
      </c>
      <c r="I2870" s="3928" t="s">
        <v>912</v>
      </c>
    </row>
    <row r="2871" spans="1:9" ht="11.25" customHeight="1">
      <c r="A2871" s="3928" t="s">
        <v>2258</v>
      </c>
      <c r="B2871" s="3928" t="s">
        <v>14</v>
      </c>
      <c r="C2871" s="3928" t="s">
        <v>6357</v>
      </c>
      <c r="D2871" s="3928" t="s">
        <v>6358</v>
      </c>
      <c r="E2871" s="3928" t="s">
        <v>6359</v>
      </c>
      <c r="F2871" s="3928" t="s">
        <v>2409</v>
      </c>
      <c r="G2871" s="3928" t="s">
        <v>6360</v>
      </c>
      <c r="H2871" s="3928" t="s">
        <v>2263</v>
      </c>
      <c r="I2871" s="3928" t="s">
        <v>912</v>
      </c>
    </row>
    <row r="2872" spans="1:9" ht="11.25" customHeight="1">
      <c r="A2872" s="3928" t="s">
        <v>2258</v>
      </c>
      <c r="B2872" s="3928" t="s">
        <v>14</v>
      </c>
      <c r="C2872" s="3928" t="s">
        <v>6725</v>
      </c>
      <c r="D2872" s="3928" t="s">
        <v>6726</v>
      </c>
      <c r="E2872" s="3928" t="s">
        <v>2261</v>
      </c>
      <c r="F2872" s="3928" t="s">
        <v>5796</v>
      </c>
      <c r="G2872" s="3928" t="s">
        <v>24</v>
      </c>
      <c r="H2872" s="3928" t="s">
        <v>2848</v>
      </c>
      <c r="I2872" s="3928" t="s">
        <v>912</v>
      </c>
    </row>
    <row r="2873" spans="1:9" ht="11.25" customHeight="1">
      <c r="A2873" s="3928" t="s">
        <v>2258</v>
      </c>
      <c r="B2873" s="3928" t="s">
        <v>14</v>
      </c>
      <c r="C2873" s="3928" t="s">
        <v>6361</v>
      </c>
      <c r="D2873" s="3928" t="s">
        <v>6362</v>
      </c>
      <c r="E2873" s="3928" t="s">
        <v>6363</v>
      </c>
      <c r="F2873" s="3928" t="s">
        <v>2424</v>
      </c>
      <c r="G2873" s="3928" t="s">
        <v>24</v>
      </c>
      <c r="H2873" s="3928" t="s">
        <v>2263</v>
      </c>
      <c r="I2873" s="3928" t="s">
        <v>912</v>
      </c>
    </row>
    <row r="2874" spans="1:9" ht="11.25" customHeight="1">
      <c r="A2874" s="3928" t="s">
        <v>2258</v>
      </c>
      <c r="B2874" s="3928" t="s">
        <v>14</v>
      </c>
      <c r="C2874" s="3928" t="s">
        <v>6730</v>
      </c>
      <c r="D2874" s="3928" t="s">
        <v>6731</v>
      </c>
      <c r="E2874" s="3928" t="s">
        <v>6732</v>
      </c>
      <c r="F2874" s="3928" t="s">
        <v>2567</v>
      </c>
      <c r="G2874" s="3928" t="s">
        <v>24</v>
      </c>
      <c r="H2874" s="3928" t="s">
        <v>24</v>
      </c>
      <c r="I2874" s="3928" t="s">
        <v>912</v>
      </c>
    </row>
    <row r="2875" spans="1:9" ht="11.25" customHeight="1">
      <c r="A2875" s="3928" t="s">
        <v>2258</v>
      </c>
      <c r="B2875" s="3928" t="s">
        <v>14</v>
      </c>
      <c r="C2875" s="3928" t="s">
        <v>6733</v>
      </c>
      <c r="D2875" s="3928" t="s">
        <v>6734</v>
      </c>
      <c r="E2875" s="3928" t="s">
        <v>6735</v>
      </c>
      <c r="F2875" s="3928" t="s">
        <v>2359</v>
      </c>
      <c r="G2875" s="3928" t="s">
        <v>6736</v>
      </c>
      <c r="H2875" s="3928" t="s">
        <v>24</v>
      </c>
      <c r="I2875" s="3928" t="s">
        <v>912</v>
      </c>
    </row>
    <row r="2876" spans="1:9" ht="11.25" customHeight="1">
      <c r="A2876" s="3928" t="s">
        <v>2258</v>
      </c>
      <c r="B2876" s="3928" t="s">
        <v>14</v>
      </c>
      <c r="C2876" s="3928" t="s">
        <v>7969</v>
      </c>
      <c r="D2876" s="3928" t="s">
        <v>7970</v>
      </c>
      <c r="E2876" s="3928" t="s">
        <v>7971</v>
      </c>
      <c r="F2876" s="3928" t="s">
        <v>2701</v>
      </c>
      <c r="G2876" s="3928" t="s">
        <v>24</v>
      </c>
      <c r="H2876" s="3928" t="s">
        <v>2263</v>
      </c>
      <c r="I2876" s="3928" t="s">
        <v>912</v>
      </c>
    </row>
    <row r="2877" spans="1:9" ht="11.25" customHeight="1">
      <c r="A2877" s="3928" t="s">
        <v>2258</v>
      </c>
      <c r="B2877" s="3928" t="s">
        <v>14</v>
      </c>
      <c r="C2877" s="3928" t="s">
        <v>6737</v>
      </c>
      <c r="D2877" s="3928" t="s">
        <v>622</v>
      </c>
      <c r="E2877" s="3928" t="s">
        <v>6738</v>
      </c>
      <c r="F2877" s="3928" t="s">
        <v>3509</v>
      </c>
      <c r="G2877" s="3928" t="s">
        <v>6739</v>
      </c>
      <c r="H2877" s="3928" t="s">
        <v>24</v>
      </c>
      <c r="I2877" s="3928" t="s">
        <v>912</v>
      </c>
    </row>
    <row r="2878" spans="1:9" ht="11.25" customHeight="1">
      <c r="A2878" s="3928" t="s">
        <v>2258</v>
      </c>
      <c r="B2878" s="3928" t="s">
        <v>14</v>
      </c>
      <c r="C2878" s="3928" t="s">
        <v>3146</v>
      </c>
      <c r="D2878" s="3928" t="s">
        <v>3147</v>
      </c>
      <c r="E2878" s="3928" t="s">
        <v>3148</v>
      </c>
      <c r="F2878" s="3928" t="s">
        <v>2325</v>
      </c>
      <c r="G2878" s="3928" t="s">
        <v>24</v>
      </c>
      <c r="H2878" s="3928" t="s">
        <v>24</v>
      </c>
      <c r="I2878" s="3928" t="s">
        <v>912</v>
      </c>
    </row>
    <row r="2879" spans="1:9" ht="11.25" customHeight="1">
      <c r="A2879" s="3928" t="s">
        <v>2258</v>
      </c>
      <c r="B2879" s="3928" t="s">
        <v>14</v>
      </c>
      <c r="C2879" s="3928" t="s">
        <v>3169</v>
      </c>
      <c r="D2879" s="3928" t="s">
        <v>3170</v>
      </c>
      <c r="E2879" s="3928" t="s">
        <v>3171</v>
      </c>
      <c r="F2879" s="3928" t="s">
        <v>2289</v>
      </c>
      <c r="G2879" s="3928" t="s">
        <v>24</v>
      </c>
      <c r="H2879" s="3928" t="s">
        <v>2263</v>
      </c>
      <c r="I2879" s="3928" t="s">
        <v>912</v>
      </c>
    </row>
    <row r="2880" spans="1:9" ht="11.25" customHeight="1">
      <c r="A2880" s="3928" t="s">
        <v>2258</v>
      </c>
      <c r="B2880" s="3928" t="s">
        <v>14</v>
      </c>
      <c r="C2880" s="3928" t="s">
        <v>3176</v>
      </c>
      <c r="D2880" s="3928" t="s">
        <v>3177</v>
      </c>
      <c r="E2880" s="3928" t="s">
        <v>3178</v>
      </c>
      <c r="F2880" s="3928" t="s">
        <v>2675</v>
      </c>
      <c r="G2880" s="3928" t="s">
        <v>3179</v>
      </c>
      <c r="H2880" s="3928" t="s">
        <v>24</v>
      </c>
      <c r="I2880" s="3928" t="s">
        <v>912</v>
      </c>
    </row>
    <row r="2881" spans="1:9" ht="11.25" customHeight="1">
      <c r="A2881" s="3928" t="s">
        <v>2258</v>
      </c>
      <c r="B2881" s="3928" t="s">
        <v>14</v>
      </c>
      <c r="C2881" s="3928" t="s">
        <v>6742</v>
      </c>
      <c r="D2881" s="3928" t="s">
        <v>6743</v>
      </c>
      <c r="E2881" s="3928" t="s">
        <v>6744</v>
      </c>
      <c r="F2881" s="3928" t="s">
        <v>2552</v>
      </c>
      <c r="G2881" s="3928" t="s">
        <v>24</v>
      </c>
      <c r="H2881" s="3928" t="s">
        <v>3992</v>
      </c>
      <c r="I2881" s="3928" t="s">
        <v>912</v>
      </c>
    </row>
    <row r="2882" spans="1:9" ht="11.25" customHeight="1">
      <c r="A2882" s="3928" t="s">
        <v>2258</v>
      </c>
      <c r="B2882" s="3928" t="s">
        <v>14</v>
      </c>
      <c r="C2882" s="3928" t="s">
        <v>3191</v>
      </c>
      <c r="D2882" s="3928" t="s">
        <v>3192</v>
      </c>
      <c r="E2882" s="3928" t="s">
        <v>3193</v>
      </c>
      <c r="F2882" s="3928" t="s">
        <v>3194</v>
      </c>
      <c r="G2882" s="3928" t="s">
        <v>24</v>
      </c>
      <c r="H2882" s="3928" t="s">
        <v>24</v>
      </c>
      <c r="I2882" s="3928" t="s">
        <v>912</v>
      </c>
    </row>
    <row r="2883" spans="1:9" ht="11.25" customHeight="1">
      <c r="A2883" s="3928" t="s">
        <v>2258</v>
      </c>
      <c r="B2883" s="3928" t="s">
        <v>14</v>
      </c>
      <c r="C2883" s="3928" t="s">
        <v>6758</v>
      </c>
      <c r="D2883" s="3928" t="s">
        <v>6759</v>
      </c>
      <c r="E2883" s="3928" t="s">
        <v>6760</v>
      </c>
      <c r="F2883" s="3928" t="s">
        <v>2567</v>
      </c>
      <c r="G2883" s="3928" t="s">
        <v>24</v>
      </c>
      <c r="H2883" s="3928" t="s">
        <v>24</v>
      </c>
      <c r="I2883" s="3928" t="s">
        <v>912</v>
      </c>
    </row>
    <row r="2884" spans="1:9" ht="11.25" customHeight="1">
      <c r="A2884" s="3928" t="s">
        <v>2258</v>
      </c>
      <c r="B2884" s="3928" t="s">
        <v>14</v>
      </c>
      <c r="C2884" s="3928" t="s">
        <v>7972</v>
      </c>
      <c r="D2884" s="3928" t="s">
        <v>7973</v>
      </c>
      <c r="E2884" s="3928" t="s">
        <v>7974</v>
      </c>
      <c r="F2884" s="3928" t="s">
        <v>3509</v>
      </c>
      <c r="G2884" s="3928" t="s">
        <v>24</v>
      </c>
      <c r="H2884" s="3928" t="s">
        <v>7975</v>
      </c>
      <c r="I2884" s="3928" t="s">
        <v>912</v>
      </c>
    </row>
    <row r="2885" spans="1:9" ht="11.25" customHeight="1">
      <c r="A2885" s="3928" t="s">
        <v>2258</v>
      </c>
      <c r="B2885" s="3928" t="s">
        <v>14</v>
      </c>
      <c r="C2885" s="3928" t="s">
        <v>6761</v>
      </c>
      <c r="D2885" s="3928" t="s">
        <v>6762</v>
      </c>
      <c r="E2885" s="3928" t="s">
        <v>6763</v>
      </c>
      <c r="F2885" s="3928" t="s">
        <v>2701</v>
      </c>
      <c r="G2885" s="3928" t="s">
        <v>24</v>
      </c>
      <c r="H2885" s="3928" t="s">
        <v>24</v>
      </c>
      <c r="I2885" s="3928" t="s">
        <v>912</v>
      </c>
    </row>
    <row r="2886" spans="1:9" ht="11.25" customHeight="1">
      <c r="A2886" s="3928" t="s">
        <v>2258</v>
      </c>
      <c r="B2886" s="3928" t="s">
        <v>14</v>
      </c>
      <c r="C2886" s="3928" t="s">
        <v>7976</v>
      </c>
      <c r="D2886" s="3928" t="s">
        <v>7977</v>
      </c>
      <c r="E2886" s="3928" t="s">
        <v>7978</v>
      </c>
      <c r="F2886" s="3928" t="s">
        <v>2262</v>
      </c>
      <c r="G2886" s="3928" t="s">
        <v>24</v>
      </c>
      <c r="H2886" s="3928" t="s">
        <v>24</v>
      </c>
      <c r="I2886" s="3928" t="s">
        <v>912</v>
      </c>
    </row>
    <row r="2887" spans="1:9" ht="11.25" customHeight="1">
      <c r="A2887" s="3928" t="s">
        <v>2258</v>
      </c>
      <c r="B2887" s="3928" t="s">
        <v>14</v>
      </c>
      <c r="C2887" s="3928" t="s">
        <v>3210</v>
      </c>
      <c r="D2887" s="3928" t="s">
        <v>3211</v>
      </c>
      <c r="E2887" s="3928" t="s">
        <v>3212</v>
      </c>
      <c r="F2887" s="3928" t="s">
        <v>2262</v>
      </c>
      <c r="G2887" s="3928" t="s">
        <v>3213</v>
      </c>
      <c r="H2887" s="3928" t="s">
        <v>2314</v>
      </c>
      <c r="I2887" s="3928" t="s">
        <v>912</v>
      </c>
    </row>
    <row r="2888" spans="1:9" ht="11.25" customHeight="1">
      <c r="A2888" s="3928" t="s">
        <v>2258</v>
      </c>
      <c r="B2888" s="3928" t="s">
        <v>14</v>
      </c>
      <c r="C2888" s="3928" t="s">
        <v>3214</v>
      </c>
      <c r="D2888" s="3928" t="s">
        <v>3215</v>
      </c>
      <c r="E2888" s="3928" t="s">
        <v>3216</v>
      </c>
      <c r="F2888" s="3928" t="s">
        <v>2419</v>
      </c>
      <c r="G2888" s="3928" t="s">
        <v>24</v>
      </c>
      <c r="H2888" s="3928" t="s">
        <v>3217</v>
      </c>
      <c r="I2888" s="3928" t="s">
        <v>912</v>
      </c>
    </row>
    <row r="2889" spans="1:9" ht="11.25" customHeight="1">
      <c r="A2889" s="3928" t="s">
        <v>2258</v>
      </c>
      <c r="B2889" s="3928" t="s">
        <v>14</v>
      </c>
      <c r="C2889" s="3928" t="s">
        <v>6767</v>
      </c>
      <c r="D2889" s="3928" t="s">
        <v>6768</v>
      </c>
      <c r="E2889" s="3928" t="s">
        <v>3216</v>
      </c>
      <c r="F2889" s="3928" t="s">
        <v>6769</v>
      </c>
      <c r="G2889" s="3928" t="s">
        <v>24</v>
      </c>
      <c r="H2889" s="3928" t="s">
        <v>3217</v>
      </c>
      <c r="I2889" s="3928" t="s">
        <v>912</v>
      </c>
    </row>
    <row r="2890" spans="1:9" ht="11.25" customHeight="1">
      <c r="A2890" s="3928" t="s">
        <v>2258</v>
      </c>
      <c r="B2890" s="3928" t="s">
        <v>14</v>
      </c>
      <c r="C2890" s="3928" t="s">
        <v>6770</v>
      </c>
      <c r="D2890" s="3928" t="s">
        <v>6771</v>
      </c>
      <c r="E2890" s="3928" t="s">
        <v>6772</v>
      </c>
      <c r="F2890" s="3928" t="s">
        <v>2262</v>
      </c>
      <c r="G2890" s="3928" t="s">
        <v>24</v>
      </c>
      <c r="H2890" s="3928" t="s">
        <v>2848</v>
      </c>
      <c r="I2890" s="3928" t="s">
        <v>912</v>
      </c>
    </row>
    <row r="2891" spans="1:9" ht="11.25" customHeight="1">
      <c r="A2891" s="3928" t="s">
        <v>2258</v>
      </c>
      <c r="B2891" s="3928" t="s">
        <v>14</v>
      </c>
      <c r="C2891" s="3928" t="s">
        <v>6776</v>
      </c>
      <c r="D2891" s="3928" t="s">
        <v>3224</v>
      </c>
      <c r="E2891" s="3928" t="s">
        <v>6777</v>
      </c>
      <c r="F2891" s="3928" t="s">
        <v>6778</v>
      </c>
      <c r="G2891" s="3928" t="s">
        <v>24</v>
      </c>
      <c r="H2891" s="3928" t="s">
        <v>2263</v>
      </c>
      <c r="I2891" s="3928" t="s">
        <v>912</v>
      </c>
    </row>
    <row r="2892" spans="1:9" ht="11.25" customHeight="1">
      <c r="A2892" s="3928" t="s">
        <v>2258</v>
      </c>
      <c r="B2892" s="3928" t="s">
        <v>14</v>
      </c>
      <c r="C2892" s="3928" t="s">
        <v>3226</v>
      </c>
      <c r="D2892" s="3928" t="s">
        <v>3227</v>
      </c>
      <c r="E2892" s="3928" t="s">
        <v>3228</v>
      </c>
      <c r="F2892" s="3928" t="s">
        <v>2294</v>
      </c>
      <c r="G2892" s="3928" t="s">
        <v>24</v>
      </c>
      <c r="H2892" s="3928" t="s">
        <v>24</v>
      </c>
      <c r="I2892" s="3928" t="s">
        <v>912</v>
      </c>
    </row>
    <row r="2893" spans="1:9" ht="11.25" customHeight="1">
      <c r="A2893" s="3928" t="s">
        <v>2258</v>
      </c>
      <c r="B2893" s="3928" t="s">
        <v>14</v>
      </c>
      <c r="C2893" s="3928" t="s">
        <v>7979</v>
      </c>
      <c r="D2893" s="3928" t="s">
        <v>7980</v>
      </c>
      <c r="E2893" s="3928" t="s">
        <v>7981</v>
      </c>
      <c r="F2893" s="3928" t="s">
        <v>3205</v>
      </c>
      <c r="G2893" s="3928" t="s">
        <v>24</v>
      </c>
      <c r="H2893" s="3928" t="s">
        <v>2263</v>
      </c>
      <c r="I2893" s="3928" t="s">
        <v>912</v>
      </c>
    </row>
    <row r="2894" spans="1:9" ht="11.25" customHeight="1">
      <c r="A2894" s="3928" t="s">
        <v>2258</v>
      </c>
      <c r="B2894" s="3928" t="s">
        <v>14</v>
      </c>
      <c r="C2894" s="3928" t="s">
        <v>3233</v>
      </c>
      <c r="D2894" s="3928" t="s">
        <v>3234</v>
      </c>
      <c r="E2894" s="3928" t="s">
        <v>3235</v>
      </c>
      <c r="F2894" s="3928" t="s">
        <v>2289</v>
      </c>
      <c r="G2894" s="3928" t="s">
        <v>3236</v>
      </c>
      <c r="H2894" s="3928" t="s">
        <v>24</v>
      </c>
      <c r="I2894" s="3928" t="s">
        <v>912</v>
      </c>
    </row>
    <row r="2895" spans="1:9" ht="11.25" customHeight="1">
      <c r="A2895" s="3928" t="s">
        <v>2258</v>
      </c>
      <c r="B2895" s="3928" t="s">
        <v>14</v>
      </c>
      <c r="C2895" s="3928" t="s">
        <v>6785</v>
      </c>
      <c r="D2895" s="3928" t="s">
        <v>6786</v>
      </c>
      <c r="E2895" s="3928" t="s">
        <v>5758</v>
      </c>
      <c r="F2895" s="3928" t="s">
        <v>4179</v>
      </c>
      <c r="G2895" s="3928" t="s">
        <v>24</v>
      </c>
      <c r="H2895" s="3928" t="s">
        <v>2848</v>
      </c>
      <c r="I2895" s="3928" t="s">
        <v>912</v>
      </c>
    </row>
    <row r="2896" spans="1:9" ht="11.25" customHeight="1">
      <c r="A2896" s="3928" t="s">
        <v>2258</v>
      </c>
      <c r="B2896" s="3928" t="s">
        <v>14</v>
      </c>
      <c r="C2896" s="3928" t="s">
        <v>6790</v>
      </c>
      <c r="D2896" s="3928" t="s">
        <v>6791</v>
      </c>
      <c r="E2896" s="3928" t="s">
        <v>6792</v>
      </c>
      <c r="F2896" s="3928" t="s">
        <v>6793</v>
      </c>
      <c r="G2896" s="3928" t="s">
        <v>24</v>
      </c>
      <c r="H2896" s="3928" t="s">
        <v>6794</v>
      </c>
      <c r="I2896" s="3928" t="s">
        <v>912</v>
      </c>
    </row>
    <row r="2897" spans="1:9" ht="11.25" customHeight="1">
      <c r="A2897" s="3928" t="s">
        <v>2258</v>
      </c>
      <c r="B2897" s="3928" t="s">
        <v>14</v>
      </c>
      <c r="C2897" s="3928" t="s">
        <v>3256</v>
      </c>
      <c r="D2897" s="3928" t="s">
        <v>3257</v>
      </c>
      <c r="E2897" s="3928" t="s">
        <v>3258</v>
      </c>
      <c r="F2897" s="3928" t="s">
        <v>2262</v>
      </c>
      <c r="G2897" s="3928" t="s">
        <v>24</v>
      </c>
      <c r="H2897" s="3928" t="s">
        <v>24</v>
      </c>
      <c r="I2897" s="3928" t="s">
        <v>912</v>
      </c>
    </row>
    <row r="2898" spans="1:9" ht="11.25" customHeight="1">
      <c r="A2898" s="3928" t="s">
        <v>2258</v>
      </c>
      <c r="B2898" s="3928" t="s">
        <v>14</v>
      </c>
      <c r="C2898" s="3928" t="s">
        <v>7982</v>
      </c>
      <c r="D2898" s="3928" t="s">
        <v>7983</v>
      </c>
      <c r="E2898" s="3928" t="s">
        <v>7984</v>
      </c>
      <c r="F2898" s="3928" t="s">
        <v>2304</v>
      </c>
      <c r="G2898" s="3928" t="s">
        <v>24</v>
      </c>
      <c r="H2898" s="3928" t="s">
        <v>7985</v>
      </c>
      <c r="I2898" s="3928" t="s">
        <v>912</v>
      </c>
    </row>
    <row r="2899" spans="1:9" ht="11.25" customHeight="1">
      <c r="A2899" s="3928" t="s">
        <v>2258</v>
      </c>
      <c r="B2899" s="3928" t="s">
        <v>14</v>
      </c>
      <c r="C2899" s="3928" t="s">
        <v>6802</v>
      </c>
      <c r="D2899" s="3928" t="s">
        <v>6803</v>
      </c>
      <c r="E2899" s="3928" t="s">
        <v>6804</v>
      </c>
      <c r="F2899" s="3928" t="s">
        <v>2567</v>
      </c>
      <c r="G2899" s="3928" t="s">
        <v>24</v>
      </c>
      <c r="H2899" s="3928" t="s">
        <v>24</v>
      </c>
      <c r="I2899" s="3928" t="s">
        <v>912</v>
      </c>
    </row>
    <row r="2900" spans="1:9" ht="11.25" customHeight="1">
      <c r="A2900" s="3928" t="s">
        <v>2258</v>
      </c>
      <c r="B2900" s="3928" t="s">
        <v>14</v>
      </c>
      <c r="C2900" s="3928" t="s">
        <v>7986</v>
      </c>
      <c r="D2900" s="3928" t="s">
        <v>7987</v>
      </c>
      <c r="E2900" s="3928" t="s">
        <v>7988</v>
      </c>
      <c r="F2900" s="3928" t="s">
        <v>2304</v>
      </c>
      <c r="G2900" s="3928" t="s">
        <v>24</v>
      </c>
      <c r="H2900" s="3928" t="s">
        <v>2263</v>
      </c>
      <c r="I2900" s="3928" t="s">
        <v>912</v>
      </c>
    </row>
    <row r="2901" spans="1:9" ht="11.25" customHeight="1">
      <c r="A2901" s="3928" t="s">
        <v>2258</v>
      </c>
      <c r="B2901" s="3928" t="s">
        <v>14</v>
      </c>
      <c r="C2901" s="3928" t="s">
        <v>7989</v>
      </c>
      <c r="D2901" s="3928" t="s">
        <v>7990</v>
      </c>
      <c r="E2901" s="3928" t="s">
        <v>7991</v>
      </c>
      <c r="F2901" s="3928" t="s">
        <v>2965</v>
      </c>
      <c r="G2901" s="3928" t="s">
        <v>7992</v>
      </c>
      <c r="H2901" s="3928" t="s">
        <v>24</v>
      </c>
      <c r="I2901" s="3928" t="s">
        <v>912</v>
      </c>
    </row>
    <row r="2902" spans="1:9" ht="11.25" customHeight="1">
      <c r="A2902" s="3928" t="s">
        <v>2258</v>
      </c>
      <c r="B2902" s="3928" t="s">
        <v>14</v>
      </c>
      <c r="C2902" s="3928" t="s">
        <v>7993</v>
      </c>
      <c r="D2902" s="3928" t="s">
        <v>7994</v>
      </c>
      <c r="E2902" s="3928" t="s">
        <v>7995</v>
      </c>
      <c r="F2902" s="3928" t="s">
        <v>7298</v>
      </c>
      <c r="G2902" s="3928" t="s">
        <v>7996</v>
      </c>
      <c r="H2902" s="3928" t="s">
        <v>24</v>
      </c>
      <c r="I2902" s="3928" t="s">
        <v>912</v>
      </c>
    </row>
    <row r="2903" spans="1:9" ht="11.25" customHeight="1">
      <c r="A2903" s="3928" t="s">
        <v>2258</v>
      </c>
      <c r="B2903" s="3928" t="s">
        <v>14</v>
      </c>
      <c r="C2903" s="3928" t="s">
        <v>7997</v>
      </c>
      <c r="D2903" s="3928" t="s">
        <v>7998</v>
      </c>
      <c r="E2903" s="3928" t="s">
        <v>7999</v>
      </c>
      <c r="F2903" s="3928" t="s">
        <v>2397</v>
      </c>
      <c r="G2903" s="3928" t="s">
        <v>8000</v>
      </c>
      <c r="H2903" s="3928" t="s">
        <v>8001</v>
      </c>
      <c r="I2903" s="3928" t="s">
        <v>912</v>
      </c>
    </row>
    <row r="2904" spans="1:9" ht="11.25" customHeight="1">
      <c r="A2904" s="3928" t="s">
        <v>2258</v>
      </c>
      <c r="B2904" s="3928" t="s">
        <v>14</v>
      </c>
      <c r="C2904" s="3928" t="s">
        <v>8002</v>
      </c>
      <c r="D2904" s="3928" t="s">
        <v>8003</v>
      </c>
      <c r="E2904" s="3928" t="s">
        <v>8004</v>
      </c>
      <c r="F2904" s="3928" t="s">
        <v>2359</v>
      </c>
      <c r="G2904" s="3928" t="s">
        <v>24</v>
      </c>
      <c r="H2904" s="3928" t="s">
        <v>8005</v>
      </c>
      <c r="I2904" s="3928" t="s">
        <v>912</v>
      </c>
    </row>
    <row r="2905" spans="1:9" ht="11.25" customHeight="1">
      <c r="A2905" s="3928" t="s">
        <v>2258</v>
      </c>
      <c r="B2905" s="3928" t="s">
        <v>14</v>
      </c>
      <c r="C2905" s="3928" t="s">
        <v>6820</v>
      </c>
      <c r="D2905" s="3928" t="s">
        <v>6821</v>
      </c>
      <c r="E2905" s="3928" t="s">
        <v>3235</v>
      </c>
      <c r="F2905" s="3928" t="s">
        <v>6822</v>
      </c>
      <c r="G2905" s="3928" t="s">
        <v>24</v>
      </c>
      <c r="H2905" s="3928" t="s">
        <v>2263</v>
      </c>
      <c r="I2905" s="3928" t="s">
        <v>912</v>
      </c>
    </row>
    <row r="2906" spans="1:9" ht="11.25" customHeight="1">
      <c r="A2906" s="3928" t="s">
        <v>2258</v>
      </c>
      <c r="B2906" s="3928" t="s">
        <v>14</v>
      </c>
      <c r="C2906" s="3928" t="s">
        <v>6367</v>
      </c>
      <c r="D2906" s="3928" t="s">
        <v>6368</v>
      </c>
      <c r="E2906" s="3928" t="s">
        <v>6369</v>
      </c>
      <c r="F2906" s="3928" t="s">
        <v>2535</v>
      </c>
      <c r="G2906" s="3928" t="s">
        <v>24</v>
      </c>
      <c r="H2906" s="3928" t="s">
        <v>2263</v>
      </c>
      <c r="I2906" s="3928" t="s">
        <v>912</v>
      </c>
    </row>
    <row r="2907" spans="1:9" ht="11.25" customHeight="1">
      <c r="A2907" s="3928" t="s">
        <v>2258</v>
      </c>
      <c r="B2907" s="3928" t="s">
        <v>14</v>
      </c>
      <c r="C2907" s="3928" t="s">
        <v>6827</v>
      </c>
      <c r="D2907" s="3928" t="s">
        <v>6828</v>
      </c>
      <c r="E2907" s="3928" t="s">
        <v>6829</v>
      </c>
      <c r="F2907" s="3928" t="s">
        <v>2638</v>
      </c>
      <c r="G2907" s="3928" t="s">
        <v>24</v>
      </c>
      <c r="H2907" s="3928" t="s">
        <v>24</v>
      </c>
      <c r="I2907" s="3928" t="s">
        <v>912</v>
      </c>
    </row>
    <row r="2908" spans="1:9" ht="11.25" customHeight="1">
      <c r="A2908" s="3928" t="s">
        <v>2258</v>
      </c>
      <c r="B2908" s="3928" t="s">
        <v>14</v>
      </c>
      <c r="C2908" s="3928" t="s">
        <v>3301</v>
      </c>
      <c r="D2908" s="3928" t="s">
        <v>3302</v>
      </c>
      <c r="E2908" s="3928" t="s">
        <v>3303</v>
      </c>
      <c r="F2908" s="3928" t="s">
        <v>2701</v>
      </c>
      <c r="G2908" s="3928" t="s">
        <v>24</v>
      </c>
      <c r="H2908" s="3928" t="s">
        <v>2263</v>
      </c>
      <c r="I2908" s="3928" t="s">
        <v>912</v>
      </c>
    </row>
    <row r="2909" spans="1:9" ht="11.25" customHeight="1">
      <c r="A2909" s="3928" t="s">
        <v>2258</v>
      </c>
      <c r="B2909" s="3928" t="s">
        <v>14</v>
      </c>
      <c r="C2909" s="3928" t="s">
        <v>3304</v>
      </c>
      <c r="D2909" s="3928" t="s">
        <v>3305</v>
      </c>
      <c r="E2909" s="3928" t="s">
        <v>3306</v>
      </c>
      <c r="F2909" s="3928" t="s">
        <v>2429</v>
      </c>
      <c r="G2909" s="3928" t="s">
        <v>24</v>
      </c>
      <c r="H2909" s="3928" t="s">
        <v>2263</v>
      </c>
      <c r="I2909" s="3928" t="s">
        <v>912</v>
      </c>
    </row>
    <row r="2910" spans="1:9" ht="11.25" customHeight="1">
      <c r="A2910" s="3928" t="s">
        <v>2258</v>
      </c>
      <c r="B2910" s="3928" t="s">
        <v>14</v>
      </c>
      <c r="C2910" s="3928" t="s">
        <v>3307</v>
      </c>
      <c r="D2910" s="3928" t="s">
        <v>3308</v>
      </c>
      <c r="E2910" s="3928" t="s">
        <v>3309</v>
      </c>
      <c r="F2910" s="3928" t="s">
        <v>3310</v>
      </c>
      <c r="G2910" s="3928" t="s">
        <v>24</v>
      </c>
      <c r="H2910" s="3928" t="s">
        <v>2263</v>
      </c>
      <c r="I2910" s="3928" t="s">
        <v>912</v>
      </c>
    </row>
    <row r="2911" spans="1:9" ht="11.25" customHeight="1">
      <c r="A2911" s="3928" t="s">
        <v>2258</v>
      </c>
      <c r="B2911" s="3928" t="s">
        <v>14</v>
      </c>
      <c r="C2911" s="3928" t="s">
        <v>6830</v>
      </c>
      <c r="D2911" s="3928" t="s">
        <v>3314</v>
      </c>
      <c r="E2911" s="3928" t="s">
        <v>6831</v>
      </c>
      <c r="F2911" s="3928" t="s">
        <v>2393</v>
      </c>
      <c r="G2911" s="3928" t="s">
        <v>24</v>
      </c>
      <c r="H2911" s="3928" t="s">
        <v>2848</v>
      </c>
      <c r="I2911" s="3928" t="s">
        <v>912</v>
      </c>
    </row>
    <row r="2912" spans="1:9" ht="11.25" customHeight="1">
      <c r="A2912" s="3928" t="s">
        <v>2258</v>
      </c>
      <c r="B2912" s="3928" t="s">
        <v>14</v>
      </c>
      <c r="C2912" s="3928" t="s">
        <v>6835</v>
      </c>
      <c r="D2912" s="3928" t="s">
        <v>6836</v>
      </c>
      <c r="E2912" s="3928" t="s">
        <v>6837</v>
      </c>
      <c r="F2912" s="3928" t="s">
        <v>664</v>
      </c>
      <c r="G2912" s="3928" t="s">
        <v>6838</v>
      </c>
      <c r="H2912" s="3928" t="s">
        <v>24</v>
      </c>
      <c r="I2912" s="3928" t="s">
        <v>912</v>
      </c>
    </row>
    <row r="2913" spans="1:9" ht="11.25" customHeight="1">
      <c r="A2913" s="3928" t="s">
        <v>2258</v>
      </c>
      <c r="B2913" s="3928" t="s">
        <v>14</v>
      </c>
      <c r="C2913" s="3928" t="s">
        <v>24</v>
      </c>
      <c r="D2913" s="3928" t="s">
        <v>3338</v>
      </c>
      <c r="E2913" s="3928" t="s">
        <v>3339</v>
      </c>
      <c r="F2913" s="3928" t="s">
        <v>2294</v>
      </c>
      <c r="G2913" s="3928" t="s">
        <v>24</v>
      </c>
      <c r="H2913" s="3928" t="s">
        <v>24</v>
      </c>
      <c r="I2913" s="3928" t="s">
        <v>912</v>
      </c>
    </row>
    <row r="2914" spans="1:9" ht="11.25" customHeight="1">
      <c r="A2914" s="3928" t="s">
        <v>2258</v>
      </c>
      <c r="B2914" s="3928" t="s">
        <v>14</v>
      </c>
      <c r="C2914" s="3928" t="s">
        <v>6842</v>
      </c>
      <c r="D2914" s="3928" t="s">
        <v>6843</v>
      </c>
      <c r="E2914" s="3928" t="s">
        <v>6844</v>
      </c>
      <c r="F2914" s="3928" t="s">
        <v>6845</v>
      </c>
      <c r="G2914" s="3928" t="s">
        <v>24</v>
      </c>
      <c r="H2914" s="3928" t="s">
        <v>24</v>
      </c>
      <c r="I2914" s="3928" t="s">
        <v>912</v>
      </c>
    </row>
    <row r="2915" spans="1:9" ht="11.25" customHeight="1">
      <c r="A2915" s="3928" t="s">
        <v>2258</v>
      </c>
      <c r="B2915" s="3928" t="s">
        <v>14</v>
      </c>
      <c r="C2915" s="3928" t="s">
        <v>3340</v>
      </c>
      <c r="D2915" s="3928" t="s">
        <v>3341</v>
      </c>
      <c r="E2915" s="3928" t="s">
        <v>3342</v>
      </c>
      <c r="F2915" s="3928" t="s">
        <v>2796</v>
      </c>
      <c r="G2915" s="3928" t="s">
        <v>24</v>
      </c>
      <c r="H2915" s="3928" t="s">
        <v>3068</v>
      </c>
      <c r="I2915" s="3928" t="s">
        <v>912</v>
      </c>
    </row>
    <row r="2916" spans="1:9" ht="11.25" customHeight="1">
      <c r="A2916" s="3928" t="s">
        <v>2258</v>
      </c>
      <c r="B2916" s="3928" t="s">
        <v>14</v>
      </c>
      <c r="C2916" s="3928" t="s">
        <v>3346</v>
      </c>
      <c r="D2916" s="3928" t="s">
        <v>3347</v>
      </c>
      <c r="E2916" s="3928" t="s">
        <v>3348</v>
      </c>
      <c r="F2916" s="3928" t="s">
        <v>2397</v>
      </c>
      <c r="G2916" s="3928" t="s">
        <v>24</v>
      </c>
      <c r="H2916" s="3928" t="s">
        <v>3349</v>
      </c>
      <c r="I2916" s="3928" t="s">
        <v>912</v>
      </c>
    </row>
    <row r="2917" spans="1:9" ht="11.25" customHeight="1">
      <c r="A2917" s="3928" t="s">
        <v>2258</v>
      </c>
      <c r="B2917" s="3928" t="s">
        <v>14</v>
      </c>
      <c r="C2917" s="3928" t="s">
        <v>3350</v>
      </c>
      <c r="D2917" s="3928" t="s">
        <v>3351</v>
      </c>
      <c r="E2917" s="3928" t="s">
        <v>3352</v>
      </c>
      <c r="F2917" s="3928" t="s">
        <v>3353</v>
      </c>
      <c r="G2917" s="3928" t="s">
        <v>3354</v>
      </c>
      <c r="H2917" s="3928" t="s">
        <v>24</v>
      </c>
      <c r="I2917" s="3928" t="s">
        <v>912</v>
      </c>
    </row>
    <row r="2918" spans="1:9" ht="11.25" customHeight="1">
      <c r="A2918" s="3928" t="s">
        <v>2258</v>
      </c>
      <c r="B2918" s="3928" t="s">
        <v>14</v>
      </c>
      <c r="C2918" s="3928" t="s">
        <v>3355</v>
      </c>
      <c r="D2918" s="3928" t="s">
        <v>3356</v>
      </c>
      <c r="E2918" s="3928" t="s">
        <v>3357</v>
      </c>
      <c r="F2918" s="3928" t="s">
        <v>2414</v>
      </c>
      <c r="G2918" s="3928" t="s">
        <v>24</v>
      </c>
      <c r="H2918" s="3928" t="s">
        <v>24</v>
      </c>
      <c r="I2918" s="3928" t="s">
        <v>912</v>
      </c>
    </row>
    <row r="2919" spans="1:9" ht="11.25" customHeight="1">
      <c r="A2919" s="3928" t="s">
        <v>2258</v>
      </c>
      <c r="B2919" s="3928" t="s">
        <v>14</v>
      </c>
      <c r="C2919" s="3928" t="s">
        <v>8006</v>
      </c>
      <c r="D2919" s="3928" t="s">
        <v>8007</v>
      </c>
      <c r="E2919" s="3928" t="s">
        <v>8008</v>
      </c>
      <c r="F2919" s="3928" t="s">
        <v>2567</v>
      </c>
      <c r="G2919" s="3928" t="s">
        <v>8009</v>
      </c>
      <c r="H2919" s="3928" t="s">
        <v>24</v>
      </c>
      <c r="I2919" s="3928" t="s">
        <v>912</v>
      </c>
    </row>
    <row r="2920" spans="1:9" ht="11.25" customHeight="1">
      <c r="A2920" s="3928" t="s">
        <v>2258</v>
      </c>
      <c r="B2920" s="3928" t="s">
        <v>14</v>
      </c>
      <c r="C2920" s="3928" t="s">
        <v>8010</v>
      </c>
      <c r="D2920" s="3928" t="s">
        <v>8011</v>
      </c>
      <c r="E2920" s="3928" t="s">
        <v>8012</v>
      </c>
      <c r="F2920" s="3928" t="s">
        <v>2289</v>
      </c>
      <c r="G2920" s="3928" t="s">
        <v>8013</v>
      </c>
      <c r="H2920" s="3928" t="s">
        <v>24</v>
      </c>
      <c r="I2920" s="3928" t="s">
        <v>912</v>
      </c>
    </row>
    <row r="2921" spans="1:9" ht="11.25" customHeight="1">
      <c r="A2921" s="3928" t="s">
        <v>2258</v>
      </c>
      <c r="B2921" s="3928" t="s">
        <v>14</v>
      </c>
      <c r="C2921" s="3928" t="s">
        <v>3375</v>
      </c>
      <c r="D2921" s="3928" t="s">
        <v>629</v>
      </c>
      <c r="E2921" s="3928" t="s">
        <v>3376</v>
      </c>
      <c r="F2921" s="3928" t="s">
        <v>2486</v>
      </c>
      <c r="G2921" s="3928" t="s">
        <v>3377</v>
      </c>
      <c r="H2921" s="3928" t="s">
        <v>24</v>
      </c>
      <c r="I2921" s="3928" t="s">
        <v>912</v>
      </c>
    </row>
    <row r="2922" spans="1:9" ht="11.25" customHeight="1">
      <c r="A2922" s="3928" t="s">
        <v>2258</v>
      </c>
      <c r="B2922" s="3928" t="s">
        <v>14</v>
      </c>
      <c r="C2922" s="3928" t="s">
        <v>6846</v>
      </c>
      <c r="D2922" s="3928" t="s">
        <v>6847</v>
      </c>
      <c r="E2922" s="3928" t="s">
        <v>6848</v>
      </c>
      <c r="F2922" s="3928" t="s">
        <v>2486</v>
      </c>
      <c r="G2922" s="3928" t="s">
        <v>6849</v>
      </c>
      <c r="H2922" s="3928" t="s">
        <v>2314</v>
      </c>
      <c r="I2922" s="3928" t="s">
        <v>912</v>
      </c>
    </row>
    <row r="2923" spans="1:9" ht="11.25" customHeight="1">
      <c r="A2923" s="3928" t="s">
        <v>2258</v>
      </c>
      <c r="B2923" s="3928" t="s">
        <v>14</v>
      </c>
      <c r="C2923" s="3928" t="s">
        <v>8014</v>
      </c>
      <c r="D2923" s="3928" t="s">
        <v>8015</v>
      </c>
      <c r="E2923" s="3928" t="s">
        <v>8016</v>
      </c>
      <c r="F2923" s="3928" t="s">
        <v>2638</v>
      </c>
      <c r="G2923" s="3928" t="s">
        <v>3092</v>
      </c>
      <c r="H2923" s="3928" t="s">
        <v>24</v>
      </c>
      <c r="I2923" s="3928" t="s">
        <v>912</v>
      </c>
    </row>
    <row r="2924" spans="1:9" ht="11.25" customHeight="1">
      <c r="A2924" s="3928" t="s">
        <v>2258</v>
      </c>
      <c r="B2924" s="3928" t="s">
        <v>14</v>
      </c>
      <c r="C2924" s="3928" t="s">
        <v>6850</v>
      </c>
      <c r="D2924" s="3928" t="s">
        <v>6851</v>
      </c>
      <c r="E2924" s="3928" t="s">
        <v>6852</v>
      </c>
      <c r="F2924" s="3928" t="s">
        <v>3353</v>
      </c>
      <c r="G2924" s="3928" t="s">
        <v>24</v>
      </c>
      <c r="H2924" s="3928" t="s">
        <v>6853</v>
      </c>
      <c r="I2924" s="3928" t="s">
        <v>912</v>
      </c>
    </row>
    <row r="2925" spans="1:9" ht="11.25" customHeight="1">
      <c r="A2925" s="3928" t="s">
        <v>2258</v>
      </c>
      <c r="B2925" s="3928" t="s">
        <v>14</v>
      </c>
      <c r="C2925" s="3928" t="s">
        <v>6854</v>
      </c>
      <c r="D2925" s="3928" t="s">
        <v>6851</v>
      </c>
      <c r="E2925" s="3928" t="s">
        <v>6855</v>
      </c>
      <c r="F2925" s="3928" t="s">
        <v>3420</v>
      </c>
      <c r="G2925" s="3928" t="s">
        <v>3421</v>
      </c>
      <c r="H2925" s="3928" t="s">
        <v>24</v>
      </c>
      <c r="I2925" s="3928" t="s">
        <v>912</v>
      </c>
    </row>
    <row r="2926" spans="1:9" ht="11.25" customHeight="1">
      <c r="A2926" s="3928" t="s">
        <v>2258</v>
      </c>
      <c r="B2926" s="3928" t="s">
        <v>14</v>
      </c>
      <c r="C2926" s="3928" t="s">
        <v>3399</v>
      </c>
      <c r="D2926" s="3928" t="s">
        <v>3400</v>
      </c>
      <c r="E2926" s="3928" t="s">
        <v>3401</v>
      </c>
      <c r="F2926" s="3928" t="s">
        <v>2965</v>
      </c>
      <c r="G2926" s="3928" t="s">
        <v>3402</v>
      </c>
      <c r="H2926" s="3928" t="s">
        <v>24</v>
      </c>
      <c r="I2926" s="3928" t="s">
        <v>912</v>
      </c>
    </row>
    <row r="2927" spans="1:9" ht="11.25" customHeight="1">
      <c r="A2927" s="3928" t="s">
        <v>2258</v>
      </c>
      <c r="B2927" s="3928" t="s">
        <v>14</v>
      </c>
      <c r="C2927" s="3928" t="s">
        <v>6856</v>
      </c>
      <c r="D2927" s="3928" t="s">
        <v>6857</v>
      </c>
      <c r="E2927" s="3928" t="s">
        <v>6858</v>
      </c>
      <c r="F2927" s="3928" t="s">
        <v>2638</v>
      </c>
      <c r="G2927" s="3928" t="s">
        <v>6859</v>
      </c>
      <c r="H2927" s="3928" t="s">
        <v>24</v>
      </c>
      <c r="I2927" s="3928" t="s">
        <v>912</v>
      </c>
    </row>
    <row r="2928" spans="1:9" ht="11.25" customHeight="1">
      <c r="A2928" s="3928" t="s">
        <v>2258</v>
      </c>
      <c r="B2928" s="3928" t="s">
        <v>14</v>
      </c>
      <c r="C2928" s="3928" t="s">
        <v>3410</v>
      </c>
      <c r="D2928" s="3928" t="s">
        <v>3411</v>
      </c>
      <c r="E2928" s="3928" t="s">
        <v>3412</v>
      </c>
      <c r="F2928" s="3928" t="s">
        <v>2397</v>
      </c>
      <c r="G2928" s="3928" t="s">
        <v>3413</v>
      </c>
      <c r="H2928" s="3928" t="s">
        <v>24</v>
      </c>
      <c r="I2928" s="3928" t="s">
        <v>912</v>
      </c>
    </row>
    <row r="2929" spans="1:9" ht="11.25" customHeight="1">
      <c r="A2929" s="3928" t="s">
        <v>2258</v>
      </c>
      <c r="B2929" s="3928" t="s">
        <v>14</v>
      </c>
      <c r="C2929" s="3928" t="s">
        <v>3414</v>
      </c>
      <c r="D2929" s="3928" t="s">
        <v>3415</v>
      </c>
      <c r="E2929" s="3928" t="s">
        <v>3416</v>
      </c>
      <c r="F2929" s="3928" t="s">
        <v>3406</v>
      </c>
      <c r="G2929" s="3928" t="s">
        <v>24</v>
      </c>
      <c r="H2929" s="3928" t="s">
        <v>24</v>
      </c>
      <c r="I2929" s="3928" t="s">
        <v>912</v>
      </c>
    </row>
    <row r="2930" spans="1:9" ht="11.25" customHeight="1">
      <c r="A2930" s="3928" t="s">
        <v>2258</v>
      </c>
      <c r="B2930" s="3928" t="s">
        <v>14</v>
      </c>
      <c r="C2930" s="3928" t="s">
        <v>3422</v>
      </c>
      <c r="D2930" s="3928" t="s">
        <v>3423</v>
      </c>
      <c r="E2930" s="3928" t="s">
        <v>3424</v>
      </c>
      <c r="F2930" s="3928" t="s">
        <v>3353</v>
      </c>
      <c r="G2930" s="3928" t="s">
        <v>3425</v>
      </c>
      <c r="H2930" s="3928" t="s">
        <v>24</v>
      </c>
      <c r="I2930" s="3928" t="s">
        <v>912</v>
      </c>
    </row>
    <row r="2931" spans="1:9" ht="11.25" customHeight="1">
      <c r="A2931" s="3928" t="s">
        <v>2258</v>
      </c>
      <c r="B2931" s="3928" t="s">
        <v>14</v>
      </c>
      <c r="C2931" s="3928" t="s">
        <v>3444</v>
      </c>
      <c r="D2931" s="3928" t="s">
        <v>3445</v>
      </c>
      <c r="E2931" s="3928" t="s">
        <v>3446</v>
      </c>
      <c r="F2931" s="3928" t="s">
        <v>2397</v>
      </c>
      <c r="G2931" s="3928" t="s">
        <v>3447</v>
      </c>
      <c r="H2931" s="3928" t="s">
        <v>24</v>
      </c>
      <c r="I2931" s="3928" t="s">
        <v>912</v>
      </c>
    </row>
    <row r="2932" spans="1:9" ht="11.25" customHeight="1">
      <c r="A2932" s="3928" t="s">
        <v>2258</v>
      </c>
      <c r="B2932" s="3928" t="s">
        <v>14</v>
      </c>
      <c r="C2932" s="3928" t="s">
        <v>3454</v>
      </c>
      <c r="D2932" s="3928" t="s">
        <v>3455</v>
      </c>
      <c r="E2932" s="3928" t="s">
        <v>3456</v>
      </c>
      <c r="F2932" s="3928" t="s">
        <v>3457</v>
      </c>
      <c r="G2932" s="3928" t="s">
        <v>24</v>
      </c>
      <c r="H2932" s="3928" t="s">
        <v>24</v>
      </c>
      <c r="I2932" s="3928" t="s">
        <v>912</v>
      </c>
    </row>
    <row r="2933" spans="1:9" ht="11.25" customHeight="1">
      <c r="A2933" s="3928" t="s">
        <v>2258</v>
      </c>
      <c r="B2933" s="3928" t="s">
        <v>14</v>
      </c>
      <c r="C2933" s="3928" t="s">
        <v>3458</v>
      </c>
      <c r="D2933" s="3928" t="s">
        <v>3459</v>
      </c>
      <c r="E2933" s="3928" t="s">
        <v>3460</v>
      </c>
      <c r="F2933" s="3928" t="s">
        <v>2473</v>
      </c>
      <c r="G2933" s="3928" t="s">
        <v>2961</v>
      </c>
      <c r="H2933" s="3928" t="s">
        <v>24</v>
      </c>
      <c r="I2933" s="3928" t="s">
        <v>912</v>
      </c>
    </row>
    <row r="2934" spans="1:9" ht="11.25" customHeight="1">
      <c r="A2934" s="3928" t="s">
        <v>2258</v>
      </c>
      <c r="B2934" s="3928" t="s">
        <v>14</v>
      </c>
      <c r="C2934" s="3928" t="s">
        <v>6370</v>
      </c>
      <c r="D2934" s="3928" t="s">
        <v>6371</v>
      </c>
      <c r="E2934" s="3928" t="s">
        <v>6372</v>
      </c>
      <c r="F2934" s="3928" t="s">
        <v>2405</v>
      </c>
      <c r="G2934" s="3928" t="s">
        <v>24</v>
      </c>
      <c r="H2934" s="3928" t="s">
        <v>2263</v>
      </c>
      <c r="I2934" s="3928" t="s">
        <v>912</v>
      </c>
    </row>
    <row r="2935" spans="1:9" ht="11.25" customHeight="1">
      <c r="A2935" s="3928" t="s">
        <v>2258</v>
      </c>
      <c r="B2935" s="3928" t="s">
        <v>14</v>
      </c>
      <c r="C2935" s="3928" t="s">
        <v>3467</v>
      </c>
      <c r="D2935" s="3928" t="s">
        <v>3468</v>
      </c>
      <c r="E2935" s="3928" t="s">
        <v>3469</v>
      </c>
      <c r="F2935" s="3928" t="s">
        <v>2424</v>
      </c>
      <c r="G2935" s="3928" t="s">
        <v>3470</v>
      </c>
      <c r="H2935" s="3928" t="s">
        <v>24</v>
      </c>
      <c r="I2935" s="3928" t="s">
        <v>912</v>
      </c>
    </row>
    <row r="2936" spans="1:9" ht="11.25" customHeight="1">
      <c r="A2936" s="3928" t="s">
        <v>2258</v>
      </c>
      <c r="B2936" s="3928" t="s">
        <v>14</v>
      </c>
      <c r="C2936" s="3928" t="s">
        <v>3471</v>
      </c>
      <c r="D2936" s="3928" t="s">
        <v>3472</v>
      </c>
      <c r="E2936" s="3928" t="s">
        <v>3473</v>
      </c>
      <c r="F2936" s="3928" t="s">
        <v>2522</v>
      </c>
      <c r="G2936" s="3928" t="s">
        <v>3474</v>
      </c>
      <c r="H2936" s="3928" t="s">
        <v>24</v>
      </c>
      <c r="I2936" s="3928" t="s">
        <v>912</v>
      </c>
    </row>
    <row r="2937" spans="1:9" ht="11.25" customHeight="1">
      <c r="A2937" s="3928" t="s">
        <v>2258</v>
      </c>
      <c r="B2937" s="3928" t="s">
        <v>14</v>
      </c>
      <c r="C2937" s="3928" t="s">
        <v>8017</v>
      </c>
      <c r="D2937" s="3928" t="s">
        <v>8018</v>
      </c>
      <c r="E2937" s="3928" t="s">
        <v>8019</v>
      </c>
      <c r="F2937" s="3928" t="s">
        <v>2304</v>
      </c>
      <c r="G2937" s="3928" t="s">
        <v>24</v>
      </c>
      <c r="H2937" s="3928" t="s">
        <v>2848</v>
      </c>
      <c r="I2937" s="3928" t="s">
        <v>912</v>
      </c>
    </row>
    <row r="2938" spans="1:9" ht="11.25" customHeight="1">
      <c r="A2938" s="3928" t="s">
        <v>2258</v>
      </c>
      <c r="B2938" s="3928" t="s">
        <v>14</v>
      </c>
      <c r="C2938" s="3928" t="s">
        <v>3475</v>
      </c>
      <c r="D2938" s="3928" t="s">
        <v>620</v>
      </c>
      <c r="E2938" s="3928" t="s">
        <v>3476</v>
      </c>
      <c r="F2938" s="3928" t="s">
        <v>2359</v>
      </c>
      <c r="G2938" s="3928" t="s">
        <v>3477</v>
      </c>
      <c r="H2938" s="3928" t="s">
        <v>24</v>
      </c>
      <c r="I2938" s="3928" t="s">
        <v>912</v>
      </c>
    </row>
    <row r="2939" spans="1:9" ht="11.25" customHeight="1">
      <c r="A2939" s="3928" t="s">
        <v>2258</v>
      </c>
      <c r="B2939" s="3928" t="s">
        <v>14</v>
      </c>
      <c r="C2939" s="3928" t="s">
        <v>3478</v>
      </c>
      <c r="D2939" s="3928" t="s">
        <v>3479</v>
      </c>
      <c r="E2939" s="3928" t="s">
        <v>3480</v>
      </c>
      <c r="F2939" s="3928" t="s">
        <v>2289</v>
      </c>
      <c r="G2939" s="3928" t="s">
        <v>3481</v>
      </c>
      <c r="H2939" s="3928" t="s">
        <v>24</v>
      </c>
      <c r="I2939" s="3928" t="s">
        <v>912</v>
      </c>
    </row>
    <row r="2940" spans="1:9" ht="11.25" customHeight="1">
      <c r="A2940" s="3928" t="s">
        <v>2258</v>
      </c>
      <c r="B2940" s="3928" t="s">
        <v>14</v>
      </c>
      <c r="C2940" s="3928" t="s">
        <v>3482</v>
      </c>
      <c r="D2940" s="3928" t="s">
        <v>3483</v>
      </c>
      <c r="E2940" s="3928" t="s">
        <v>3484</v>
      </c>
      <c r="F2940" s="3928" t="s">
        <v>2289</v>
      </c>
      <c r="G2940" s="3928" t="s">
        <v>24</v>
      </c>
      <c r="H2940" s="3928" t="s">
        <v>24</v>
      </c>
      <c r="I2940" s="3928" t="s">
        <v>912</v>
      </c>
    </row>
    <row r="2941" spans="1:9" ht="11.25" customHeight="1">
      <c r="A2941" s="3928" t="s">
        <v>2258</v>
      </c>
      <c r="B2941" s="3928" t="s">
        <v>14</v>
      </c>
      <c r="C2941" s="3928" t="s">
        <v>3485</v>
      </c>
      <c r="D2941" s="3928" t="s">
        <v>3486</v>
      </c>
      <c r="E2941" s="3928" t="s">
        <v>3487</v>
      </c>
      <c r="F2941" s="3928" t="s">
        <v>2409</v>
      </c>
      <c r="G2941" s="3928" t="s">
        <v>24</v>
      </c>
      <c r="H2941" s="3928" t="s">
        <v>2263</v>
      </c>
      <c r="I2941" s="3928" t="s">
        <v>912</v>
      </c>
    </row>
    <row r="2942" spans="1:9" ht="11.25" customHeight="1">
      <c r="A2942" s="3928" t="s">
        <v>2258</v>
      </c>
      <c r="B2942" s="3928" t="s">
        <v>14</v>
      </c>
      <c r="C2942" s="3928" t="s">
        <v>6860</v>
      </c>
      <c r="D2942" s="3928" t="s">
        <v>6861</v>
      </c>
      <c r="E2942" s="3928" t="s">
        <v>6862</v>
      </c>
      <c r="F2942" s="3928" t="s">
        <v>2409</v>
      </c>
      <c r="G2942" s="3928" t="s">
        <v>6863</v>
      </c>
      <c r="H2942" s="3928" t="s">
        <v>2263</v>
      </c>
      <c r="I2942" s="3928" t="s">
        <v>912</v>
      </c>
    </row>
    <row r="2943" spans="1:9" ht="11.25" customHeight="1">
      <c r="A2943" s="3928" t="s">
        <v>2258</v>
      </c>
      <c r="B2943" s="3928" t="s">
        <v>14</v>
      </c>
      <c r="C2943" s="3928" t="s">
        <v>3488</v>
      </c>
      <c r="D2943" s="3928" t="s">
        <v>3489</v>
      </c>
      <c r="E2943" s="3928" t="s">
        <v>3490</v>
      </c>
      <c r="F2943" s="3928" t="s">
        <v>2262</v>
      </c>
      <c r="G2943" s="3928" t="s">
        <v>3491</v>
      </c>
      <c r="H2943" s="3928" t="s">
        <v>24</v>
      </c>
      <c r="I2943" s="3928" t="s">
        <v>912</v>
      </c>
    </row>
    <row r="2944" spans="1:9" ht="11.25" customHeight="1">
      <c r="A2944" s="3928" t="s">
        <v>2258</v>
      </c>
      <c r="B2944" s="3928" t="s">
        <v>14</v>
      </c>
      <c r="C2944" s="3928" t="s">
        <v>6864</v>
      </c>
      <c r="D2944" s="3928" t="s">
        <v>6865</v>
      </c>
      <c r="E2944" s="3928" t="s">
        <v>6866</v>
      </c>
      <c r="F2944" s="3928" t="s">
        <v>2567</v>
      </c>
      <c r="G2944" s="3928" t="s">
        <v>24</v>
      </c>
      <c r="H2944" s="3928" t="s">
        <v>2848</v>
      </c>
      <c r="I2944" s="3928" t="s">
        <v>912</v>
      </c>
    </row>
    <row r="2945" spans="1:9" ht="11.25" customHeight="1">
      <c r="A2945" s="3928" t="s">
        <v>2258</v>
      </c>
      <c r="B2945" s="3928" t="s">
        <v>14</v>
      </c>
      <c r="C2945" s="3928" t="s">
        <v>6867</v>
      </c>
      <c r="D2945" s="3928" t="s">
        <v>6868</v>
      </c>
      <c r="E2945" s="3928" t="s">
        <v>6869</v>
      </c>
      <c r="F2945" s="3928" t="s">
        <v>49</v>
      </c>
      <c r="G2945" s="3928" t="s">
        <v>6870</v>
      </c>
      <c r="H2945" s="3928" t="s">
        <v>2314</v>
      </c>
      <c r="I2945" s="3928" t="s">
        <v>912</v>
      </c>
    </row>
    <row r="2946" spans="1:9" ht="11.25" customHeight="1">
      <c r="A2946" s="3928" t="s">
        <v>2258</v>
      </c>
      <c r="B2946" s="3928" t="s">
        <v>14</v>
      </c>
      <c r="C2946" s="3928" t="s">
        <v>3492</v>
      </c>
      <c r="D2946" s="3928" t="s">
        <v>3493</v>
      </c>
      <c r="E2946" s="3928" t="s">
        <v>3494</v>
      </c>
      <c r="F2946" s="3928" t="s">
        <v>2464</v>
      </c>
      <c r="G2946" s="3928" t="s">
        <v>3495</v>
      </c>
      <c r="H2946" s="3928" t="s">
        <v>24</v>
      </c>
      <c r="I2946" s="3928" t="s">
        <v>912</v>
      </c>
    </row>
    <row r="2947" spans="1:9" ht="11.25" customHeight="1">
      <c r="A2947" s="3928" t="s">
        <v>2258</v>
      </c>
      <c r="B2947" s="3928" t="s">
        <v>14</v>
      </c>
      <c r="C2947" s="3928" t="s">
        <v>6871</v>
      </c>
      <c r="D2947" s="3928" t="s">
        <v>6872</v>
      </c>
      <c r="E2947" s="3928" t="s">
        <v>6873</v>
      </c>
      <c r="F2947" s="3928" t="s">
        <v>2552</v>
      </c>
      <c r="G2947" s="3928" t="s">
        <v>24</v>
      </c>
      <c r="H2947" s="3928" t="s">
        <v>24</v>
      </c>
      <c r="I2947" s="3928" t="s">
        <v>912</v>
      </c>
    </row>
    <row r="2948" spans="1:9" ht="11.25" customHeight="1">
      <c r="A2948" s="3928" t="s">
        <v>2258</v>
      </c>
      <c r="B2948" s="3928" t="s">
        <v>14</v>
      </c>
      <c r="C2948" s="3928" t="s">
        <v>6874</v>
      </c>
      <c r="D2948" s="3928" t="s">
        <v>625</v>
      </c>
      <c r="E2948" s="3928" t="s">
        <v>6875</v>
      </c>
      <c r="F2948" s="3928" t="s">
        <v>2522</v>
      </c>
      <c r="G2948" s="3928" t="s">
        <v>6876</v>
      </c>
      <c r="H2948" s="3928" t="s">
        <v>6877</v>
      </c>
      <c r="I2948" s="3928" t="s">
        <v>912</v>
      </c>
    </row>
    <row r="2949" spans="1:9" ht="11.25" customHeight="1">
      <c r="A2949" s="3928" t="s">
        <v>2258</v>
      </c>
      <c r="B2949" s="3928" t="s">
        <v>14</v>
      </c>
      <c r="C2949" s="3928" t="s">
        <v>6878</v>
      </c>
      <c r="D2949" s="3928" t="s">
        <v>625</v>
      </c>
      <c r="E2949" s="3928" t="s">
        <v>6879</v>
      </c>
      <c r="F2949" s="3928" t="s">
        <v>3275</v>
      </c>
      <c r="G2949" s="3928" t="s">
        <v>24</v>
      </c>
      <c r="H2949" s="3928" t="s">
        <v>6880</v>
      </c>
      <c r="I2949" s="3928" t="s">
        <v>912</v>
      </c>
    </row>
    <row r="2950" spans="1:9" ht="11.25" customHeight="1">
      <c r="A2950" s="3928" t="s">
        <v>2258</v>
      </c>
      <c r="B2950" s="3928" t="s">
        <v>14</v>
      </c>
      <c r="C2950" s="3928" t="s">
        <v>3496</v>
      </c>
      <c r="D2950" s="3928" t="s">
        <v>625</v>
      </c>
      <c r="E2950" s="3928" t="s">
        <v>3497</v>
      </c>
      <c r="F2950" s="3928" t="s">
        <v>2451</v>
      </c>
      <c r="G2950" s="3928" t="s">
        <v>3498</v>
      </c>
      <c r="H2950" s="3928" t="s">
        <v>24</v>
      </c>
      <c r="I2950" s="3928" t="s">
        <v>912</v>
      </c>
    </row>
    <row r="2951" spans="1:9" ht="11.25" customHeight="1">
      <c r="A2951" s="3928" t="s">
        <v>2258</v>
      </c>
      <c r="B2951" s="3928" t="s">
        <v>14</v>
      </c>
      <c r="C2951" s="3928" t="s">
        <v>6881</v>
      </c>
      <c r="D2951" s="3928" t="s">
        <v>625</v>
      </c>
      <c r="E2951" s="3928" t="s">
        <v>6882</v>
      </c>
      <c r="F2951" s="3928" t="s">
        <v>2898</v>
      </c>
      <c r="G2951" s="3928" t="s">
        <v>24</v>
      </c>
      <c r="H2951" s="3928" t="s">
        <v>24</v>
      </c>
      <c r="I2951" s="3928" t="s">
        <v>912</v>
      </c>
    </row>
    <row r="2952" spans="1:9" ht="11.25" customHeight="1">
      <c r="A2952" s="3928" t="s">
        <v>2258</v>
      </c>
      <c r="B2952" s="3928" t="s">
        <v>14</v>
      </c>
      <c r="C2952" s="3928" t="s">
        <v>6883</v>
      </c>
      <c r="D2952" s="3928" t="s">
        <v>625</v>
      </c>
      <c r="E2952" s="3928" t="s">
        <v>6884</v>
      </c>
      <c r="F2952" s="3928" t="s">
        <v>2675</v>
      </c>
      <c r="G2952" s="3928" t="s">
        <v>6885</v>
      </c>
      <c r="H2952" s="3928" t="s">
        <v>24</v>
      </c>
      <c r="I2952" s="3928" t="s">
        <v>912</v>
      </c>
    </row>
    <row r="2953" spans="1:9" ht="11.25" customHeight="1">
      <c r="A2953" s="3928" t="s">
        <v>2258</v>
      </c>
      <c r="B2953" s="3928" t="s">
        <v>14</v>
      </c>
      <c r="C2953" s="3928" t="s">
        <v>3499</v>
      </c>
      <c r="D2953" s="3928" t="s">
        <v>3500</v>
      </c>
      <c r="E2953" s="3928" t="s">
        <v>3501</v>
      </c>
      <c r="F2953" s="3928" t="s">
        <v>2438</v>
      </c>
      <c r="G2953" s="3928" t="s">
        <v>24</v>
      </c>
      <c r="H2953" s="3928" t="s">
        <v>24</v>
      </c>
      <c r="I2953" s="3928" t="s">
        <v>912</v>
      </c>
    </row>
    <row r="2954" spans="1:9" ht="11.25" customHeight="1">
      <c r="A2954" s="3928" t="s">
        <v>2258</v>
      </c>
      <c r="B2954" s="3928" t="s">
        <v>14</v>
      </c>
      <c r="C2954" s="3928" t="s">
        <v>6373</v>
      </c>
      <c r="D2954" s="3928" t="s">
        <v>628</v>
      </c>
      <c r="E2954" s="3928" t="s">
        <v>6374</v>
      </c>
      <c r="F2954" s="3928" t="s">
        <v>2688</v>
      </c>
      <c r="G2954" s="3928" t="s">
        <v>6375</v>
      </c>
      <c r="H2954" s="3928" t="s">
        <v>24</v>
      </c>
      <c r="I2954" s="3928" t="s">
        <v>912</v>
      </c>
    </row>
    <row r="2955" spans="1:9" ht="11.25" customHeight="1">
      <c r="A2955" s="3928" t="s">
        <v>2258</v>
      </c>
      <c r="B2955" s="3928" t="s">
        <v>14</v>
      </c>
      <c r="C2955" s="3928" t="s">
        <v>6886</v>
      </c>
      <c r="D2955" s="3928" t="s">
        <v>6887</v>
      </c>
      <c r="E2955" s="3928" t="s">
        <v>6888</v>
      </c>
      <c r="F2955" s="3928" t="s">
        <v>2451</v>
      </c>
      <c r="G2955" s="3928" t="s">
        <v>24</v>
      </c>
      <c r="H2955" s="3928" t="s">
        <v>6889</v>
      </c>
      <c r="I2955" s="3928" t="s">
        <v>912</v>
      </c>
    </row>
    <row r="2956" spans="1:9" ht="11.25" customHeight="1">
      <c r="A2956" s="3928" t="s">
        <v>2258</v>
      </c>
      <c r="B2956" s="3928" t="s">
        <v>14</v>
      </c>
      <c r="C2956" s="3928" t="s">
        <v>3502</v>
      </c>
      <c r="D2956" s="3928" t="s">
        <v>3503</v>
      </c>
      <c r="E2956" s="3928" t="s">
        <v>3504</v>
      </c>
      <c r="F2956" s="3928" t="s">
        <v>2409</v>
      </c>
      <c r="G2956" s="3928" t="s">
        <v>3505</v>
      </c>
      <c r="H2956" s="3928" t="s">
        <v>24</v>
      </c>
      <c r="I2956" s="3928" t="s">
        <v>912</v>
      </c>
    </row>
    <row r="2957" spans="1:9" ht="11.25" customHeight="1">
      <c r="A2957" s="3928" t="s">
        <v>2258</v>
      </c>
      <c r="B2957" s="3928" t="s">
        <v>14</v>
      </c>
      <c r="C2957" s="3928" t="s">
        <v>3506</v>
      </c>
      <c r="D2957" s="3928" t="s">
        <v>3507</v>
      </c>
      <c r="E2957" s="3928" t="s">
        <v>3508</v>
      </c>
      <c r="F2957" s="3928" t="s">
        <v>3509</v>
      </c>
      <c r="G2957" s="3928" t="s">
        <v>24</v>
      </c>
      <c r="H2957" s="3928" t="s">
        <v>3510</v>
      </c>
      <c r="I2957" s="3928" t="s">
        <v>912</v>
      </c>
    </row>
    <row r="2958" spans="1:9" ht="11.25" customHeight="1">
      <c r="A2958" s="3928" t="s">
        <v>2258</v>
      </c>
      <c r="B2958" s="3928" t="s">
        <v>14</v>
      </c>
      <c r="C2958" s="3928" t="s">
        <v>3511</v>
      </c>
      <c r="D2958" s="3928" t="s">
        <v>3512</v>
      </c>
      <c r="E2958" s="3928" t="s">
        <v>3513</v>
      </c>
      <c r="F2958" s="3928" t="s">
        <v>2262</v>
      </c>
      <c r="G2958" s="3928" t="s">
        <v>24</v>
      </c>
      <c r="H2958" s="3928" t="s">
        <v>2314</v>
      </c>
      <c r="I2958" s="3928" t="s">
        <v>912</v>
      </c>
    </row>
    <row r="2959" spans="1:9" ht="11.25" customHeight="1">
      <c r="A2959" s="3928" t="s">
        <v>2258</v>
      </c>
      <c r="B2959" s="3928" t="s">
        <v>14</v>
      </c>
      <c r="C2959" s="3928" t="s">
        <v>6376</v>
      </c>
      <c r="D2959" s="3928" t="s">
        <v>6377</v>
      </c>
      <c r="E2959" s="3928" t="s">
        <v>6378</v>
      </c>
      <c r="F2959" s="3928" t="s">
        <v>2486</v>
      </c>
      <c r="G2959" s="3928" t="s">
        <v>24</v>
      </c>
      <c r="H2959" s="3928" t="s">
        <v>3297</v>
      </c>
      <c r="I2959" s="3928" t="s">
        <v>912</v>
      </c>
    </row>
    <row r="2960" spans="1:9" ht="11.25" customHeight="1">
      <c r="A2960" s="3928" t="s">
        <v>2258</v>
      </c>
      <c r="B2960" s="3928" t="s">
        <v>14</v>
      </c>
      <c r="C2960" s="3928" t="s">
        <v>3514</v>
      </c>
      <c r="D2960" s="3928" t="s">
        <v>3515</v>
      </c>
      <c r="E2960" s="3928" t="s">
        <v>3516</v>
      </c>
      <c r="F2960" s="3928" t="s">
        <v>2451</v>
      </c>
      <c r="G2960" s="3928" t="s">
        <v>3517</v>
      </c>
      <c r="H2960" s="3928" t="s">
        <v>3518</v>
      </c>
      <c r="I2960" s="3928" t="s">
        <v>912</v>
      </c>
    </row>
    <row r="2961" spans="1:9" ht="11.25" customHeight="1">
      <c r="A2961" s="3928" t="s">
        <v>2258</v>
      </c>
      <c r="B2961" s="3928" t="s">
        <v>14</v>
      </c>
      <c r="C2961" s="3928" t="s">
        <v>6890</v>
      </c>
      <c r="D2961" s="3928" t="s">
        <v>6891</v>
      </c>
      <c r="E2961" s="3928" t="s">
        <v>6892</v>
      </c>
      <c r="F2961" s="3928" t="s">
        <v>49</v>
      </c>
      <c r="G2961" s="3928" t="s">
        <v>24</v>
      </c>
      <c r="H2961" s="3928" t="s">
        <v>6893</v>
      </c>
      <c r="I2961" s="3928" t="s">
        <v>912</v>
      </c>
    </row>
    <row r="2962" spans="1:9" ht="11.25" customHeight="1">
      <c r="A2962" s="3928" t="s">
        <v>2258</v>
      </c>
      <c r="B2962" s="3928" t="s">
        <v>14</v>
      </c>
      <c r="C2962" s="3928" t="s">
        <v>6894</v>
      </c>
      <c r="D2962" s="3928" t="s">
        <v>6895</v>
      </c>
      <c r="E2962" s="3928" t="s">
        <v>6896</v>
      </c>
      <c r="F2962" s="3928" t="s">
        <v>2419</v>
      </c>
      <c r="G2962" s="3928" t="s">
        <v>6897</v>
      </c>
      <c r="H2962" s="3928" t="s">
        <v>24</v>
      </c>
      <c r="I2962" s="3928" t="s">
        <v>912</v>
      </c>
    </row>
    <row r="2963" spans="1:9" ht="11.25" customHeight="1">
      <c r="A2963" s="3928" t="s">
        <v>2258</v>
      </c>
      <c r="B2963" s="3928" t="s">
        <v>14</v>
      </c>
      <c r="C2963" s="3928" t="s">
        <v>3526</v>
      </c>
      <c r="D2963" s="3928" t="s">
        <v>3527</v>
      </c>
      <c r="E2963" s="3928" t="s">
        <v>3528</v>
      </c>
      <c r="F2963" s="3928" t="s">
        <v>2701</v>
      </c>
      <c r="G2963" s="3928" t="s">
        <v>24</v>
      </c>
      <c r="H2963" s="3928" t="s">
        <v>2263</v>
      </c>
      <c r="I2963" s="3928" t="s">
        <v>912</v>
      </c>
    </row>
    <row r="2964" spans="1:9" ht="11.25" customHeight="1">
      <c r="A2964" s="3928" t="s">
        <v>2258</v>
      </c>
      <c r="B2964" s="3928" t="s">
        <v>14</v>
      </c>
      <c r="C2964" s="3928" t="s">
        <v>3529</v>
      </c>
      <c r="D2964" s="3928" t="s">
        <v>3530</v>
      </c>
      <c r="E2964" s="3928" t="s">
        <v>3531</v>
      </c>
      <c r="F2964" s="3928" t="s">
        <v>3532</v>
      </c>
      <c r="G2964" s="3928" t="s">
        <v>3533</v>
      </c>
      <c r="H2964" s="3928" t="s">
        <v>24</v>
      </c>
      <c r="I2964" s="3928" t="s">
        <v>912</v>
      </c>
    </row>
    <row r="2965" spans="1:9" ht="11.25" customHeight="1">
      <c r="A2965" s="3928" t="s">
        <v>2258</v>
      </c>
      <c r="B2965" s="3928" t="s">
        <v>14</v>
      </c>
      <c r="C2965" s="3928" t="s">
        <v>3534</v>
      </c>
      <c r="D2965" s="3928" t="s">
        <v>3535</v>
      </c>
      <c r="E2965" s="3928" t="s">
        <v>3536</v>
      </c>
      <c r="F2965" s="3928" t="s">
        <v>2424</v>
      </c>
      <c r="G2965" s="3928" t="s">
        <v>24</v>
      </c>
      <c r="H2965" s="3928" t="s">
        <v>2263</v>
      </c>
      <c r="I2965" s="3928" t="s">
        <v>912</v>
      </c>
    </row>
    <row r="2966" spans="1:9" ht="11.25" customHeight="1">
      <c r="A2966" s="3928" t="s">
        <v>2258</v>
      </c>
      <c r="B2966" s="3928" t="s">
        <v>14</v>
      </c>
      <c r="C2966" s="3928" t="s">
        <v>3537</v>
      </c>
      <c r="D2966" s="3928" t="s">
        <v>3538</v>
      </c>
      <c r="E2966" s="3928" t="s">
        <v>3539</v>
      </c>
      <c r="F2966" s="3928" t="s">
        <v>2424</v>
      </c>
      <c r="G2966" s="3928" t="s">
        <v>24</v>
      </c>
      <c r="H2966" s="3928" t="s">
        <v>3540</v>
      </c>
      <c r="I2966" s="3928" t="s">
        <v>912</v>
      </c>
    </row>
    <row r="2967" spans="1:9" ht="11.25" customHeight="1">
      <c r="A2967" s="3928" t="s">
        <v>2258</v>
      </c>
      <c r="B2967" s="3928" t="s">
        <v>14</v>
      </c>
      <c r="C2967" s="3928" t="s">
        <v>3541</v>
      </c>
      <c r="D2967" s="3928" t="s">
        <v>3542</v>
      </c>
      <c r="E2967" s="3928" t="s">
        <v>3543</v>
      </c>
      <c r="F2967" s="3928" t="s">
        <v>2289</v>
      </c>
      <c r="G2967" s="3928" t="s">
        <v>3544</v>
      </c>
      <c r="H2967" s="3928" t="s">
        <v>3545</v>
      </c>
      <c r="I2967" s="3928" t="s">
        <v>912</v>
      </c>
    </row>
    <row r="2968" spans="1:9" ht="11.25" customHeight="1">
      <c r="A2968" s="3928" t="s">
        <v>2258</v>
      </c>
      <c r="B2968" s="3928" t="s">
        <v>14</v>
      </c>
      <c r="C2968" s="3928" t="s">
        <v>3546</v>
      </c>
      <c r="D2968" s="3928" t="s">
        <v>3547</v>
      </c>
      <c r="E2968" s="3928" t="s">
        <v>3548</v>
      </c>
      <c r="F2968" s="3928" t="s">
        <v>2289</v>
      </c>
      <c r="G2968" s="3928" t="s">
        <v>3549</v>
      </c>
      <c r="H2968" s="3928" t="s">
        <v>24</v>
      </c>
      <c r="I2968" s="3928" t="s">
        <v>912</v>
      </c>
    </row>
    <row r="2969" spans="1:9" ht="11.25" customHeight="1">
      <c r="A2969" s="3928" t="s">
        <v>2258</v>
      </c>
      <c r="B2969" s="3928" t="s">
        <v>14</v>
      </c>
      <c r="C2969" s="3928" t="s">
        <v>3553</v>
      </c>
      <c r="D2969" s="3928" t="s">
        <v>3554</v>
      </c>
      <c r="E2969" s="3928" t="s">
        <v>3555</v>
      </c>
      <c r="F2969" s="3928" t="s">
        <v>2313</v>
      </c>
      <c r="G2969" s="3928" t="s">
        <v>24</v>
      </c>
      <c r="H2969" s="3928" t="s">
        <v>3556</v>
      </c>
      <c r="I2969" s="3928" t="s">
        <v>912</v>
      </c>
    </row>
    <row r="2970" spans="1:9" ht="11.25" customHeight="1">
      <c r="A2970" s="3928" t="s">
        <v>2258</v>
      </c>
      <c r="B2970" s="3928" t="s">
        <v>14</v>
      </c>
      <c r="C2970" s="3928" t="s">
        <v>3557</v>
      </c>
      <c r="D2970" s="3928" t="s">
        <v>3558</v>
      </c>
      <c r="E2970" s="3928" t="s">
        <v>3559</v>
      </c>
      <c r="F2970" s="3928" t="s">
        <v>49</v>
      </c>
      <c r="G2970" s="3928" t="s">
        <v>24</v>
      </c>
      <c r="H2970" s="3928" t="s">
        <v>3560</v>
      </c>
      <c r="I2970" s="3928" t="s">
        <v>912</v>
      </c>
    </row>
    <row r="2971" spans="1:9" ht="11.25" customHeight="1">
      <c r="A2971" s="3928" t="s">
        <v>2258</v>
      </c>
      <c r="B2971" s="3928" t="s">
        <v>14</v>
      </c>
      <c r="C2971" s="3928" t="s">
        <v>8020</v>
      </c>
      <c r="D2971" s="3928" t="s">
        <v>8021</v>
      </c>
      <c r="E2971" s="3928" t="s">
        <v>8022</v>
      </c>
      <c r="F2971" s="3928" t="s">
        <v>2299</v>
      </c>
      <c r="G2971" s="3928" t="s">
        <v>24</v>
      </c>
      <c r="H2971" s="3928" t="s">
        <v>8023</v>
      </c>
      <c r="I2971" s="3928" t="s">
        <v>912</v>
      </c>
    </row>
    <row r="2972" spans="1:9" ht="11.25" customHeight="1">
      <c r="A2972" s="3928" t="s">
        <v>2258</v>
      </c>
      <c r="B2972" s="3928" t="s">
        <v>14</v>
      </c>
      <c r="C2972" s="3928" t="s">
        <v>3561</v>
      </c>
      <c r="D2972" s="3928" t="s">
        <v>3562</v>
      </c>
      <c r="E2972" s="3928" t="s">
        <v>3563</v>
      </c>
      <c r="F2972" s="3928" t="s">
        <v>2831</v>
      </c>
      <c r="G2972" s="3928" t="s">
        <v>24</v>
      </c>
      <c r="H2972" s="3928" t="s">
        <v>2475</v>
      </c>
      <c r="I2972" s="3928" t="s">
        <v>912</v>
      </c>
    </row>
    <row r="2973" spans="1:9" ht="11.25" customHeight="1">
      <c r="A2973" s="3928" t="s">
        <v>2258</v>
      </c>
      <c r="B2973" s="3928" t="s">
        <v>14</v>
      </c>
      <c r="C2973" s="3928" t="s">
        <v>3564</v>
      </c>
      <c r="D2973" s="3928" t="s">
        <v>3565</v>
      </c>
      <c r="E2973" s="3928" t="s">
        <v>3566</v>
      </c>
      <c r="F2973" s="3928" t="s">
        <v>2552</v>
      </c>
      <c r="G2973" s="3928" t="s">
        <v>3567</v>
      </c>
      <c r="H2973" s="3928" t="s">
        <v>3568</v>
      </c>
      <c r="I2973" s="3928" t="s">
        <v>912</v>
      </c>
    </row>
    <row r="2974" spans="1:9" ht="11.25" customHeight="1">
      <c r="A2974" s="3928" t="s">
        <v>2258</v>
      </c>
      <c r="B2974" s="3928" t="s">
        <v>14</v>
      </c>
      <c r="C2974" s="3928" t="s">
        <v>6898</v>
      </c>
      <c r="D2974" s="3928" t="s">
        <v>6899</v>
      </c>
      <c r="E2974" s="3928" t="s">
        <v>6900</v>
      </c>
      <c r="F2974" s="3928" t="s">
        <v>2771</v>
      </c>
      <c r="G2974" s="3928" t="s">
        <v>24</v>
      </c>
      <c r="H2974" s="3928" t="s">
        <v>6901</v>
      </c>
      <c r="I2974" s="3928" t="s">
        <v>912</v>
      </c>
    </row>
    <row r="2975" spans="1:9" ht="11.25" customHeight="1">
      <c r="A2975" s="3928" t="s">
        <v>2258</v>
      </c>
      <c r="B2975" s="3928" t="s">
        <v>14</v>
      </c>
      <c r="C2975" s="3928" t="s">
        <v>6902</v>
      </c>
      <c r="D2975" s="3928" t="s">
        <v>6903</v>
      </c>
      <c r="E2975" s="3928" t="s">
        <v>6904</v>
      </c>
      <c r="F2975" s="3928" t="s">
        <v>2746</v>
      </c>
      <c r="G2975" s="3928" t="s">
        <v>24</v>
      </c>
      <c r="H2975" s="3928" t="s">
        <v>6905</v>
      </c>
      <c r="I2975" s="3928" t="s">
        <v>912</v>
      </c>
    </row>
    <row r="2976" spans="1:9" ht="11.25" customHeight="1">
      <c r="A2976" s="3928" t="s">
        <v>2258</v>
      </c>
      <c r="B2976" s="3928" t="s">
        <v>14</v>
      </c>
      <c r="C2976" s="3928" t="s">
        <v>3577</v>
      </c>
      <c r="D2976" s="3928" t="s">
        <v>3578</v>
      </c>
      <c r="E2976" s="3928" t="s">
        <v>3579</v>
      </c>
      <c r="F2976" s="3928" t="s">
        <v>3580</v>
      </c>
      <c r="G2976" s="3928" t="s">
        <v>3581</v>
      </c>
      <c r="H2976" s="3928" t="s">
        <v>24</v>
      </c>
      <c r="I2976" s="3928" t="s">
        <v>912</v>
      </c>
    </row>
    <row r="2977" spans="1:9" ht="11.25" customHeight="1">
      <c r="A2977" s="3928" t="s">
        <v>2258</v>
      </c>
      <c r="B2977" s="3928" t="s">
        <v>14</v>
      </c>
      <c r="C2977" s="3928" t="s">
        <v>6906</v>
      </c>
      <c r="D2977" s="3928" t="s">
        <v>6907</v>
      </c>
      <c r="E2977" s="3928" t="s">
        <v>6908</v>
      </c>
      <c r="F2977" s="3928" t="s">
        <v>2409</v>
      </c>
      <c r="G2977" s="3928" t="s">
        <v>6909</v>
      </c>
      <c r="H2977" s="3928" t="s">
        <v>24</v>
      </c>
      <c r="I2977" s="3928" t="s">
        <v>912</v>
      </c>
    </row>
    <row r="2978" spans="1:9" ht="11.25" customHeight="1">
      <c r="A2978" s="3928" t="s">
        <v>2258</v>
      </c>
      <c r="B2978" s="3928" t="s">
        <v>14</v>
      </c>
      <c r="C2978" s="3928" t="s">
        <v>6910</v>
      </c>
      <c r="D2978" s="3928" t="s">
        <v>6911</v>
      </c>
      <c r="E2978" s="3928" t="s">
        <v>6912</v>
      </c>
      <c r="F2978" s="3928" t="s">
        <v>2409</v>
      </c>
      <c r="G2978" s="3928" t="s">
        <v>24</v>
      </c>
      <c r="H2978" s="3928" t="s">
        <v>24</v>
      </c>
      <c r="I2978" s="3928" t="s">
        <v>912</v>
      </c>
    </row>
    <row r="2979" spans="1:9" ht="11.25" customHeight="1">
      <c r="A2979" s="3928" t="s">
        <v>2258</v>
      </c>
      <c r="B2979" s="3928" t="s">
        <v>14</v>
      </c>
      <c r="C2979" s="3928" t="s">
        <v>3582</v>
      </c>
      <c r="D2979" s="3928" t="s">
        <v>3583</v>
      </c>
      <c r="E2979" s="3928" t="s">
        <v>3584</v>
      </c>
      <c r="F2979" s="3928" t="s">
        <v>2304</v>
      </c>
      <c r="G2979" s="3928" t="s">
        <v>3585</v>
      </c>
      <c r="H2979" s="3928" t="s">
        <v>2263</v>
      </c>
      <c r="I2979" s="3928" t="s">
        <v>912</v>
      </c>
    </row>
    <row r="2980" spans="1:9" ht="11.25" customHeight="1">
      <c r="A2980" s="3928" t="s">
        <v>2258</v>
      </c>
      <c r="B2980" s="3928" t="s">
        <v>14</v>
      </c>
      <c r="C2980" s="3928" t="s">
        <v>3586</v>
      </c>
      <c r="D2980" s="3928" t="s">
        <v>3587</v>
      </c>
      <c r="E2980" s="3928" t="s">
        <v>3588</v>
      </c>
      <c r="F2980" s="3928" t="s">
        <v>2675</v>
      </c>
      <c r="G2980" s="3928" t="s">
        <v>3589</v>
      </c>
      <c r="H2980" s="3928" t="s">
        <v>3590</v>
      </c>
      <c r="I2980" s="3928" t="s">
        <v>912</v>
      </c>
    </row>
    <row r="2981" spans="1:9" ht="11.25" customHeight="1">
      <c r="A2981" s="3928" t="s">
        <v>2258</v>
      </c>
      <c r="B2981" s="3928" t="s">
        <v>14</v>
      </c>
      <c r="C2981" s="3928" t="s">
        <v>6913</v>
      </c>
      <c r="D2981" s="3928" t="s">
        <v>6914</v>
      </c>
      <c r="E2981" s="3928" t="s">
        <v>6915</v>
      </c>
      <c r="F2981" s="3928" t="s">
        <v>2780</v>
      </c>
      <c r="G2981" s="3928" t="s">
        <v>6916</v>
      </c>
      <c r="H2981" s="3928" t="s">
        <v>24</v>
      </c>
      <c r="I2981" s="3928" t="s">
        <v>912</v>
      </c>
    </row>
    <row r="2982" spans="1:9" ht="11.25" customHeight="1">
      <c r="A2982" s="3928" t="s">
        <v>2258</v>
      </c>
      <c r="B2982" s="3928" t="s">
        <v>14</v>
      </c>
      <c r="C2982" s="3928" t="s">
        <v>8024</v>
      </c>
      <c r="D2982" s="3928" t="s">
        <v>8025</v>
      </c>
      <c r="E2982" s="3928" t="s">
        <v>8026</v>
      </c>
      <c r="F2982" s="3928" t="s">
        <v>3509</v>
      </c>
      <c r="G2982" s="3928" t="s">
        <v>24</v>
      </c>
      <c r="H2982" s="3928" t="s">
        <v>2848</v>
      </c>
      <c r="I2982" s="3928" t="s">
        <v>912</v>
      </c>
    </row>
    <row r="2983" spans="1:9" ht="11.25" customHeight="1">
      <c r="A2983" s="3928" t="s">
        <v>2258</v>
      </c>
      <c r="B2983" s="3928" t="s">
        <v>14</v>
      </c>
      <c r="C2983" s="3928" t="s">
        <v>6917</v>
      </c>
      <c r="D2983" s="3928" t="s">
        <v>6918</v>
      </c>
      <c r="E2983" s="3928" t="s">
        <v>6919</v>
      </c>
      <c r="F2983" s="3928" t="s">
        <v>2675</v>
      </c>
      <c r="G2983" s="3928" t="s">
        <v>6920</v>
      </c>
      <c r="H2983" s="3928" t="s">
        <v>24</v>
      </c>
      <c r="I2983" s="3928" t="s">
        <v>912</v>
      </c>
    </row>
    <row r="2984" spans="1:9" ht="11.25" customHeight="1">
      <c r="A2984" s="3928" t="s">
        <v>2258</v>
      </c>
      <c r="B2984" s="3928" t="s">
        <v>14</v>
      </c>
      <c r="C2984" s="3928" t="s">
        <v>6925</v>
      </c>
      <c r="D2984" s="3928" t="s">
        <v>6926</v>
      </c>
      <c r="E2984" s="3928" t="s">
        <v>6927</v>
      </c>
      <c r="F2984" s="3928" t="s">
        <v>2675</v>
      </c>
      <c r="G2984" s="3928" t="s">
        <v>24</v>
      </c>
      <c r="H2984" s="3928" t="s">
        <v>6928</v>
      </c>
      <c r="I2984" s="3928" t="s">
        <v>912</v>
      </c>
    </row>
    <row r="2985" spans="1:9" ht="11.25" customHeight="1">
      <c r="A2985" s="3928" t="s">
        <v>2258</v>
      </c>
      <c r="B2985" s="3928" t="s">
        <v>14</v>
      </c>
      <c r="C2985" s="3928" t="s">
        <v>3602</v>
      </c>
      <c r="D2985" s="3928" t="s">
        <v>3603</v>
      </c>
      <c r="E2985" s="3928" t="s">
        <v>3604</v>
      </c>
      <c r="F2985" s="3928" t="s">
        <v>2675</v>
      </c>
      <c r="G2985" s="3928" t="s">
        <v>24</v>
      </c>
      <c r="H2985" s="3928" t="s">
        <v>3068</v>
      </c>
      <c r="I2985" s="3928" t="s">
        <v>912</v>
      </c>
    </row>
    <row r="2986" spans="1:9" ht="11.25" customHeight="1">
      <c r="A2986" s="3928" t="s">
        <v>2258</v>
      </c>
      <c r="B2986" s="3928" t="s">
        <v>14</v>
      </c>
      <c r="C2986" s="3928" t="s">
        <v>3605</v>
      </c>
      <c r="D2986" s="3928" t="s">
        <v>3606</v>
      </c>
      <c r="E2986" s="3928" t="s">
        <v>3607</v>
      </c>
      <c r="F2986" s="3928" t="s">
        <v>2771</v>
      </c>
      <c r="G2986" s="3928" t="s">
        <v>24</v>
      </c>
      <c r="H2986" s="3928" t="s">
        <v>3608</v>
      </c>
      <c r="I2986" s="3928" t="s">
        <v>912</v>
      </c>
    </row>
    <row r="2987" spans="1:9" ht="11.25" customHeight="1">
      <c r="A2987" s="3928" t="s">
        <v>2258</v>
      </c>
      <c r="B2987" s="3928" t="s">
        <v>14</v>
      </c>
      <c r="C2987" s="3928" t="s">
        <v>3609</v>
      </c>
      <c r="D2987" s="3928" t="s">
        <v>3610</v>
      </c>
      <c r="E2987" s="3928" t="s">
        <v>3611</v>
      </c>
      <c r="F2987" s="3928" t="s">
        <v>3612</v>
      </c>
      <c r="G2987" s="3928" t="s">
        <v>24</v>
      </c>
      <c r="H2987" s="3928" t="s">
        <v>2263</v>
      </c>
      <c r="I2987" s="3928" t="s">
        <v>912</v>
      </c>
    </row>
    <row r="2988" spans="1:9" ht="11.25" customHeight="1">
      <c r="A2988" s="3928" t="s">
        <v>2258</v>
      </c>
      <c r="B2988" s="3928" t="s">
        <v>14</v>
      </c>
      <c r="C2988" s="3928" t="s">
        <v>3613</v>
      </c>
      <c r="D2988" s="3928" t="s">
        <v>3614</v>
      </c>
      <c r="E2988" s="3928" t="s">
        <v>3615</v>
      </c>
      <c r="F2988" s="3928" t="s">
        <v>2409</v>
      </c>
      <c r="G2988" s="3928" t="s">
        <v>24</v>
      </c>
      <c r="H2988" s="3928" t="s">
        <v>2263</v>
      </c>
      <c r="I2988" s="3928" t="s">
        <v>912</v>
      </c>
    </row>
    <row r="2989" spans="1:9" ht="11.25" customHeight="1">
      <c r="A2989" s="3928" t="s">
        <v>2258</v>
      </c>
      <c r="B2989" s="3928" t="s">
        <v>14</v>
      </c>
      <c r="C2989" s="3928" t="s">
        <v>3616</v>
      </c>
      <c r="D2989" s="3928" t="s">
        <v>3617</v>
      </c>
      <c r="E2989" s="3928" t="s">
        <v>3618</v>
      </c>
      <c r="F2989" s="3928" t="s">
        <v>2780</v>
      </c>
      <c r="G2989" s="3928" t="s">
        <v>3619</v>
      </c>
      <c r="H2989" s="3928" t="s">
        <v>2263</v>
      </c>
      <c r="I2989" s="3928" t="s">
        <v>912</v>
      </c>
    </row>
    <row r="2990" spans="1:9" ht="11.25" customHeight="1">
      <c r="A2990" s="3928" t="s">
        <v>2258</v>
      </c>
      <c r="B2990" s="3928" t="s">
        <v>14</v>
      </c>
      <c r="C2990" s="3928" t="s">
        <v>3620</v>
      </c>
      <c r="D2990" s="3928" t="s">
        <v>3621</v>
      </c>
      <c r="E2990" s="3928" t="s">
        <v>3622</v>
      </c>
      <c r="F2990" s="3928" t="s">
        <v>2701</v>
      </c>
      <c r="G2990" s="3928" t="s">
        <v>3623</v>
      </c>
      <c r="H2990" s="3928" t="s">
        <v>24</v>
      </c>
      <c r="I2990" s="3928" t="s">
        <v>912</v>
      </c>
    </row>
    <row r="2991" spans="1:9" ht="11.25" customHeight="1">
      <c r="A2991" s="3928" t="s">
        <v>2258</v>
      </c>
      <c r="B2991" s="3928" t="s">
        <v>14</v>
      </c>
      <c r="C2991" s="3928" t="s">
        <v>3624</v>
      </c>
      <c r="D2991" s="3928" t="s">
        <v>3625</v>
      </c>
      <c r="E2991" s="3928" t="s">
        <v>3626</v>
      </c>
      <c r="F2991" s="3928" t="s">
        <v>2414</v>
      </c>
      <c r="G2991" s="3928" t="s">
        <v>3627</v>
      </c>
      <c r="H2991" s="3928" t="s">
        <v>24</v>
      </c>
      <c r="I2991" s="3928" t="s">
        <v>912</v>
      </c>
    </row>
    <row r="2992" spans="1:9" ht="11.25" customHeight="1">
      <c r="A2992" s="3928" t="s">
        <v>2258</v>
      </c>
      <c r="B2992" s="3928" t="s">
        <v>14</v>
      </c>
      <c r="C2992" s="3928" t="s">
        <v>3628</v>
      </c>
      <c r="D2992" s="3928" t="s">
        <v>3629</v>
      </c>
      <c r="E2992" s="3928" t="s">
        <v>3630</v>
      </c>
      <c r="F2992" s="3928" t="s">
        <v>2486</v>
      </c>
      <c r="G2992" s="3928" t="s">
        <v>24</v>
      </c>
      <c r="H2992" s="3928" t="s">
        <v>3631</v>
      </c>
      <c r="I2992" s="3928" t="s">
        <v>912</v>
      </c>
    </row>
    <row r="2993" spans="1:9" ht="11.25" customHeight="1">
      <c r="A2993" s="3928" t="s">
        <v>2258</v>
      </c>
      <c r="B2993" s="3928" t="s">
        <v>14</v>
      </c>
      <c r="C2993" s="3928" t="s">
        <v>3632</v>
      </c>
      <c r="D2993" s="3928" t="s">
        <v>3633</v>
      </c>
      <c r="E2993" s="3928" t="s">
        <v>3634</v>
      </c>
      <c r="F2993" s="3928" t="s">
        <v>2294</v>
      </c>
      <c r="G2993" s="3928" t="s">
        <v>3635</v>
      </c>
      <c r="H2993" s="3928" t="s">
        <v>3636</v>
      </c>
      <c r="I2993" s="3928" t="s">
        <v>912</v>
      </c>
    </row>
    <row r="2994" spans="1:9" ht="11.25" customHeight="1">
      <c r="A2994" s="3928" t="s">
        <v>2258</v>
      </c>
      <c r="B2994" s="3928" t="s">
        <v>14</v>
      </c>
      <c r="C2994" s="3928" t="s">
        <v>6931</v>
      </c>
      <c r="D2994" s="3928" t="s">
        <v>6932</v>
      </c>
      <c r="E2994" s="3928" t="s">
        <v>6933</v>
      </c>
      <c r="F2994" s="3928" t="s">
        <v>49</v>
      </c>
      <c r="G2994" s="3928" t="s">
        <v>5173</v>
      </c>
      <c r="H2994" s="3928" t="s">
        <v>24</v>
      </c>
      <c r="I2994" s="3928" t="s">
        <v>912</v>
      </c>
    </row>
    <row r="2995" spans="1:9" ht="11.25" customHeight="1">
      <c r="A2995" s="3928" t="s">
        <v>2258</v>
      </c>
      <c r="B2995" s="3928" t="s">
        <v>14</v>
      </c>
      <c r="C2995" s="3928" t="s">
        <v>6934</v>
      </c>
      <c r="D2995" s="3928" t="s">
        <v>6935</v>
      </c>
      <c r="E2995" s="3928" t="s">
        <v>6936</v>
      </c>
      <c r="F2995" s="3928" t="s">
        <v>2359</v>
      </c>
      <c r="G2995" s="3928" t="s">
        <v>24</v>
      </c>
      <c r="H2995" s="3928" t="s">
        <v>2848</v>
      </c>
      <c r="I2995" s="3928" t="s">
        <v>912</v>
      </c>
    </row>
    <row r="2996" spans="1:9" ht="11.25" customHeight="1">
      <c r="A2996" s="3928" t="s">
        <v>2258</v>
      </c>
      <c r="B2996" s="3928" t="s">
        <v>14</v>
      </c>
      <c r="C2996" s="3928" t="s">
        <v>6383</v>
      </c>
      <c r="D2996" s="3928" t="s">
        <v>6384</v>
      </c>
      <c r="E2996" s="3928" t="s">
        <v>6385</v>
      </c>
      <c r="F2996" s="3928" t="s">
        <v>2424</v>
      </c>
      <c r="G2996" s="3928" t="s">
        <v>24</v>
      </c>
      <c r="H2996" s="3928" t="s">
        <v>3068</v>
      </c>
      <c r="I2996" s="3928" t="s">
        <v>912</v>
      </c>
    </row>
    <row r="2997" spans="1:9" ht="11.25" customHeight="1">
      <c r="A2997" s="3928" t="s">
        <v>2258</v>
      </c>
      <c r="B2997" s="3928" t="s">
        <v>14</v>
      </c>
      <c r="C2997" s="3928" t="s">
        <v>6937</v>
      </c>
      <c r="D2997" s="3928" t="s">
        <v>6938</v>
      </c>
      <c r="E2997" s="3928" t="s">
        <v>6939</v>
      </c>
      <c r="F2997" s="3928" t="s">
        <v>2473</v>
      </c>
      <c r="G2997" s="3928" t="s">
        <v>6940</v>
      </c>
      <c r="H2997" s="3928" t="s">
        <v>2945</v>
      </c>
      <c r="I2997" s="3928" t="s">
        <v>912</v>
      </c>
    </row>
    <row r="2998" spans="1:9" ht="11.25" customHeight="1">
      <c r="A2998" s="3928" t="s">
        <v>2258</v>
      </c>
      <c r="B2998" s="3928" t="s">
        <v>14</v>
      </c>
      <c r="C2998" s="3928" t="s">
        <v>3646</v>
      </c>
      <c r="D2998" s="3928" t="s">
        <v>3647</v>
      </c>
      <c r="E2998" s="3928" t="s">
        <v>3648</v>
      </c>
      <c r="F2998" s="3928" t="s">
        <v>2409</v>
      </c>
      <c r="G2998" s="3928" t="s">
        <v>24</v>
      </c>
      <c r="H2998" s="3928" t="s">
        <v>2263</v>
      </c>
      <c r="I2998" s="3928" t="s">
        <v>912</v>
      </c>
    </row>
    <row r="2999" spans="1:9" ht="11.25" customHeight="1">
      <c r="A2999" s="3928" t="s">
        <v>2258</v>
      </c>
      <c r="B2999" s="3928" t="s">
        <v>14</v>
      </c>
      <c r="C2999" s="3928" t="s">
        <v>3649</v>
      </c>
      <c r="D2999" s="3928" t="s">
        <v>3650</v>
      </c>
      <c r="E2999" s="3928" t="s">
        <v>3651</v>
      </c>
      <c r="F2999" s="3928" t="s">
        <v>2375</v>
      </c>
      <c r="G2999" s="3928" t="s">
        <v>24</v>
      </c>
      <c r="H2999" s="3928" t="s">
        <v>2263</v>
      </c>
      <c r="I2999" s="3928" t="s">
        <v>912</v>
      </c>
    </row>
    <row r="3000" spans="1:9" ht="11.25" customHeight="1">
      <c r="A3000" s="3928" t="s">
        <v>2258</v>
      </c>
      <c r="B3000" s="3928" t="s">
        <v>14</v>
      </c>
      <c r="C3000" s="3928" t="s">
        <v>3652</v>
      </c>
      <c r="D3000" s="3928" t="s">
        <v>3653</v>
      </c>
      <c r="E3000" s="3928" t="s">
        <v>3654</v>
      </c>
      <c r="F3000" s="3928" t="s">
        <v>2486</v>
      </c>
      <c r="G3000" s="3928" t="s">
        <v>3655</v>
      </c>
      <c r="H3000" s="3928" t="s">
        <v>2475</v>
      </c>
      <c r="I3000" s="3928" t="s">
        <v>912</v>
      </c>
    </row>
    <row r="3001" spans="1:9" ht="11.25" customHeight="1">
      <c r="A3001" s="3928" t="s">
        <v>2258</v>
      </c>
      <c r="B3001" s="3928" t="s">
        <v>14</v>
      </c>
      <c r="C3001" s="3928" t="s">
        <v>6941</v>
      </c>
      <c r="D3001" s="3928" t="s">
        <v>6942</v>
      </c>
      <c r="E3001" s="3928" t="s">
        <v>6943</v>
      </c>
      <c r="F3001" s="3928" t="s">
        <v>2451</v>
      </c>
      <c r="G3001" s="3928" t="s">
        <v>6944</v>
      </c>
      <c r="H3001" s="3928" t="s">
        <v>24</v>
      </c>
      <c r="I3001" s="3928" t="s">
        <v>912</v>
      </c>
    </row>
    <row r="3002" spans="1:9" ht="11.25" customHeight="1">
      <c r="A3002" s="3928" t="s">
        <v>2258</v>
      </c>
      <c r="B3002" s="3928" t="s">
        <v>14</v>
      </c>
      <c r="C3002" s="3928" t="s">
        <v>6945</v>
      </c>
      <c r="D3002" s="3928" t="s">
        <v>6946</v>
      </c>
      <c r="E3002" s="3928" t="s">
        <v>6947</v>
      </c>
      <c r="F3002" s="3928" t="s">
        <v>4166</v>
      </c>
      <c r="G3002" s="3928" t="s">
        <v>24</v>
      </c>
      <c r="H3002" s="3928" t="s">
        <v>3168</v>
      </c>
      <c r="I3002" s="3928" t="s">
        <v>912</v>
      </c>
    </row>
    <row r="3003" spans="1:9" ht="11.25" customHeight="1">
      <c r="A3003" s="3928" t="s">
        <v>2258</v>
      </c>
      <c r="B3003" s="3928" t="s">
        <v>14</v>
      </c>
      <c r="C3003" s="3928" t="s">
        <v>3656</v>
      </c>
      <c r="D3003" s="3928" t="s">
        <v>3657</v>
      </c>
      <c r="E3003" s="3928" t="s">
        <v>3658</v>
      </c>
      <c r="F3003" s="3928" t="s">
        <v>2701</v>
      </c>
      <c r="G3003" s="3928" t="s">
        <v>3659</v>
      </c>
      <c r="H3003" s="3928" t="s">
        <v>24</v>
      </c>
      <c r="I3003" s="3928" t="s">
        <v>912</v>
      </c>
    </row>
    <row r="3004" spans="1:9" ht="11.25" customHeight="1">
      <c r="A3004" s="3928" t="s">
        <v>2258</v>
      </c>
      <c r="B3004" s="3928" t="s">
        <v>14</v>
      </c>
      <c r="C3004" s="3928" t="s">
        <v>3660</v>
      </c>
      <c r="D3004" s="3928" t="s">
        <v>3661</v>
      </c>
      <c r="E3004" s="3928" t="s">
        <v>3662</v>
      </c>
      <c r="F3004" s="3928" t="s">
        <v>2349</v>
      </c>
      <c r="G3004" s="3928" t="s">
        <v>24</v>
      </c>
      <c r="H3004" s="3928" t="s">
        <v>24</v>
      </c>
      <c r="I3004" s="3928" t="s">
        <v>912</v>
      </c>
    </row>
    <row r="3005" spans="1:9" ht="11.25" customHeight="1">
      <c r="A3005" s="3928" t="s">
        <v>2258</v>
      </c>
      <c r="B3005" s="3928" t="s">
        <v>14</v>
      </c>
      <c r="C3005" s="3928" t="s">
        <v>6948</v>
      </c>
      <c r="D3005" s="3928" t="s">
        <v>6949</v>
      </c>
      <c r="E3005" s="3928" t="s">
        <v>6950</v>
      </c>
      <c r="F3005" s="3928" t="s">
        <v>2409</v>
      </c>
      <c r="G3005" s="3928" t="s">
        <v>24</v>
      </c>
      <c r="H3005" s="3928" t="s">
        <v>2263</v>
      </c>
      <c r="I3005" s="3928" t="s">
        <v>912</v>
      </c>
    </row>
    <row r="3006" spans="1:9" ht="11.25" customHeight="1">
      <c r="A3006" s="3928" t="s">
        <v>2258</v>
      </c>
      <c r="B3006" s="3928" t="s">
        <v>14</v>
      </c>
      <c r="C3006" s="3928" t="s">
        <v>6951</v>
      </c>
      <c r="D3006" s="3928" t="s">
        <v>6952</v>
      </c>
      <c r="E3006" s="3928" t="s">
        <v>6953</v>
      </c>
      <c r="F3006" s="3928" t="s">
        <v>2414</v>
      </c>
      <c r="G3006" s="3928" t="s">
        <v>24</v>
      </c>
      <c r="H3006" s="3928" t="s">
        <v>24</v>
      </c>
      <c r="I3006" s="3928" t="s">
        <v>912</v>
      </c>
    </row>
    <row r="3007" spans="1:9" ht="11.25" customHeight="1">
      <c r="A3007" s="3928" t="s">
        <v>2258</v>
      </c>
      <c r="B3007" s="3928" t="s">
        <v>14</v>
      </c>
      <c r="C3007" s="3928" t="s">
        <v>3667</v>
      </c>
      <c r="D3007" s="3928" t="s">
        <v>3668</v>
      </c>
      <c r="E3007" s="3928" t="s">
        <v>3669</v>
      </c>
      <c r="F3007" s="3928" t="s">
        <v>2675</v>
      </c>
      <c r="G3007" s="3928" t="s">
        <v>3670</v>
      </c>
      <c r="H3007" s="3928" t="s">
        <v>24</v>
      </c>
      <c r="I3007" s="3928" t="s">
        <v>912</v>
      </c>
    </row>
    <row r="3008" spans="1:9" ht="11.25" customHeight="1">
      <c r="A3008" s="3928" t="s">
        <v>2258</v>
      </c>
      <c r="B3008" s="3928" t="s">
        <v>14</v>
      </c>
      <c r="C3008" s="3928" t="s">
        <v>3671</v>
      </c>
      <c r="D3008" s="3928" t="s">
        <v>3672</v>
      </c>
      <c r="E3008" s="3928" t="s">
        <v>3673</v>
      </c>
      <c r="F3008" s="3928" t="s">
        <v>2451</v>
      </c>
      <c r="G3008" s="3928" t="s">
        <v>3674</v>
      </c>
      <c r="H3008" s="3928" t="s">
        <v>24</v>
      </c>
      <c r="I3008" s="3928" t="s">
        <v>912</v>
      </c>
    </row>
    <row r="3009" spans="1:9" ht="11.25" customHeight="1">
      <c r="A3009" s="3928" t="s">
        <v>2258</v>
      </c>
      <c r="B3009" s="3928" t="s">
        <v>14</v>
      </c>
      <c r="C3009" s="3928" t="s">
        <v>3675</v>
      </c>
      <c r="D3009" s="3928" t="s">
        <v>3676</v>
      </c>
      <c r="E3009" s="3928" t="s">
        <v>3677</v>
      </c>
      <c r="F3009" s="3928" t="s">
        <v>2771</v>
      </c>
      <c r="G3009" s="3928" t="s">
        <v>3678</v>
      </c>
      <c r="H3009" s="3928" t="s">
        <v>3679</v>
      </c>
      <c r="I3009" s="3928" t="s">
        <v>912</v>
      </c>
    </row>
    <row r="3010" spans="1:9" ht="11.25" customHeight="1">
      <c r="A3010" s="3928" t="s">
        <v>2258</v>
      </c>
      <c r="B3010" s="3928" t="s">
        <v>14</v>
      </c>
      <c r="C3010" s="3928" t="s">
        <v>3683</v>
      </c>
      <c r="D3010" s="3928" t="s">
        <v>3684</v>
      </c>
      <c r="E3010" s="3928" t="s">
        <v>3685</v>
      </c>
      <c r="F3010" s="3928" t="s">
        <v>49</v>
      </c>
      <c r="G3010" s="3928" t="s">
        <v>3686</v>
      </c>
      <c r="H3010" s="3928" t="s">
        <v>2475</v>
      </c>
      <c r="I3010" s="3928" t="s">
        <v>912</v>
      </c>
    </row>
    <row r="3011" spans="1:9" ht="11.25" customHeight="1">
      <c r="A3011" s="3928" t="s">
        <v>2258</v>
      </c>
      <c r="B3011" s="3928" t="s">
        <v>14</v>
      </c>
      <c r="C3011" s="3928" t="s">
        <v>3687</v>
      </c>
      <c r="D3011" s="3928" t="s">
        <v>3688</v>
      </c>
      <c r="E3011" s="3928" t="s">
        <v>3689</v>
      </c>
      <c r="F3011" s="3928" t="s">
        <v>2675</v>
      </c>
      <c r="G3011" s="3928" t="s">
        <v>3690</v>
      </c>
      <c r="H3011" s="3928" t="s">
        <v>3691</v>
      </c>
      <c r="I3011" s="3928" t="s">
        <v>912</v>
      </c>
    </row>
    <row r="3012" spans="1:9" ht="11.25" customHeight="1">
      <c r="A3012" s="3928" t="s">
        <v>2258</v>
      </c>
      <c r="B3012" s="3928" t="s">
        <v>14</v>
      </c>
      <c r="C3012" s="3928" t="s">
        <v>6954</v>
      </c>
      <c r="D3012" s="3928" t="s">
        <v>6955</v>
      </c>
      <c r="E3012" s="3928" t="s">
        <v>6956</v>
      </c>
      <c r="F3012" s="3928" t="s">
        <v>2354</v>
      </c>
      <c r="G3012" s="3928" t="s">
        <v>6957</v>
      </c>
      <c r="H3012" s="3928" t="s">
        <v>24</v>
      </c>
      <c r="I3012" s="3928" t="s">
        <v>912</v>
      </c>
    </row>
    <row r="3013" spans="1:9" ht="11.25" customHeight="1">
      <c r="A3013" s="3928" t="s">
        <v>2258</v>
      </c>
      <c r="B3013" s="3928" t="s">
        <v>14</v>
      </c>
      <c r="C3013" s="3928" t="s">
        <v>3700</v>
      </c>
      <c r="D3013" s="3928" t="s">
        <v>3701</v>
      </c>
      <c r="E3013" s="3928" t="s">
        <v>3702</v>
      </c>
      <c r="F3013" s="3928" t="s">
        <v>3703</v>
      </c>
      <c r="G3013" s="3928" t="s">
        <v>3704</v>
      </c>
      <c r="H3013" s="3928" t="s">
        <v>24</v>
      </c>
      <c r="I3013" s="3928" t="s">
        <v>912</v>
      </c>
    </row>
    <row r="3014" spans="1:9" ht="11.25" customHeight="1">
      <c r="A3014" s="3928" t="s">
        <v>2258</v>
      </c>
      <c r="B3014" s="3928" t="s">
        <v>14</v>
      </c>
      <c r="C3014" s="3928" t="s">
        <v>3721</v>
      </c>
      <c r="D3014" s="3928" t="s">
        <v>3722</v>
      </c>
      <c r="E3014" s="3928" t="s">
        <v>3723</v>
      </c>
      <c r="F3014" s="3928" t="s">
        <v>2375</v>
      </c>
      <c r="G3014" s="3928" t="s">
        <v>24</v>
      </c>
      <c r="H3014" s="3928" t="s">
        <v>2263</v>
      </c>
      <c r="I3014" s="3928" t="s">
        <v>912</v>
      </c>
    </row>
    <row r="3015" spans="1:9" ht="11.25" customHeight="1">
      <c r="A3015" s="3928" t="s">
        <v>2258</v>
      </c>
      <c r="B3015" s="3928" t="s">
        <v>14</v>
      </c>
      <c r="C3015" s="3928" t="s">
        <v>3724</v>
      </c>
      <c r="D3015" s="3928" t="s">
        <v>3725</v>
      </c>
      <c r="E3015" s="3928" t="s">
        <v>3726</v>
      </c>
      <c r="F3015" s="3928" t="s">
        <v>2701</v>
      </c>
      <c r="G3015" s="3928" t="s">
        <v>3727</v>
      </c>
      <c r="H3015" s="3928" t="s">
        <v>24</v>
      </c>
      <c r="I3015" s="3928" t="s">
        <v>912</v>
      </c>
    </row>
    <row r="3016" spans="1:9" ht="11.25" customHeight="1">
      <c r="A3016" s="3928" t="s">
        <v>2258</v>
      </c>
      <c r="B3016" s="3928" t="s">
        <v>14</v>
      </c>
      <c r="C3016" s="3928" t="s">
        <v>3732</v>
      </c>
      <c r="D3016" s="3928" t="s">
        <v>3733</v>
      </c>
      <c r="E3016" s="3928" t="s">
        <v>3734</v>
      </c>
      <c r="F3016" s="3928" t="s">
        <v>2473</v>
      </c>
      <c r="G3016" s="3928" t="s">
        <v>3735</v>
      </c>
      <c r="H3016" s="3928" t="s">
        <v>2945</v>
      </c>
      <c r="I3016" s="3928" t="s">
        <v>912</v>
      </c>
    </row>
    <row r="3017" spans="1:9" ht="11.25" customHeight="1">
      <c r="A3017" s="3928" t="s">
        <v>2258</v>
      </c>
      <c r="B3017" s="3928" t="s">
        <v>14</v>
      </c>
      <c r="C3017" s="3928" t="s">
        <v>3736</v>
      </c>
      <c r="D3017" s="3928" t="s">
        <v>3737</v>
      </c>
      <c r="E3017" s="3928" t="s">
        <v>3738</v>
      </c>
      <c r="F3017" s="3928" t="s">
        <v>2771</v>
      </c>
      <c r="G3017" s="3928" t="s">
        <v>3739</v>
      </c>
      <c r="H3017" s="3928" t="s">
        <v>24</v>
      </c>
      <c r="I3017" s="3928" t="s">
        <v>912</v>
      </c>
    </row>
    <row r="3018" spans="1:9" ht="11.25" customHeight="1">
      <c r="A3018" s="3928" t="s">
        <v>2258</v>
      </c>
      <c r="B3018" s="3928" t="s">
        <v>14</v>
      </c>
      <c r="C3018" s="3928" t="s">
        <v>3740</v>
      </c>
      <c r="D3018" s="3928" t="s">
        <v>3741</v>
      </c>
      <c r="E3018" s="3928" t="s">
        <v>3742</v>
      </c>
      <c r="F3018" s="3928" t="s">
        <v>2535</v>
      </c>
      <c r="G3018" s="3928" t="s">
        <v>3743</v>
      </c>
      <c r="H3018" s="3928" t="s">
        <v>24</v>
      </c>
      <c r="I3018" s="3928" t="s">
        <v>912</v>
      </c>
    </row>
    <row r="3019" spans="1:9" ht="11.25" customHeight="1">
      <c r="A3019" s="3928" t="s">
        <v>2258</v>
      </c>
      <c r="B3019" s="3928" t="s">
        <v>14</v>
      </c>
      <c r="C3019" s="3928" t="s">
        <v>3744</v>
      </c>
      <c r="D3019" s="3928" t="s">
        <v>3745</v>
      </c>
      <c r="E3019" s="3928" t="s">
        <v>3746</v>
      </c>
      <c r="F3019" s="3928" t="s">
        <v>3323</v>
      </c>
      <c r="G3019" s="3928" t="s">
        <v>24</v>
      </c>
      <c r="H3019" s="3928" t="s">
        <v>24</v>
      </c>
      <c r="I3019" s="3928" t="s">
        <v>912</v>
      </c>
    </row>
    <row r="3020" spans="1:9" ht="11.25" customHeight="1">
      <c r="A3020" s="3928" t="s">
        <v>2258</v>
      </c>
      <c r="B3020" s="3928" t="s">
        <v>14</v>
      </c>
      <c r="C3020" s="3928" t="s">
        <v>6958</v>
      </c>
      <c r="D3020" s="3928" t="s">
        <v>6959</v>
      </c>
      <c r="E3020" s="3928" t="s">
        <v>6960</v>
      </c>
      <c r="F3020" s="3928" t="s">
        <v>2397</v>
      </c>
      <c r="G3020" s="3928" t="s">
        <v>6961</v>
      </c>
      <c r="H3020" s="3928" t="s">
        <v>6962</v>
      </c>
      <c r="I3020" s="3928" t="s">
        <v>912</v>
      </c>
    </row>
    <row r="3021" spans="1:9" ht="11.25" customHeight="1">
      <c r="A3021" s="3928" t="s">
        <v>2258</v>
      </c>
      <c r="B3021" s="3928" t="s">
        <v>14</v>
      </c>
      <c r="C3021" s="3928" t="s">
        <v>3774</v>
      </c>
      <c r="D3021" s="3928" t="s">
        <v>3775</v>
      </c>
      <c r="E3021" s="3928" t="s">
        <v>3776</v>
      </c>
      <c r="F3021" s="3928" t="s">
        <v>2304</v>
      </c>
      <c r="G3021" s="3928" t="s">
        <v>24</v>
      </c>
      <c r="H3021" s="3928" t="s">
        <v>24</v>
      </c>
      <c r="I3021" s="3928" t="s">
        <v>912</v>
      </c>
    </row>
    <row r="3022" spans="1:9" ht="11.25" customHeight="1">
      <c r="A3022" s="3928" t="s">
        <v>2258</v>
      </c>
      <c r="B3022" s="3928" t="s">
        <v>14</v>
      </c>
      <c r="C3022" s="3928" t="s">
        <v>3777</v>
      </c>
      <c r="D3022" s="3928" t="s">
        <v>3778</v>
      </c>
      <c r="E3022" s="3928" t="s">
        <v>3779</v>
      </c>
      <c r="F3022" s="3928" t="s">
        <v>2642</v>
      </c>
      <c r="G3022" s="3928" t="s">
        <v>24</v>
      </c>
      <c r="H3022" s="3928" t="s">
        <v>2263</v>
      </c>
      <c r="I3022" s="3928" t="s">
        <v>912</v>
      </c>
    </row>
    <row r="3023" spans="1:9" ht="11.25" customHeight="1">
      <c r="A3023" s="3928" t="s">
        <v>2258</v>
      </c>
      <c r="B3023" s="3928" t="s">
        <v>14</v>
      </c>
      <c r="C3023" s="3928" t="s">
        <v>6963</v>
      </c>
      <c r="D3023" s="3928" t="s">
        <v>6964</v>
      </c>
      <c r="E3023" s="3928" t="s">
        <v>6965</v>
      </c>
      <c r="F3023" s="3928" t="s">
        <v>2567</v>
      </c>
      <c r="G3023" s="3928" t="s">
        <v>24</v>
      </c>
      <c r="H3023" s="3928" t="s">
        <v>6966</v>
      </c>
      <c r="I3023" s="3928" t="s">
        <v>912</v>
      </c>
    </row>
    <row r="3024" spans="1:9" ht="11.25" customHeight="1">
      <c r="A3024" s="3928" t="s">
        <v>2258</v>
      </c>
      <c r="B3024" s="3928" t="s">
        <v>14</v>
      </c>
      <c r="C3024" s="3928" t="s">
        <v>3787</v>
      </c>
      <c r="D3024" s="3928" t="s">
        <v>3788</v>
      </c>
      <c r="E3024" s="3928" t="s">
        <v>3789</v>
      </c>
      <c r="F3024" s="3928" t="s">
        <v>2349</v>
      </c>
      <c r="G3024" s="3928" t="s">
        <v>3790</v>
      </c>
      <c r="H3024" s="3928" t="s">
        <v>24</v>
      </c>
      <c r="I3024" s="3928" t="s">
        <v>912</v>
      </c>
    </row>
    <row r="3025" spans="1:9" ht="11.25" customHeight="1">
      <c r="A3025" s="3928" t="s">
        <v>2258</v>
      </c>
      <c r="B3025" s="3928" t="s">
        <v>14</v>
      </c>
      <c r="C3025" s="3928" t="s">
        <v>3791</v>
      </c>
      <c r="D3025" s="3928" t="s">
        <v>3792</v>
      </c>
      <c r="E3025" s="3928" t="s">
        <v>3793</v>
      </c>
      <c r="F3025" s="3928" t="s">
        <v>2409</v>
      </c>
      <c r="G3025" s="3928" t="s">
        <v>24</v>
      </c>
      <c r="H3025" s="3928" t="s">
        <v>2263</v>
      </c>
      <c r="I3025" s="3928" t="s">
        <v>912</v>
      </c>
    </row>
    <row r="3026" spans="1:9" ht="11.25" customHeight="1">
      <c r="A3026" s="3928" t="s">
        <v>2258</v>
      </c>
      <c r="B3026" s="3928" t="s">
        <v>14</v>
      </c>
      <c r="C3026" s="3928" t="s">
        <v>3794</v>
      </c>
      <c r="D3026" s="3928" t="s">
        <v>3795</v>
      </c>
      <c r="E3026" s="3928" t="s">
        <v>3796</v>
      </c>
      <c r="F3026" s="3928" t="s">
        <v>2780</v>
      </c>
      <c r="G3026" s="3928" t="s">
        <v>3797</v>
      </c>
      <c r="H3026" s="3928" t="s">
        <v>2263</v>
      </c>
      <c r="I3026" s="3928" t="s">
        <v>912</v>
      </c>
    </row>
    <row r="3027" spans="1:9" ht="11.25" customHeight="1">
      <c r="A3027" s="3928" t="s">
        <v>2258</v>
      </c>
      <c r="B3027" s="3928" t="s">
        <v>14</v>
      </c>
      <c r="C3027" s="3928" t="s">
        <v>3798</v>
      </c>
      <c r="D3027" s="3928" t="s">
        <v>3799</v>
      </c>
      <c r="E3027" s="3928" t="s">
        <v>3800</v>
      </c>
      <c r="F3027" s="3928" t="s">
        <v>2409</v>
      </c>
      <c r="G3027" s="3928" t="s">
        <v>24</v>
      </c>
      <c r="H3027" s="3928" t="s">
        <v>3801</v>
      </c>
      <c r="I3027" s="3928" t="s">
        <v>912</v>
      </c>
    </row>
    <row r="3028" spans="1:9" ht="11.25" customHeight="1">
      <c r="A3028" s="3928" t="s">
        <v>2258</v>
      </c>
      <c r="B3028" s="3928" t="s">
        <v>14</v>
      </c>
      <c r="C3028" s="3928" t="s">
        <v>6972</v>
      </c>
      <c r="D3028" s="3928" t="s">
        <v>6973</v>
      </c>
      <c r="E3028" s="3928" t="s">
        <v>6974</v>
      </c>
      <c r="F3028" s="3928" t="s">
        <v>2567</v>
      </c>
      <c r="G3028" s="3928" t="s">
        <v>24</v>
      </c>
      <c r="H3028" s="3928" t="s">
        <v>2945</v>
      </c>
      <c r="I3028" s="3928" t="s">
        <v>912</v>
      </c>
    </row>
    <row r="3029" spans="1:9" ht="11.25" customHeight="1">
      <c r="A3029" s="3928" t="s">
        <v>2258</v>
      </c>
      <c r="B3029" s="3928" t="s">
        <v>14</v>
      </c>
      <c r="C3029" s="3928" t="s">
        <v>3802</v>
      </c>
      <c r="D3029" s="3928" t="s">
        <v>3803</v>
      </c>
      <c r="E3029" s="3928" t="s">
        <v>3804</v>
      </c>
      <c r="F3029" s="3928" t="s">
        <v>2451</v>
      </c>
      <c r="G3029" s="3928" t="s">
        <v>24</v>
      </c>
      <c r="H3029" s="3928" t="s">
        <v>2263</v>
      </c>
      <c r="I3029" s="3928" t="s">
        <v>912</v>
      </c>
    </row>
    <row r="3030" spans="1:9" ht="11.25" customHeight="1">
      <c r="A3030" s="3928" t="s">
        <v>2258</v>
      </c>
      <c r="B3030" s="3928" t="s">
        <v>14</v>
      </c>
      <c r="C3030" s="3928" t="s">
        <v>3805</v>
      </c>
      <c r="D3030" s="3928" t="s">
        <v>3806</v>
      </c>
      <c r="E3030" s="3928" t="s">
        <v>3807</v>
      </c>
      <c r="F3030" s="3928" t="s">
        <v>2535</v>
      </c>
      <c r="G3030" s="3928" t="s">
        <v>3808</v>
      </c>
      <c r="H3030" s="3928" t="s">
        <v>2945</v>
      </c>
      <c r="I3030" s="3928" t="s">
        <v>912</v>
      </c>
    </row>
    <row r="3031" spans="1:9" ht="11.25" customHeight="1">
      <c r="A3031" s="3928" t="s">
        <v>2258</v>
      </c>
      <c r="B3031" s="3928" t="s">
        <v>14</v>
      </c>
      <c r="C3031" s="3928" t="s">
        <v>3809</v>
      </c>
      <c r="D3031" s="3928" t="s">
        <v>3810</v>
      </c>
      <c r="E3031" s="3928" t="s">
        <v>3811</v>
      </c>
      <c r="F3031" s="3928" t="s">
        <v>2675</v>
      </c>
      <c r="G3031" s="3928" t="s">
        <v>24</v>
      </c>
      <c r="H3031" s="3928" t="s">
        <v>2263</v>
      </c>
      <c r="I3031" s="3928" t="s">
        <v>912</v>
      </c>
    </row>
    <row r="3032" spans="1:9" ht="11.25" customHeight="1">
      <c r="A3032" s="3928" t="s">
        <v>2258</v>
      </c>
      <c r="B3032" s="3928" t="s">
        <v>14</v>
      </c>
      <c r="C3032" s="3928" t="s">
        <v>3812</v>
      </c>
      <c r="D3032" s="3928" t="s">
        <v>3813</v>
      </c>
      <c r="E3032" s="3928" t="s">
        <v>3814</v>
      </c>
      <c r="F3032" s="3928" t="s">
        <v>49</v>
      </c>
      <c r="G3032" s="3928" t="s">
        <v>24</v>
      </c>
      <c r="H3032" s="3928" t="s">
        <v>2263</v>
      </c>
      <c r="I3032" s="3928" t="s">
        <v>912</v>
      </c>
    </row>
    <row r="3033" spans="1:9" ht="11.25" customHeight="1">
      <c r="A3033" s="3928" t="s">
        <v>2258</v>
      </c>
      <c r="B3033" s="3928" t="s">
        <v>14</v>
      </c>
      <c r="C3033" s="3928" t="s">
        <v>8027</v>
      </c>
      <c r="D3033" s="3928" t="s">
        <v>8028</v>
      </c>
      <c r="E3033" s="3928" t="s">
        <v>8029</v>
      </c>
      <c r="F3033" s="3928" t="s">
        <v>2344</v>
      </c>
      <c r="G3033" s="3928" t="s">
        <v>8030</v>
      </c>
      <c r="H3033" s="3928" t="s">
        <v>24</v>
      </c>
      <c r="I3033" s="3928" t="s">
        <v>912</v>
      </c>
    </row>
    <row r="3034" spans="1:9" ht="11.25" customHeight="1">
      <c r="A3034" s="3928" t="s">
        <v>2258</v>
      </c>
      <c r="B3034" s="3928" t="s">
        <v>14</v>
      </c>
      <c r="C3034" s="3928" t="s">
        <v>6975</v>
      </c>
      <c r="D3034" s="3928" t="s">
        <v>6976</v>
      </c>
      <c r="E3034" s="3928" t="s">
        <v>6977</v>
      </c>
      <c r="F3034" s="3928" t="s">
        <v>3852</v>
      </c>
      <c r="G3034" s="3928" t="s">
        <v>6978</v>
      </c>
      <c r="H3034" s="3928" t="s">
        <v>24</v>
      </c>
      <c r="I3034" s="3928" t="s">
        <v>912</v>
      </c>
    </row>
    <row r="3035" spans="1:9" ht="11.25" customHeight="1">
      <c r="A3035" s="3928" t="s">
        <v>2258</v>
      </c>
      <c r="B3035" s="3928" t="s">
        <v>14</v>
      </c>
      <c r="C3035" s="3928" t="s">
        <v>3818</v>
      </c>
      <c r="D3035" s="3928" t="s">
        <v>3819</v>
      </c>
      <c r="E3035" s="3928" t="s">
        <v>3820</v>
      </c>
      <c r="F3035" s="3928" t="s">
        <v>2675</v>
      </c>
      <c r="G3035" s="3928" t="s">
        <v>24</v>
      </c>
      <c r="H3035" s="3928" t="s">
        <v>2263</v>
      </c>
      <c r="I3035" s="3928" t="s">
        <v>912</v>
      </c>
    </row>
    <row r="3036" spans="1:9" ht="11.25" customHeight="1">
      <c r="A3036" s="3928" t="s">
        <v>2258</v>
      </c>
      <c r="B3036" s="3928" t="s">
        <v>14</v>
      </c>
      <c r="C3036" s="3928" t="s">
        <v>3821</v>
      </c>
      <c r="D3036" s="3928" t="s">
        <v>3822</v>
      </c>
      <c r="E3036" s="3928" t="s">
        <v>3823</v>
      </c>
      <c r="F3036" s="3928" t="s">
        <v>2473</v>
      </c>
      <c r="G3036" s="3928" t="s">
        <v>24</v>
      </c>
      <c r="H3036" s="3928" t="s">
        <v>24</v>
      </c>
      <c r="I3036" s="3928" t="s">
        <v>912</v>
      </c>
    </row>
    <row r="3037" spans="1:9" ht="11.25" customHeight="1">
      <c r="A3037" s="3928" t="s">
        <v>2258</v>
      </c>
      <c r="B3037" s="3928" t="s">
        <v>14</v>
      </c>
      <c r="C3037" s="3928" t="s">
        <v>3824</v>
      </c>
      <c r="D3037" s="3928" t="s">
        <v>3825</v>
      </c>
      <c r="E3037" s="3928" t="s">
        <v>3826</v>
      </c>
      <c r="F3037" s="3928" t="s">
        <v>2424</v>
      </c>
      <c r="G3037" s="3928" t="s">
        <v>24</v>
      </c>
      <c r="H3037" s="3928" t="s">
        <v>24</v>
      </c>
      <c r="I3037" s="3928" t="s">
        <v>912</v>
      </c>
    </row>
    <row r="3038" spans="1:9" ht="11.25" customHeight="1">
      <c r="A3038" s="3928" t="s">
        <v>2258</v>
      </c>
      <c r="B3038" s="3928" t="s">
        <v>14</v>
      </c>
      <c r="C3038" s="3928" t="s">
        <v>3830</v>
      </c>
      <c r="D3038" s="3928" t="s">
        <v>3831</v>
      </c>
      <c r="E3038" s="3928" t="s">
        <v>3832</v>
      </c>
      <c r="F3038" s="3928" t="s">
        <v>3833</v>
      </c>
      <c r="G3038" s="3928" t="s">
        <v>3834</v>
      </c>
      <c r="H3038" s="3928" t="s">
        <v>2475</v>
      </c>
      <c r="I3038" s="3928" t="s">
        <v>912</v>
      </c>
    </row>
    <row r="3039" spans="1:9" ht="11.25" customHeight="1">
      <c r="A3039" s="3928" t="s">
        <v>2258</v>
      </c>
      <c r="B3039" s="3928" t="s">
        <v>14</v>
      </c>
      <c r="C3039" s="3928" t="s">
        <v>3835</v>
      </c>
      <c r="D3039" s="3928" t="s">
        <v>3836</v>
      </c>
      <c r="E3039" s="3928" t="s">
        <v>3837</v>
      </c>
      <c r="F3039" s="3928" t="s">
        <v>2409</v>
      </c>
      <c r="G3039" s="3928" t="s">
        <v>24</v>
      </c>
      <c r="H3039" s="3928" t="s">
        <v>2263</v>
      </c>
      <c r="I3039" s="3928" t="s">
        <v>912</v>
      </c>
    </row>
    <row r="3040" spans="1:9" ht="11.25" customHeight="1">
      <c r="A3040" s="3928" t="s">
        <v>2258</v>
      </c>
      <c r="B3040" s="3928" t="s">
        <v>14</v>
      </c>
      <c r="C3040" s="3928" t="s">
        <v>3838</v>
      </c>
      <c r="D3040" s="3928" t="s">
        <v>3839</v>
      </c>
      <c r="E3040" s="3928" t="s">
        <v>3840</v>
      </c>
      <c r="F3040" s="3928" t="s">
        <v>3841</v>
      </c>
      <c r="G3040" s="3928" t="s">
        <v>24</v>
      </c>
      <c r="H3040" s="3928" t="s">
        <v>24</v>
      </c>
      <c r="I3040" s="3928" t="s">
        <v>912</v>
      </c>
    </row>
    <row r="3041" spans="1:9" ht="11.25" customHeight="1">
      <c r="A3041" s="3928" t="s">
        <v>2258</v>
      </c>
      <c r="B3041" s="3928" t="s">
        <v>14</v>
      </c>
      <c r="C3041" s="3928" t="s">
        <v>3842</v>
      </c>
      <c r="D3041" s="3928" t="s">
        <v>3843</v>
      </c>
      <c r="E3041" s="3928" t="s">
        <v>3844</v>
      </c>
      <c r="F3041" s="3928" t="s">
        <v>2642</v>
      </c>
      <c r="G3041" s="3928" t="s">
        <v>3845</v>
      </c>
      <c r="H3041" s="3928" t="s">
        <v>2945</v>
      </c>
      <c r="I3041" s="3928" t="s">
        <v>912</v>
      </c>
    </row>
    <row r="3042" spans="1:9" ht="11.25" customHeight="1">
      <c r="A3042" s="3928" t="s">
        <v>2258</v>
      </c>
      <c r="B3042" s="3928" t="s">
        <v>14</v>
      </c>
      <c r="C3042" s="3928" t="s">
        <v>3846</v>
      </c>
      <c r="D3042" s="3928" t="s">
        <v>3847</v>
      </c>
      <c r="E3042" s="3928" t="s">
        <v>3848</v>
      </c>
      <c r="F3042" s="3928" t="s">
        <v>2642</v>
      </c>
      <c r="G3042" s="3928" t="s">
        <v>24</v>
      </c>
      <c r="H3042" s="3928" t="s">
        <v>3068</v>
      </c>
      <c r="I3042" s="3928" t="s">
        <v>912</v>
      </c>
    </row>
    <row r="3043" spans="1:9" ht="11.25" customHeight="1">
      <c r="A3043" s="3928" t="s">
        <v>2258</v>
      </c>
      <c r="B3043" s="3928" t="s">
        <v>14</v>
      </c>
      <c r="C3043" s="3928" t="s">
        <v>3853</v>
      </c>
      <c r="D3043" s="3928" t="s">
        <v>3854</v>
      </c>
      <c r="E3043" s="3928" t="s">
        <v>3855</v>
      </c>
      <c r="F3043" s="3928" t="s">
        <v>2397</v>
      </c>
      <c r="G3043" s="3928" t="s">
        <v>24</v>
      </c>
      <c r="H3043" s="3928" t="s">
        <v>24</v>
      </c>
      <c r="I3043" s="3928" t="s">
        <v>912</v>
      </c>
    </row>
    <row r="3044" spans="1:9" ht="11.25" customHeight="1">
      <c r="A3044" s="3928" t="s">
        <v>2258</v>
      </c>
      <c r="B3044" s="3928" t="s">
        <v>14</v>
      </c>
      <c r="C3044" s="3928" t="s">
        <v>3860</v>
      </c>
      <c r="D3044" s="3928" t="s">
        <v>3861</v>
      </c>
      <c r="E3044" s="3928" t="s">
        <v>3862</v>
      </c>
      <c r="F3044" s="3928" t="s">
        <v>2409</v>
      </c>
      <c r="G3044" s="3928" t="s">
        <v>24</v>
      </c>
      <c r="H3044" s="3928" t="s">
        <v>2263</v>
      </c>
      <c r="I3044" s="3928" t="s">
        <v>912</v>
      </c>
    </row>
    <row r="3045" spans="1:9" ht="11.25" customHeight="1">
      <c r="A3045" s="3928" t="s">
        <v>2258</v>
      </c>
      <c r="B3045" s="3928" t="s">
        <v>14</v>
      </c>
      <c r="C3045" s="3928" t="s">
        <v>3865</v>
      </c>
      <c r="D3045" s="3928" t="s">
        <v>3866</v>
      </c>
      <c r="E3045" s="3928" t="s">
        <v>3867</v>
      </c>
      <c r="F3045" s="3928" t="s">
        <v>3868</v>
      </c>
      <c r="G3045" s="3928" t="s">
        <v>24</v>
      </c>
      <c r="H3045" s="3928" t="s">
        <v>24</v>
      </c>
      <c r="I3045" s="3928" t="s">
        <v>912</v>
      </c>
    </row>
    <row r="3046" spans="1:9" ht="11.25" customHeight="1">
      <c r="A3046" s="3928" t="s">
        <v>2258</v>
      </c>
      <c r="B3046" s="3928" t="s">
        <v>14</v>
      </c>
      <c r="C3046" s="3928" t="s">
        <v>3872</v>
      </c>
      <c r="D3046" s="3928" t="s">
        <v>3873</v>
      </c>
      <c r="E3046" s="3928" t="s">
        <v>3114</v>
      </c>
      <c r="F3046" s="3928" t="s">
        <v>3874</v>
      </c>
      <c r="G3046" s="3928" t="s">
        <v>24</v>
      </c>
      <c r="H3046" s="3928" t="s">
        <v>24</v>
      </c>
      <c r="I3046" s="3928" t="s">
        <v>912</v>
      </c>
    </row>
    <row r="3047" spans="1:9" ht="11.25" customHeight="1">
      <c r="A3047" s="3928" t="s">
        <v>2258</v>
      </c>
      <c r="B3047" s="3928" t="s">
        <v>14</v>
      </c>
      <c r="C3047" s="3928" t="s">
        <v>3875</v>
      </c>
      <c r="D3047" s="3928" t="s">
        <v>3876</v>
      </c>
      <c r="E3047" s="3928" t="s">
        <v>3114</v>
      </c>
      <c r="F3047" s="3928" t="s">
        <v>3877</v>
      </c>
      <c r="G3047" s="3928" t="s">
        <v>3545</v>
      </c>
      <c r="H3047" s="3928" t="s">
        <v>24</v>
      </c>
      <c r="I3047" s="3928" t="s">
        <v>912</v>
      </c>
    </row>
    <row r="3048" spans="1:9" ht="11.25" customHeight="1">
      <c r="A3048" s="3928" t="s">
        <v>2258</v>
      </c>
      <c r="B3048" s="3928" t="s">
        <v>14</v>
      </c>
      <c r="C3048" s="3928" t="s">
        <v>6984</v>
      </c>
      <c r="D3048" s="3928" t="s">
        <v>6985</v>
      </c>
      <c r="E3048" s="3928" t="s">
        <v>6986</v>
      </c>
      <c r="F3048" s="3928" t="s">
        <v>3153</v>
      </c>
      <c r="G3048" s="3928" t="s">
        <v>6987</v>
      </c>
      <c r="H3048" s="3928" t="s">
        <v>24</v>
      </c>
      <c r="I3048" s="3928" t="s">
        <v>912</v>
      </c>
    </row>
    <row r="3049" spans="1:9" ht="11.25" customHeight="1">
      <c r="A3049" s="3928" t="s">
        <v>2258</v>
      </c>
      <c r="B3049" s="3928" t="s">
        <v>14</v>
      </c>
      <c r="C3049" s="3928" t="s">
        <v>6988</v>
      </c>
      <c r="D3049" s="3928" t="s">
        <v>6989</v>
      </c>
      <c r="E3049" s="3928" t="s">
        <v>3114</v>
      </c>
      <c r="F3049" s="3928" t="s">
        <v>6990</v>
      </c>
      <c r="G3049" s="3928" t="s">
        <v>24</v>
      </c>
      <c r="H3049" s="3928" t="s">
        <v>24</v>
      </c>
      <c r="I3049" s="3928" t="s">
        <v>912</v>
      </c>
    </row>
    <row r="3050" spans="1:9" ht="11.25" customHeight="1">
      <c r="A3050" s="3928" t="s">
        <v>2258</v>
      </c>
      <c r="B3050" s="3928" t="s">
        <v>14</v>
      </c>
      <c r="C3050" s="3928" t="s">
        <v>3891</v>
      </c>
      <c r="D3050" s="3928" t="s">
        <v>3892</v>
      </c>
      <c r="E3050" s="3928" t="s">
        <v>3893</v>
      </c>
      <c r="F3050" s="3928" t="s">
        <v>2624</v>
      </c>
      <c r="G3050" s="3928" t="s">
        <v>3894</v>
      </c>
      <c r="H3050" s="3928" t="s">
        <v>24</v>
      </c>
      <c r="I3050" s="3928" t="s">
        <v>912</v>
      </c>
    </row>
    <row r="3051" spans="1:9" ht="11.25" customHeight="1">
      <c r="A3051" s="3928" t="s">
        <v>2258</v>
      </c>
      <c r="B3051" s="3928" t="s">
        <v>14</v>
      </c>
      <c r="C3051" s="3928" t="s">
        <v>6994</v>
      </c>
      <c r="D3051" s="3928" t="s">
        <v>6995</v>
      </c>
      <c r="E3051" s="3928" t="s">
        <v>6996</v>
      </c>
      <c r="F3051" s="3928" t="s">
        <v>2469</v>
      </c>
      <c r="G3051" s="3928" t="s">
        <v>24</v>
      </c>
      <c r="H3051" s="3928" t="s">
        <v>24</v>
      </c>
      <c r="I3051" s="3928" t="s">
        <v>912</v>
      </c>
    </row>
    <row r="3052" spans="1:9" ht="11.25" customHeight="1">
      <c r="A3052" s="3928" t="s">
        <v>2258</v>
      </c>
      <c r="B3052" s="3928" t="s">
        <v>14</v>
      </c>
      <c r="C3052" s="3928" t="s">
        <v>6997</v>
      </c>
      <c r="D3052" s="3928" t="s">
        <v>6998</v>
      </c>
      <c r="E3052" s="3928" t="s">
        <v>6999</v>
      </c>
      <c r="F3052" s="3928" t="s">
        <v>2409</v>
      </c>
      <c r="G3052" s="3928" t="s">
        <v>24</v>
      </c>
      <c r="H3052" s="3928" t="s">
        <v>24</v>
      </c>
      <c r="I3052" s="3928" t="s">
        <v>912</v>
      </c>
    </row>
    <row r="3053" spans="1:9" ht="11.25" customHeight="1">
      <c r="A3053" s="3928" t="s">
        <v>2258</v>
      </c>
      <c r="B3053" s="3928" t="s">
        <v>14</v>
      </c>
      <c r="C3053" s="3928" t="s">
        <v>6386</v>
      </c>
      <c r="D3053" s="3928" t="s">
        <v>6387</v>
      </c>
      <c r="E3053" s="3928" t="s">
        <v>6388</v>
      </c>
      <c r="F3053" s="3928" t="s">
        <v>2409</v>
      </c>
      <c r="G3053" s="3928" t="s">
        <v>24</v>
      </c>
      <c r="H3053" s="3928" t="s">
        <v>6389</v>
      </c>
      <c r="I3053" s="3928" t="s">
        <v>912</v>
      </c>
    </row>
    <row r="3054" spans="1:9" ht="11.25" customHeight="1">
      <c r="A3054" s="3928" t="s">
        <v>2258</v>
      </c>
      <c r="B3054" s="3928" t="s">
        <v>14</v>
      </c>
      <c r="C3054" s="3928" t="s">
        <v>7003</v>
      </c>
      <c r="D3054" s="3928" t="s">
        <v>7004</v>
      </c>
      <c r="E3054" s="3928" t="s">
        <v>7005</v>
      </c>
      <c r="F3054" s="3928" t="s">
        <v>2552</v>
      </c>
      <c r="G3054" s="3928" t="s">
        <v>24</v>
      </c>
      <c r="H3054" s="3928" t="s">
        <v>7006</v>
      </c>
      <c r="I3054" s="3928" t="s">
        <v>912</v>
      </c>
    </row>
    <row r="3055" spans="1:9" ht="11.25" customHeight="1">
      <c r="A3055" s="3928" t="s">
        <v>2258</v>
      </c>
      <c r="B3055" s="3928" t="s">
        <v>14</v>
      </c>
      <c r="C3055" s="3928" t="s">
        <v>7007</v>
      </c>
      <c r="D3055" s="3928" t="s">
        <v>7008</v>
      </c>
      <c r="E3055" s="3928" t="s">
        <v>7009</v>
      </c>
      <c r="F3055" s="3928" t="s">
        <v>2486</v>
      </c>
      <c r="G3055" s="3928" t="s">
        <v>24</v>
      </c>
      <c r="H3055" s="3928" t="s">
        <v>24</v>
      </c>
      <c r="I3055" s="3928" t="s">
        <v>912</v>
      </c>
    </row>
    <row r="3056" spans="1:9" ht="11.25" customHeight="1">
      <c r="A3056" s="3928" t="s">
        <v>2258</v>
      </c>
      <c r="B3056" s="3928" t="s">
        <v>14</v>
      </c>
      <c r="C3056" s="3928" t="s">
        <v>7010</v>
      </c>
      <c r="D3056" s="3928" t="s">
        <v>7011</v>
      </c>
      <c r="E3056" s="3928" t="s">
        <v>7012</v>
      </c>
      <c r="F3056" s="3928" t="s">
        <v>2409</v>
      </c>
      <c r="G3056" s="3928" t="s">
        <v>24</v>
      </c>
      <c r="H3056" s="3928" t="s">
        <v>7013</v>
      </c>
      <c r="I3056" s="3928" t="s">
        <v>912</v>
      </c>
    </row>
    <row r="3057" spans="1:9" ht="11.25" customHeight="1">
      <c r="A3057" s="3928" t="s">
        <v>2258</v>
      </c>
      <c r="B3057" s="3928" t="s">
        <v>14</v>
      </c>
      <c r="C3057" s="3928" t="s">
        <v>7017</v>
      </c>
      <c r="D3057" s="3928" t="s">
        <v>7018</v>
      </c>
      <c r="E3057" s="3928" t="s">
        <v>7019</v>
      </c>
      <c r="F3057" s="3928" t="s">
        <v>3153</v>
      </c>
      <c r="G3057" s="3928" t="s">
        <v>24</v>
      </c>
      <c r="H3057" s="3928" t="s">
        <v>24</v>
      </c>
      <c r="I3057" s="3928" t="s">
        <v>912</v>
      </c>
    </row>
    <row r="3058" spans="1:9" ht="11.25" customHeight="1">
      <c r="A3058" s="3928" t="s">
        <v>2258</v>
      </c>
      <c r="B3058" s="3928" t="s">
        <v>14</v>
      </c>
      <c r="C3058" s="3928" t="s">
        <v>3907</v>
      </c>
      <c r="D3058" s="3928" t="s">
        <v>3908</v>
      </c>
      <c r="E3058" s="3928" t="s">
        <v>3909</v>
      </c>
      <c r="F3058" s="3928" t="s">
        <v>2780</v>
      </c>
      <c r="G3058" s="3928" t="s">
        <v>24</v>
      </c>
      <c r="H3058" s="3928" t="s">
        <v>2263</v>
      </c>
      <c r="I3058" s="3928" t="s">
        <v>912</v>
      </c>
    </row>
    <row r="3059" spans="1:9" ht="11.25" customHeight="1">
      <c r="A3059" s="3928" t="s">
        <v>2258</v>
      </c>
      <c r="B3059" s="3928" t="s">
        <v>14</v>
      </c>
      <c r="C3059" s="3928" t="s">
        <v>6390</v>
      </c>
      <c r="D3059" s="3928" t="s">
        <v>6391</v>
      </c>
      <c r="E3059" s="3928" t="s">
        <v>6392</v>
      </c>
      <c r="F3059" s="3928" t="s">
        <v>2289</v>
      </c>
      <c r="G3059" s="3928" t="s">
        <v>24</v>
      </c>
      <c r="H3059" s="3928" t="s">
        <v>2263</v>
      </c>
      <c r="I3059" s="3928" t="s">
        <v>912</v>
      </c>
    </row>
    <row r="3060" spans="1:9" ht="11.25" customHeight="1">
      <c r="A3060" s="3928" t="s">
        <v>2258</v>
      </c>
      <c r="B3060" s="3928" t="s">
        <v>14</v>
      </c>
      <c r="C3060" s="3928" t="s">
        <v>3929</v>
      </c>
      <c r="D3060" s="3928" t="s">
        <v>3930</v>
      </c>
      <c r="E3060" s="3928" t="s">
        <v>3931</v>
      </c>
      <c r="F3060" s="3928" t="s">
        <v>2429</v>
      </c>
      <c r="G3060" s="3928" t="s">
        <v>24</v>
      </c>
      <c r="H3060" s="3928" t="s">
        <v>3932</v>
      </c>
      <c r="I3060" s="3928" t="s">
        <v>912</v>
      </c>
    </row>
    <row r="3061" spans="1:9" ht="11.25" customHeight="1">
      <c r="A3061" s="3928" t="s">
        <v>2258</v>
      </c>
      <c r="B3061" s="3928" t="s">
        <v>14</v>
      </c>
      <c r="C3061" s="3928" t="s">
        <v>3933</v>
      </c>
      <c r="D3061" s="3928" t="s">
        <v>3934</v>
      </c>
      <c r="E3061" s="3928" t="s">
        <v>3935</v>
      </c>
      <c r="F3061" s="3928" t="s">
        <v>2294</v>
      </c>
      <c r="G3061" s="3928" t="s">
        <v>24</v>
      </c>
      <c r="H3061" s="3928" t="s">
        <v>2263</v>
      </c>
      <c r="I3061" s="3928" t="s">
        <v>912</v>
      </c>
    </row>
    <row r="3062" spans="1:9" ht="11.25" customHeight="1">
      <c r="A3062" s="3928" t="s">
        <v>2258</v>
      </c>
      <c r="B3062" s="3928" t="s">
        <v>14</v>
      </c>
      <c r="C3062" s="3928" t="s">
        <v>3939</v>
      </c>
      <c r="D3062" s="3928" t="s">
        <v>3940</v>
      </c>
      <c r="E3062" s="3928" t="s">
        <v>3941</v>
      </c>
      <c r="F3062" s="3928" t="s">
        <v>2567</v>
      </c>
      <c r="G3062" s="3928" t="s">
        <v>24</v>
      </c>
      <c r="H3062" s="3928" t="s">
        <v>24</v>
      </c>
      <c r="I3062" s="3928" t="s">
        <v>912</v>
      </c>
    </row>
    <row r="3063" spans="1:9" ht="11.25" customHeight="1">
      <c r="A3063" s="3928" t="s">
        <v>2258</v>
      </c>
      <c r="B3063" s="3928" t="s">
        <v>14</v>
      </c>
      <c r="C3063" s="3928" t="s">
        <v>3942</v>
      </c>
      <c r="D3063" s="3928" t="s">
        <v>3943</v>
      </c>
      <c r="E3063" s="3928" t="s">
        <v>3944</v>
      </c>
      <c r="F3063" s="3928" t="s">
        <v>2473</v>
      </c>
      <c r="G3063" s="3928" t="s">
        <v>24</v>
      </c>
      <c r="H3063" s="3928" t="s">
        <v>2263</v>
      </c>
      <c r="I3063" s="3928" t="s">
        <v>912</v>
      </c>
    </row>
    <row r="3064" spans="1:9" ht="11.25" customHeight="1">
      <c r="A3064" s="3928" t="s">
        <v>2258</v>
      </c>
      <c r="B3064" s="3928" t="s">
        <v>14</v>
      </c>
      <c r="C3064" s="3928" t="s">
        <v>7028</v>
      </c>
      <c r="D3064" s="3928" t="s">
        <v>7029</v>
      </c>
      <c r="E3064" s="3928" t="s">
        <v>7030</v>
      </c>
      <c r="F3064" s="3928" t="s">
        <v>7031</v>
      </c>
      <c r="G3064" s="3928" t="s">
        <v>24</v>
      </c>
      <c r="H3064" s="3928" t="s">
        <v>24</v>
      </c>
      <c r="I3064" s="3928" t="s">
        <v>912</v>
      </c>
    </row>
    <row r="3065" spans="1:9" ht="11.25" customHeight="1">
      <c r="A3065" s="3928" t="s">
        <v>2258</v>
      </c>
      <c r="B3065" s="3928" t="s">
        <v>14</v>
      </c>
      <c r="C3065" s="3928" t="s">
        <v>6393</v>
      </c>
      <c r="D3065" s="3928" t="s">
        <v>6394</v>
      </c>
      <c r="E3065" s="3928" t="s">
        <v>6395</v>
      </c>
      <c r="F3065" s="3928" t="s">
        <v>2325</v>
      </c>
      <c r="G3065" s="3928" t="s">
        <v>24</v>
      </c>
      <c r="H3065" s="3928" t="s">
        <v>3068</v>
      </c>
      <c r="I3065" s="3928" t="s">
        <v>912</v>
      </c>
    </row>
    <row r="3066" spans="1:9" ht="11.25" customHeight="1">
      <c r="A3066" s="3928" t="s">
        <v>2258</v>
      </c>
      <c r="B3066" s="3928" t="s">
        <v>14</v>
      </c>
      <c r="C3066" s="3928" t="s">
        <v>8031</v>
      </c>
      <c r="D3066" s="3928" t="s">
        <v>8032</v>
      </c>
      <c r="E3066" s="3928" t="s">
        <v>8033</v>
      </c>
      <c r="F3066" s="3928" t="s">
        <v>2375</v>
      </c>
      <c r="G3066" s="3928" t="s">
        <v>7884</v>
      </c>
      <c r="H3066" s="3928" t="s">
        <v>24</v>
      </c>
      <c r="I3066" s="3928" t="s">
        <v>912</v>
      </c>
    </row>
    <row r="3067" spans="1:9" ht="11.25" customHeight="1">
      <c r="A3067" s="3928" t="s">
        <v>2258</v>
      </c>
      <c r="B3067" s="3928" t="s">
        <v>14</v>
      </c>
      <c r="C3067" s="3928" t="s">
        <v>3948</v>
      </c>
      <c r="D3067" s="3928" t="s">
        <v>3949</v>
      </c>
      <c r="E3067" s="3928" t="s">
        <v>3950</v>
      </c>
      <c r="F3067" s="3928" t="s">
        <v>2289</v>
      </c>
      <c r="G3067" s="3928" t="s">
        <v>3951</v>
      </c>
      <c r="H3067" s="3928" t="s">
        <v>24</v>
      </c>
      <c r="I3067" s="3928" t="s">
        <v>912</v>
      </c>
    </row>
    <row r="3068" spans="1:9" ht="11.25" customHeight="1">
      <c r="A3068" s="3928" t="s">
        <v>2258</v>
      </c>
      <c r="B3068" s="3928" t="s">
        <v>14</v>
      </c>
      <c r="C3068" s="3928" t="s">
        <v>7032</v>
      </c>
      <c r="D3068" s="3928" t="s">
        <v>7033</v>
      </c>
      <c r="E3068" s="3928" t="s">
        <v>7034</v>
      </c>
      <c r="F3068" s="3928" t="s">
        <v>2271</v>
      </c>
      <c r="G3068" s="3928" t="s">
        <v>24</v>
      </c>
      <c r="H3068" s="3928" t="s">
        <v>2475</v>
      </c>
      <c r="I3068" s="3928" t="s">
        <v>912</v>
      </c>
    </row>
    <row r="3069" spans="1:9" ht="11.25" customHeight="1">
      <c r="A3069" s="3928" t="s">
        <v>2258</v>
      </c>
      <c r="B3069" s="3928" t="s">
        <v>14</v>
      </c>
      <c r="C3069" s="3928" t="s">
        <v>7035</v>
      </c>
      <c r="D3069" s="3928" t="s">
        <v>7036</v>
      </c>
      <c r="E3069" s="3928" t="s">
        <v>7037</v>
      </c>
      <c r="F3069" s="3928" t="s">
        <v>2289</v>
      </c>
      <c r="G3069" s="3928" t="s">
        <v>24</v>
      </c>
      <c r="H3069" s="3928" t="s">
        <v>24</v>
      </c>
      <c r="I3069" s="3928" t="s">
        <v>912</v>
      </c>
    </row>
    <row r="3070" spans="1:9" ht="11.25" customHeight="1">
      <c r="A3070" s="3928" t="s">
        <v>2258</v>
      </c>
      <c r="B3070" s="3928" t="s">
        <v>14</v>
      </c>
      <c r="C3070" s="3928" t="s">
        <v>7041</v>
      </c>
      <c r="D3070" s="3928" t="s">
        <v>7042</v>
      </c>
      <c r="E3070" s="3928" t="s">
        <v>7043</v>
      </c>
      <c r="F3070" s="3928" t="s">
        <v>2535</v>
      </c>
      <c r="G3070" s="3928" t="s">
        <v>24</v>
      </c>
      <c r="H3070" s="3928" t="s">
        <v>2263</v>
      </c>
      <c r="I3070" s="3928" t="s">
        <v>912</v>
      </c>
    </row>
    <row r="3071" spans="1:9" ht="11.25" customHeight="1">
      <c r="A3071" s="3928" t="s">
        <v>2258</v>
      </c>
      <c r="B3071" s="3928" t="s">
        <v>14</v>
      </c>
      <c r="C3071" s="3928" t="s">
        <v>3971</v>
      </c>
      <c r="D3071" s="3928" t="s">
        <v>3972</v>
      </c>
      <c r="E3071" s="3928" t="s">
        <v>3973</v>
      </c>
      <c r="F3071" s="3928" t="s">
        <v>2796</v>
      </c>
      <c r="G3071" s="3928" t="s">
        <v>24</v>
      </c>
      <c r="H3071" s="3928" t="s">
        <v>3068</v>
      </c>
      <c r="I3071" s="3928" t="s">
        <v>912</v>
      </c>
    </row>
    <row r="3072" spans="1:9" ht="11.25" customHeight="1">
      <c r="A3072" s="3928" t="s">
        <v>2258</v>
      </c>
      <c r="B3072" s="3928" t="s">
        <v>14</v>
      </c>
      <c r="C3072" s="3928" t="s">
        <v>3974</v>
      </c>
      <c r="D3072" s="3928" t="s">
        <v>3975</v>
      </c>
      <c r="E3072" s="3928" t="s">
        <v>3976</v>
      </c>
      <c r="F3072" s="3928" t="s">
        <v>2780</v>
      </c>
      <c r="G3072" s="3928" t="s">
        <v>24</v>
      </c>
      <c r="H3072" s="3928" t="s">
        <v>24</v>
      </c>
      <c r="I3072" s="3928" t="s">
        <v>912</v>
      </c>
    </row>
    <row r="3073" spans="1:9" ht="11.25" customHeight="1">
      <c r="A3073" s="3928" t="s">
        <v>2258</v>
      </c>
      <c r="B3073" s="3928" t="s">
        <v>14</v>
      </c>
      <c r="C3073" s="3928" t="s">
        <v>3980</v>
      </c>
      <c r="D3073" s="3928" t="s">
        <v>3981</v>
      </c>
      <c r="E3073" s="3928" t="s">
        <v>3982</v>
      </c>
      <c r="F3073" s="3928" t="s">
        <v>2289</v>
      </c>
      <c r="G3073" s="3928" t="s">
        <v>24</v>
      </c>
      <c r="H3073" s="3928" t="s">
        <v>2263</v>
      </c>
      <c r="I3073" s="3928" t="s">
        <v>912</v>
      </c>
    </row>
    <row r="3074" spans="1:9" ht="11.25" customHeight="1">
      <c r="A3074" s="3928" t="s">
        <v>2258</v>
      </c>
      <c r="B3074" s="3928" t="s">
        <v>14</v>
      </c>
      <c r="C3074" s="3928" t="s">
        <v>6396</v>
      </c>
      <c r="D3074" s="3928" t="s">
        <v>6397</v>
      </c>
      <c r="E3074" s="3928" t="s">
        <v>6398</v>
      </c>
      <c r="F3074" s="3928" t="s">
        <v>49</v>
      </c>
      <c r="G3074" s="3928" t="s">
        <v>24</v>
      </c>
      <c r="H3074" s="3928" t="s">
        <v>6399</v>
      </c>
      <c r="I3074" s="3928" t="s">
        <v>912</v>
      </c>
    </row>
    <row r="3075" spans="1:9" ht="11.25" customHeight="1">
      <c r="A3075" s="3928" t="s">
        <v>2258</v>
      </c>
      <c r="B3075" s="3928" t="s">
        <v>14</v>
      </c>
      <c r="C3075" s="3928" t="s">
        <v>3983</v>
      </c>
      <c r="D3075" s="3928" t="s">
        <v>3984</v>
      </c>
      <c r="E3075" s="3928" t="s">
        <v>3985</v>
      </c>
      <c r="F3075" s="3928" t="s">
        <v>2701</v>
      </c>
      <c r="G3075" s="3928" t="s">
        <v>24</v>
      </c>
      <c r="H3075" s="3928" t="s">
        <v>2475</v>
      </c>
      <c r="I3075" s="3928" t="s">
        <v>912</v>
      </c>
    </row>
    <row r="3076" spans="1:9" ht="11.25" customHeight="1">
      <c r="A3076" s="3928" t="s">
        <v>2258</v>
      </c>
      <c r="B3076" s="3928" t="s">
        <v>14</v>
      </c>
      <c r="C3076" s="3928" t="s">
        <v>8034</v>
      </c>
      <c r="D3076" s="3928" t="s">
        <v>8035</v>
      </c>
      <c r="E3076" s="3928" t="s">
        <v>8036</v>
      </c>
      <c r="F3076" s="3928" t="s">
        <v>2746</v>
      </c>
      <c r="G3076" s="3928" t="s">
        <v>24</v>
      </c>
      <c r="H3076" s="3928" t="s">
        <v>24</v>
      </c>
      <c r="I3076" s="3928" t="s">
        <v>912</v>
      </c>
    </row>
    <row r="3077" spans="1:9" ht="11.25" customHeight="1">
      <c r="A3077" s="3928" t="s">
        <v>2258</v>
      </c>
      <c r="B3077" s="3928" t="s">
        <v>14</v>
      </c>
      <c r="C3077" s="3928" t="s">
        <v>3989</v>
      </c>
      <c r="D3077" s="3928" t="s">
        <v>3990</v>
      </c>
      <c r="E3077" s="3928" t="s">
        <v>3991</v>
      </c>
      <c r="F3077" s="3928" t="s">
        <v>2294</v>
      </c>
      <c r="G3077" s="3928" t="s">
        <v>24</v>
      </c>
      <c r="H3077" s="3928" t="s">
        <v>3992</v>
      </c>
      <c r="I3077" s="3928" t="s">
        <v>912</v>
      </c>
    </row>
    <row r="3078" spans="1:9" ht="11.25" customHeight="1">
      <c r="A3078" s="3928" t="s">
        <v>2258</v>
      </c>
      <c r="B3078" s="3928" t="s">
        <v>14</v>
      </c>
      <c r="C3078" s="3928" t="s">
        <v>8037</v>
      </c>
      <c r="D3078" s="3928" t="s">
        <v>8038</v>
      </c>
      <c r="E3078" s="3928" t="s">
        <v>8039</v>
      </c>
      <c r="F3078" s="3928" t="s">
        <v>2965</v>
      </c>
      <c r="G3078" s="3928" t="s">
        <v>8040</v>
      </c>
      <c r="H3078" s="3928" t="s">
        <v>2263</v>
      </c>
      <c r="I3078" s="3928" t="s">
        <v>912</v>
      </c>
    </row>
    <row r="3079" spans="1:9" ht="11.25" customHeight="1">
      <c r="A3079" s="3928" t="s">
        <v>2258</v>
      </c>
      <c r="B3079" s="3928" t="s">
        <v>14</v>
      </c>
      <c r="C3079" s="3928" t="s">
        <v>3996</v>
      </c>
      <c r="D3079" s="3928" t="s">
        <v>3997</v>
      </c>
      <c r="E3079" s="3928" t="s">
        <v>3998</v>
      </c>
      <c r="F3079" s="3928" t="s">
        <v>2304</v>
      </c>
      <c r="G3079" s="3928" t="s">
        <v>24</v>
      </c>
      <c r="H3079" s="3928" t="s">
        <v>24</v>
      </c>
      <c r="I3079" s="3928" t="s">
        <v>912</v>
      </c>
    </row>
    <row r="3080" spans="1:9" ht="11.25" customHeight="1">
      <c r="A3080" s="3928" t="s">
        <v>2258</v>
      </c>
      <c r="B3080" s="3928" t="s">
        <v>14</v>
      </c>
      <c r="C3080" s="3928" t="s">
        <v>8041</v>
      </c>
      <c r="D3080" s="3928" t="s">
        <v>8042</v>
      </c>
      <c r="E3080" s="3928" t="s">
        <v>8043</v>
      </c>
      <c r="F3080" s="3928" t="s">
        <v>2451</v>
      </c>
      <c r="G3080" s="3928" t="s">
        <v>24</v>
      </c>
      <c r="H3080" s="3928" t="s">
        <v>8044</v>
      </c>
      <c r="I3080" s="3928" t="s">
        <v>912</v>
      </c>
    </row>
    <row r="3081" spans="1:9" ht="11.25" customHeight="1">
      <c r="A3081" s="3928" t="s">
        <v>2258</v>
      </c>
      <c r="B3081" s="3928" t="s">
        <v>14</v>
      </c>
      <c r="C3081" s="3928" t="s">
        <v>7059</v>
      </c>
      <c r="D3081" s="3928" t="s">
        <v>7060</v>
      </c>
      <c r="E3081" s="3928" t="s">
        <v>7061</v>
      </c>
      <c r="F3081" s="3928" t="s">
        <v>2469</v>
      </c>
      <c r="G3081" s="3928" t="s">
        <v>24</v>
      </c>
      <c r="H3081" s="3928" t="s">
        <v>24</v>
      </c>
      <c r="I3081" s="3928" t="s">
        <v>912</v>
      </c>
    </row>
    <row r="3082" spans="1:9" ht="11.25" customHeight="1">
      <c r="A3082" s="3928" t="s">
        <v>2258</v>
      </c>
      <c r="B3082" s="3928" t="s">
        <v>14</v>
      </c>
      <c r="C3082" s="3928" t="s">
        <v>8045</v>
      </c>
      <c r="D3082" s="3928" t="s">
        <v>8046</v>
      </c>
      <c r="E3082" s="3928" t="s">
        <v>8047</v>
      </c>
      <c r="F3082" s="3928" t="s">
        <v>2929</v>
      </c>
      <c r="G3082" s="3928" t="s">
        <v>24</v>
      </c>
      <c r="H3082" s="3928" t="s">
        <v>24</v>
      </c>
      <c r="I3082" s="3928" t="s">
        <v>912</v>
      </c>
    </row>
    <row r="3083" spans="1:9" ht="11.25" customHeight="1">
      <c r="A3083" s="3928" t="s">
        <v>2258</v>
      </c>
      <c r="B3083" s="3928" t="s">
        <v>14</v>
      </c>
      <c r="C3083" s="3928" t="s">
        <v>8048</v>
      </c>
      <c r="D3083" s="3928" t="s">
        <v>8049</v>
      </c>
      <c r="E3083" s="3928" t="s">
        <v>8050</v>
      </c>
      <c r="F3083" s="3928" t="s">
        <v>2304</v>
      </c>
      <c r="G3083" s="3928" t="s">
        <v>24</v>
      </c>
      <c r="H3083" s="3928" t="s">
        <v>24</v>
      </c>
      <c r="I3083" s="3928" t="s">
        <v>912</v>
      </c>
    </row>
    <row r="3084" spans="1:9" ht="11.25" customHeight="1">
      <c r="A3084" s="3928" t="s">
        <v>2258</v>
      </c>
      <c r="B3084" s="3928" t="s">
        <v>14</v>
      </c>
      <c r="C3084" s="3928" t="s">
        <v>4026</v>
      </c>
      <c r="D3084" s="3928" t="s">
        <v>4027</v>
      </c>
      <c r="E3084" s="3928" t="s">
        <v>4028</v>
      </c>
      <c r="F3084" s="3928" t="s">
        <v>2473</v>
      </c>
      <c r="G3084" s="3928" t="s">
        <v>4029</v>
      </c>
      <c r="H3084" s="3928" t="s">
        <v>24</v>
      </c>
      <c r="I3084" s="3928" t="s">
        <v>912</v>
      </c>
    </row>
    <row r="3085" spans="1:9" ht="11.25" customHeight="1">
      <c r="A3085" s="3928" t="s">
        <v>2258</v>
      </c>
      <c r="B3085" s="3928" t="s">
        <v>14</v>
      </c>
      <c r="C3085" s="3928" t="s">
        <v>8051</v>
      </c>
      <c r="D3085" s="3928" t="s">
        <v>8052</v>
      </c>
      <c r="E3085" s="3928" t="s">
        <v>8053</v>
      </c>
      <c r="F3085" s="3928" t="s">
        <v>2262</v>
      </c>
      <c r="G3085" s="3928" t="s">
        <v>8054</v>
      </c>
      <c r="H3085" s="3928" t="s">
        <v>24</v>
      </c>
      <c r="I3085" s="3928" t="s">
        <v>912</v>
      </c>
    </row>
    <row r="3086" spans="1:9" ht="11.25" customHeight="1">
      <c r="A3086" s="3928" t="s">
        <v>2258</v>
      </c>
      <c r="B3086" s="3928" t="s">
        <v>14</v>
      </c>
      <c r="C3086" s="3928" t="s">
        <v>4052</v>
      </c>
      <c r="D3086" s="3928" t="s">
        <v>4053</v>
      </c>
      <c r="E3086" s="3928" t="s">
        <v>4054</v>
      </c>
      <c r="F3086" s="3928" t="s">
        <v>2796</v>
      </c>
      <c r="G3086" s="3928" t="s">
        <v>24</v>
      </c>
      <c r="H3086" s="3928" t="s">
        <v>3297</v>
      </c>
      <c r="I3086" s="3928" t="s">
        <v>912</v>
      </c>
    </row>
    <row r="3087" spans="1:9" ht="11.25" customHeight="1">
      <c r="A3087" s="3928" t="s">
        <v>2258</v>
      </c>
      <c r="B3087" s="3928" t="s">
        <v>14</v>
      </c>
      <c r="C3087" s="3928" t="s">
        <v>4059</v>
      </c>
      <c r="D3087" s="3928" t="s">
        <v>4060</v>
      </c>
      <c r="E3087" s="3928" t="s">
        <v>4061</v>
      </c>
      <c r="F3087" s="3928" t="s">
        <v>4062</v>
      </c>
      <c r="G3087" s="3928" t="s">
        <v>24</v>
      </c>
      <c r="H3087" s="3928" t="s">
        <v>24</v>
      </c>
      <c r="I3087" s="3928" t="s">
        <v>912</v>
      </c>
    </row>
    <row r="3088" spans="1:9" ht="11.25" customHeight="1">
      <c r="A3088" s="3928" t="s">
        <v>2258</v>
      </c>
      <c r="B3088" s="3928" t="s">
        <v>14</v>
      </c>
      <c r="C3088" s="3928" t="s">
        <v>4066</v>
      </c>
      <c r="D3088" s="3928" t="s">
        <v>4067</v>
      </c>
      <c r="E3088" s="3928" t="s">
        <v>4068</v>
      </c>
      <c r="F3088" s="3928" t="s">
        <v>2675</v>
      </c>
      <c r="G3088" s="3928" t="s">
        <v>4069</v>
      </c>
      <c r="H3088" s="3928" t="s">
        <v>24</v>
      </c>
      <c r="I3088" s="3928" t="s">
        <v>912</v>
      </c>
    </row>
    <row r="3089" spans="1:9" ht="11.25" customHeight="1">
      <c r="A3089" s="3928" t="s">
        <v>2258</v>
      </c>
      <c r="B3089" s="3928" t="s">
        <v>14</v>
      </c>
      <c r="C3089" s="3928" t="s">
        <v>4070</v>
      </c>
      <c r="D3089" s="3928" t="s">
        <v>4071</v>
      </c>
      <c r="E3089" s="3928" t="s">
        <v>4072</v>
      </c>
      <c r="F3089" s="3928" t="s">
        <v>2304</v>
      </c>
      <c r="G3089" s="3928" t="s">
        <v>24</v>
      </c>
      <c r="H3089" s="3928" t="s">
        <v>24</v>
      </c>
      <c r="I3089" s="3928" t="s">
        <v>912</v>
      </c>
    </row>
    <row r="3090" spans="1:9" ht="11.25" customHeight="1">
      <c r="A3090" s="3928" t="s">
        <v>2258</v>
      </c>
      <c r="B3090" s="3928" t="s">
        <v>14</v>
      </c>
      <c r="C3090" s="3928" t="s">
        <v>4076</v>
      </c>
      <c r="D3090" s="3928" t="s">
        <v>4077</v>
      </c>
      <c r="E3090" s="3928" t="s">
        <v>4078</v>
      </c>
      <c r="F3090" s="3928" t="s">
        <v>2304</v>
      </c>
      <c r="G3090" s="3928" t="s">
        <v>24</v>
      </c>
      <c r="H3090" s="3928" t="s">
        <v>24</v>
      </c>
      <c r="I3090" s="3928" t="s">
        <v>912</v>
      </c>
    </row>
    <row r="3091" spans="1:9" ht="11.25" customHeight="1">
      <c r="A3091" s="3928" t="s">
        <v>2258</v>
      </c>
      <c r="B3091" s="3928" t="s">
        <v>14</v>
      </c>
      <c r="C3091" s="3928" t="s">
        <v>4082</v>
      </c>
      <c r="D3091" s="3928" t="s">
        <v>4083</v>
      </c>
      <c r="E3091" s="3928" t="s">
        <v>4084</v>
      </c>
      <c r="F3091" s="3928" t="s">
        <v>2780</v>
      </c>
      <c r="G3091" s="3928" t="s">
        <v>24</v>
      </c>
      <c r="H3091" s="3928" t="s">
        <v>4085</v>
      </c>
      <c r="I3091" s="3928" t="s">
        <v>912</v>
      </c>
    </row>
    <row r="3092" spans="1:9" ht="11.25" customHeight="1">
      <c r="A3092" s="3928" t="s">
        <v>2258</v>
      </c>
      <c r="B3092" s="3928" t="s">
        <v>14</v>
      </c>
      <c r="C3092" s="3928" t="s">
        <v>4089</v>
      </c>
      <c r="D3092" s="3928" t="s">
        <v>4090</v>
      </c>
      <c r="E3092" s="3928" t="s">
        <v>4091</v>
      </c>
      <c r="F3092" s="3928" t="s">
        <v>2262</v>
      </c>
      <c r="G3092" s="3928" t="s">
        <v>24</v>
      </c>
      <c r="H3092" s="3928" t="s">
        <v>24</v>
      </c>
      <c r="I3092" s="3928" t="s">
        <v>912</v>
      </c>
    </row>
    <row r="3093" spans="1:9" ht="11.25" customHeight="1">
      <c r="A3093" s="3928" t="s">
        <v>2258</v>
      </c>
      <c r="B3093" s="3928" t="s">
        <v>14</v>
      </c>
      <c r="C3093" s="3928" t="s">
        <v>4095</v>
      </c>
      <c r="D3093" s="3928" t="s">
        <v>4096</v>
      </c>
      <c r="E3093" s="3928" t="s">
        <v>4097</v>
      </c>
      <c r="F3093" s="3928" t="s">
        <v>2409</v>
      </c>
      <c r="G3093" s="3928" t="s">
        <v>4098</v>
      </c>
      <c r="H3093" s="3928" t="s">
        <v>24</v>
      </c>
      <c r="I3093" s="3928" t="s">
        <v>912</v>
      </c>
    </row>
    <row r="3094" spans="1:9" ht="11.25" customHeight="1">
      <c r="A3094" s="3928" t="s">
        <v>2258</v>
      </c>
      <c r="B3094" s="3928" t="s">
        <v>14</v>
      </c>
      <c r="C3094" s="3928" t="s">
        <v>7068</v>
      </c>
      <c r="D3094" s="3928" t="s">
        <v>7069</v>
      </c>
      <c r="E3094" s="3928" t="s">
        <v>7070</v>
      </c>
      <c r="F3094" s="3928" t="s">
        <v>2289</v>
      </c>
      <c r="G3094" s="3928" t="s">
        <v>2789</v>
      </c>
      <c r="H3094" s="3928" t="s">
        <v>24</v>
      </c>
      <c r="I3094" s="3928" t="s">
        <v>912</v>
      </c>
    </row>
    <row r="3095" spans="1:9" ht="11.25" customHeight="1">
      <c r="A3095" s="3928" t="s">
        <v>2258</v>
      </c>
      <c r="B3095" s="3928" t="s">
        <v>14</v>
      </c>
      <c r="C3095" s="3928" t="s">
        <v>4102</v>
      </c>
      <c r="D3095" s="3928" t="s">
        <v>4103</v>
      </c>
      <c r="E3095" s="3928" t="s">
        <v>4104</v>
      </c>
      <c r="F3095" s="3928" t="s">
        <v>2397</v>
      </c>
      <c r="G3095" s="3928" t="s">
        <v>4105</v>
      </c>
      <c r="H3095" s="3928" t="s">
        <v>2475</v>
      </c>
      <c r="I3095" s="3928" t="s">
        <v>912</v>
      </c>
    </row>
    <row r="3096" spans="1:9" ht="11.25" customHeight="1">
      <c r="A3096" s="3928" t="s">
        <v>2258</v>
      </c>
      <c r="B3096" s="3928" t="s">
        <v>14</v>
      </c>
      <c r="C3096" s="3928" t="s">
        <v>7074</v>
      </c>
      <c r="D3096" s="3928" t="s">
        <v>7075</v>
      </c>
      <c r="E3096" s="3928" t="s">
        <v>7076</v>
      </c>
      <c r="F3096" s="3928" t="s">
        <v>2567</v>
      </c>
      <c r="G3096" s="3928" t="s">
        <v>24</v>
      </c>
      <c r="H3096" s="3928" t="s">
        <v>24</v>
      </c>
      <c r="I3096" s="3928" t="s">
        <v>912</v>
      </c>
    </row>
    <row r="3097" spans="1:9" ht="11.25" customHeight="1">
      <c r="A3097" s="3928" t="s">
        <v>2258</v>
      </c>
      <c r="B3097" s="3928" t="s">
        <v>14</v>
      </c>
      <c r="C3097" s="3928" t="s">
        <v>4110</v>
      </c>
      <c r="D3097" s="3928" t="s">
        <v>4111</v>
      </c>
      <c r="E3097" s="3928" t="s">
        <v>4112</v>
      </c>
      <c r="F3097" s="3928" t="s">
        <v>2375</v>
      </c>
      <c r="G3097" s="3928" t="s">
        <v>24</v>
      </c>
      <c r="H3097" s="3928" t="s">
        <v>2314</v>
      </c>
      <c r="I3097" s="3928" t="s">
        <v>912</v>
      </c>
    </row>
    <row r="3098" spans="1:9" ht="11.25" customHeight="1">
      <c r="A3098" s="3928" t="s">
        <v>2258</v>
      </c>
      <c r="B3098" s="3928" t="s">
        <v>14</v>
      </c>
      <c r="C3098" s="3928" t="s">
        <v>4116</v>
      </c>
      <c r="D3098" s="3928" t="s">
        <v>4117</v>
      </c>
      <c r="E3098" s="3928" t="s">
        <v>4118</v>
      </c>
      <c r="F3098" s="3928" t="s">
        <v>3580</v>
      </c>
      <c r="G3098" s="3928" t="s">
        <v>24</v>
      </c>
      <c r="H3098" s="3928" t="s">
        <v>24</v>
      </c>
      <c r="I3098" s="3928" t="s">
        <v>912</v>
      </c>
    </row>
    <row r="3099" spans="1:9" ht="11.25" customHeight="1">
      <c r="A3099" s="3928" t="s">
        <v>2258</v>
      </c>
      <c r="B3099" s="3928" t="s">
        <v>14</v>
      </c>
      <c r="C3099" s="3928" t="s">
        <v>7077</v>
      </c>
      <c r="D3099" s="3928" t="s">
        <v>4126</v>
      </c>
      <c r="E3099" s="3928" t="s">
        <v>4127</v>
      </c>
      <c r="F3099" s="3928" t="s">
        <v>2974</v>
      </c>
      <c r="G3099" s="3928" t="s">
        <v>24</v>
      </c>
      <c r="H3099" s="3928" t="s">
        <v>3518</v>
      </c>
      <c r="I3099" s="3928" t="s">
        <v>912</v>
      </c>
    </row>
    <row r="3100" spans="1:9" ht="11.25" customHeight="1">
      <c r="A3100" s="3928" t="s">
        <v>2258</v>
      </c>
      <c r="B3100" s="3928" t="s">
        <v>14</v>
      </c>
      <c r="C3100" s="3928" t="s">
        <v>4128</v>
      </c>
      <c r="D3100" s="3928" t="s">
        <v>4129</v>
      </c>
      <c r="E3100" s="3928" t="s">
        <v>4130</v>
      </c>
      <c r="F3100" s="3928" t="s">
        <v>2289</v>
      </c>
      <c r="G3100" s="3928" t="s">
        <v>24</v>
      </c>
      <c r="H3100" s="3928" t="s">
        <v>24</v>
      </c>
      <c r="I3100" s="3928" t="s">
        <v>912</v>
      </c>
    </row>
    <row r="3101" spans="1:9" ht="11.25" customHeight="1">
      <c r="A3101" s="3928" t="s">
        <v>2258</v>
      </c>
      <c r="B3101" s="3928" t="s">
        <v>14</v>
      </c>
      <c r="C3101" s="3928" t="s">
        <v>4157</v>
      </c>
      <c r="D3101" s="3928" t="s">
        <v>4158</v>
      </c>
      <c r="E3101" s="3928" t="s">
        <v>4159</v>
      </c>
      <c r="F3101" s="3928" t="s">
        <v>2289</v>
      </c>
      <c r="G3101" s="3928" t="s">
        <v>24</v>
      </c>
      <c r="H3101" s="3928" t="s">
        <v>2263</v>
      </c>
      <c r="I3101" s="3928" t="s">
        <v>912</v>
      </c>
    </row>
    <row r="3102" spans="1:9" ht="11.25" customHeight="1">
      <c r="A3102" s="3928" t="s">
        <v>2258</v>
      </c>
      <c r="B3102" s="3928" t="s">
        <v>14</v>
      </c>
      <c r="C3102" s="3928" t="s">
        <v>4163</v>
      </c>
      <c r="D3102" s="3928" t="s">
        <v>4164</v>
      </c>
      <c r="E3102" s="3928" t="s">
        <v>4165</v>
      </c>
      <c r="F3102" s="3928" t="s">
        <v>4166</v>
      </c>
      <c r="G3102" s="3928" t="s">
        <v>24</v>
      </c>
      <c r="H3102" s="3928" t="s">
        <v>24</v>
      </c>
      <c r="I3102" s="3928" t="s">
        <v>912</v>
      </c>
    </row>
    <row r="3103" spans="1:9" ht="11.25" customHeight="1">
      <c r="A3103" s="3928" t="s">
        <v>2258</v>
      </c>
      <c r="B3103" s="3928" t="s">
        <v>14</v>
      </c>
      <c r="C3103" s="3928" t="s">
        <v>4177</v>
      </c>
      <c r="D3103" s="3928" t="s">
        <v>4178</v>
      </c>
      <c r="E3103" s="3928" t="s">
        <v>3114</v>
      </c>
      <c r="F3103" s="3928" t="s">
        <v>4179</v>
      </c>
      <c r="G3103" s="3928" t="s">
        <v>24</v>
      </c>
      <c r="H3103" s="3928" t="s">
        <v>4180</v>
      </c>
      <c r="I3103" s="3928" t="s">
        <v>912</v>
      </c>
    </row>
    <row r="3104" spans="1:9" ht="11.25" customHeight="1">
      <c r="A3104" s="3928" t="s">
        <v>2258</v>
      </c>
      <c r="B3104" s="3928" t="s">
        <v>14</v>
      </c>
      <c r="C3104" s="3928" t="s">
        <v>4181</v>
      </c>
      <c r="D3104" s="3928" t="s">
        <v>4182</v>
      </c>
      <c r="E3104" s="3928" t="s">
        <v>3114</v>
      </c>
      <c r="F3104" s="3928" t="s">
        <v>4183</v>
      </c>
      <c r="G3104" s="3928" t="s">
        <v>4184</v>
      </c>
      <c r="H3104" s="3928" t="s">
        <v>4185</v>
      </c>
      <c r="I3104" s="3928" t="s">
        <v>912</v>
      </c>
    </row>
    <row r="3105" spans="1:9" ht="11.25" customHeight="1">
      <c r="A3105" s="3928" t="s">
        <v>2258</v>
      </c>
      <c r="B3105" s="3928" t="s">
        <v>14</v>
      </c>
      <c r="C3105" s="3928" t="s">
        <v>7083</v>
      </c>
      <c r="D3105" s="3928" t="s">
        <v>7084</v>
      </c>
      <c r="E3105" s="3928" t="s">
        <v>3114</v>
      </c>
      <c r="F3105" s="3928" t="s">
        <v>7085</v>
      </c>
      <c r="G3105" s="3928" t="s">
        <v>4185</v>
      </c>
      <c r="H3105" s="3928" t="s">
        <v>24</v>
      </c>
      <c r="I3105" s="3928" t="s">
        <v>912</v>
      </c>
    </row>
    <row r="3106" spans="1:9" ht="11.25" customHeight="1">
      <c r="A3106" s="3928" t="s">
        <v>2258</v>
      </c>
      <c r="B3106" s="3928" t="s">
        <v>14</v>
      </c>
      <c r="C3106" s="3928" t="s">
        <v>4189</v>
      </c>
      <c r="D3106" s="3928" t="s">
        <v>4190</v>
      </c>
      <c r="E3106" s="3928" t="s">
        <v>4191</v>
      </c>
      <c r="F3106" s="3928" t="s">
        <v>2289</v>
      </c>
      <c r="G3106" s="3928" t="s">
        <v>24</v>
      </c>
      <c r="H3106" s="3928" t="s">
        <v>2263</v>
      </c>
      <c r="I3106" s="3928" t="s">
        <v>912</v>
      </c>
    </row>
    <row r="3107" spans="1:9" ht="11.25" customHeight="1">
      <c r="A3107" s="3928" t="s">
        <v>2258</v>
      </c>
      <c r="B3107" s="3928" t="s">
        <v>14</v>
      </c>
      <c r="C3107" s="3928" t="s">
        <v>7086</v>
      </c>
      <c r="D3107" s="3928" t="s">
        <v>7087</v>
      </c>
      <c r="E3107" s="3928" t="s">
        <v>7088</v>
      </c>
      <c r="F3107" s="3928" t="s">
        <v>2289</v>
      </c>
      <c r="G3107" s="3928" t="s">
        <v>24</v>
      </c>
      <c r="H3107" s="3928" t="s">
        <v>7089</v>
      </c>
      <c r="I3107" s="3928" t="s">
        <v>912</v>
      </c>
    </row>
    <row r="3108" spans="1:9" ht="11.25" customHeight="1">
      <c r="A3108" s="3928" t="s">
        <v>2258</v>
      </c>
      <c r="B3108" s="3928" t="s">
        <v>14</v>
      </c>
      <c r="C3108" s="3928" t="s">
        <v>6400</v>
      </c>
      <c r="D3108" s="3928" t="s">
        <v>6401</v>
      </c>
      <c r="E3108" s="3928" t="s">
        <v>6402</v>
      </c>
      <c r="F3108" s="3928" t="s">
        <v>2289</v>
      </c>
      <c r="G3108" s="3928" t="s">
        <v>24</v>
      </c>
      <c r="H3108" s="3928" t="s">
        <v>2263</v>
      </c>
      <c r="I3108" s="3928" t="s">
        <v>912</v>
      </c>
    </row>
    <row r="3109" spans="1:9" ht="11.25" customHeight="1">
      <c r="A3109" s="3928" t="s">
        <v>2258</v>
      </c>
      <c r="B3109" s="3928" t="s">
        <v>14</v>
      </c>
      <c r="C3109" s="3928" t="s">
        <v>4192</v>
      </c>
      <c r="D3109" s="3928" t="s">
        <v>4193</v>
      </c>
      <c r="E3109" s="3928" t="s">
        <v>4194</v>
      </c>
      <c r="F3109" s="3928" t="s">
        <v>2289</v>
      </c>
      <c r="G3109" s="3928" t="s">
        <v>24</v>
      </c>
      <c r="H3109" s="3928" t="s">
        <v>2263</v>
      </c>
      <c r="I3109" s="3928" t="s">
        <v>912</v>
      </c>
    </row>
    <row r="3110" spans="1:9" ht="11.25" customHeight="1">
      <c r="A3110" s="3928" t="s">
        <v>2258</v>
      </c>
      <c r="B3110" s="3928" t="s">
        <v>14</v>
      </c>
      <c r="C3110" s="3928" t="s">
        <v>4195</v>
      </c>
      <c r="D3110" s="3928" t="s">
        <v>4196</v>
      </c>
      <c r="E3110" s="3928" t="s">
        <v>4197</v>
      </c>
      <c r="F3110" s="3928" t="s">
        <v>2638</v>
      </c>
      <c r="G3110" s="3928" t="s">
        <v>24</v>
      </c>
      <c r="H3110" s="3928" t="s">
        <v>2263</v>
      </c>
      <c r="I3110" s="3928" t="s">
        <v>912</v>
      </c>
    </row>
    <row r="3111" spans="1:9" ht="11.25" customHeight="1">
      <c r="A3111" s="3928" t="s">
        <v>2258</v>
      </c>
      <c r="B3111" s="3928" t="s">
        <v>14</v>
      </c>
      <c r="C3111" s="3928" t="s">
        <v>4204</v>
      </c>
      <c r="D3111" s="3928" t="s">
        <v>4202</v>
      </c>
      <c r="E3111" s="3928" t="s">
        <v>4203</v>
      </c>
      <c r="F3111" s="3928" t="s">
        <v>2974</v>
      </c>
      <c r="G3111" s="3928" t="s">
        <v>4205</v>
      </c>
      <c r="H3111" s="3928" t="s">
        <v>4206</v>
      </c>
      <c r="I3111" s="3928" t="s">
        <v>912</v>
      </c>
    </row>
    <row r="3112" spans="1:9" ht="11.25" customHeight="1">
      <c r="A3112" s="3928" t="s">
        <v>2258</v>
      </c>
      <c r="B3112" s="3928" t="s">
        <v>14</v>
      </c>
      <c r="C3112" s="3928" t="s">
        <v>7096</v>
      </c>
      <c r="D3112" s="3928" t="s">
        <v>7097</v>
      </c>
      <c r="E3112" s="3928" t="s">
        <v>6586</v>
      </c>
      <c r="F3112" s="3928" t="s">
        <v>6476</v>
      </c>
      <c r="G3112" s="3928" t="s">
        <v>6588</v>
      </c>
      <c r="H3112" s="3928" t="s">
        <v>6589</v>
      </c>
      <c r="I3112" s="3928" t="s">
        <v>912</v>
      </c>
    </row>
    <row r="3113" spans="1:9" ht="11.25" customHeight="1">
      <c r="A3113" s="3928" t="s">
        <v>2258</v>
      </c>
      <c r="B3113" s="3928" t="s">
        <v>14</v>
      </c>
      <c r="C3113" s="3928" t="s">
        <v>7098</v>
      </c>
      <c r="D3113" s="3928" t="s">
        <v>7099</v>
      </c>
      <c r="E3113" s="3928" t="s">
        <v>6586</v>
      </c>
      <c r="F3113" s="3928" t="s">
        <v>2826</v>
      </c>
      <c r="G3113" s="3928" t="s">
        <v>6588</v>
      </c>
      <c r="H3113" s="3928" t="s">
        <v>6589</v>
      </c>
      <c r="I3113" s="3928" t="s">
        <v>912</v>
      </c>
    </row>
    <row r="3114" spans="1:9" ht="11.25" customHeight="1">
      <c r="A3114" s="3928" t="s">
        <v>2258</v>
      </c>
      <c r="B3114" s="3928" t="s">
        <v>14</v>
      </c>
      <c r="C3114" s="3928" t="s">
        <v>7100</v>
      </c>
      <c r="D3114" s="3928" t="s">
        <v>7101</v>
      </c>
      <c r="E3114" s="3928" t="s">
        <v>6586</v>
      </c>
      <c r="F3114" s="3928" t="s">
        <v>7102</v>
      </c>
      <c r="G3114" s="3928" t="s">
        <v>24</v>
      </c>
      <c r="H3114" s="3928" t="s">
        <v>6589</v>
      </c>
      <c r="I3114" s="3928" t="s">
        <v>912</v>
      </c>
    </row>
    <row r="3115" spans="1:9" ht="11.25" customHeight="1">
      <c r="A3115" s="3928" t="s">
        <v>2258</v>
      </c>
      <c r="B3115" s="3928" t="s">
        <v>14</v>
      </c>
      <c r="C3115" s="3928" t="s">
        <v>7103</v>
      </c>
      <c r="D3115" s="3928" t="s">
        <v>7104</v>
      </c>
      <c r="E3115" s="3928" t="s">
        <v>6586</v>
      </c>
      <c r="F3115" s="3928" t="s">
        <v>7105</v>
      </c>
      <c r="G3115" s="3928" t="s">
        <v>7106</v>
      </c>
      <c r="H3115" s="3928" t="s">
        <v>6589</v>
      </c>
      <c r="I3115" s="3928" t="s">
        <v>912</v>
      </c>
    </row>
    <row r="3116" spans="1:9" ht="11.25" customHeight="1">
      <c r="A3116" s="3928" t="s">
        <v>2258</v>
      </c>
      <c r="B3116" s="3928" t="s">
        <v>14</v>
      </c>
      <c r="C3116" s="3928" t="s">
        <v>4230</v>
      </c>
      <c r="D3116" s="3928" t="s">
        <v>4231</v>
      </c>
      <c r="E3116" s="3928" t="s">
        <v>4232</v>
      </c>
      <c r="F3116" s="3928" t="s">
        <v>2375</v>
      </c>
      <c r="G3116" s="3928" t="s">
        <v>4233</v>
      </c>
      <c r="H3116" s="3928" t="s">
        <v>24</v>
      </c>
      <c r="I3116" s="3928" t="s">
        <v>912</v>
      </c>
    </row>
    <row r="3117" spans="1:9" ht="11.25" customHeight="1">
      <c r="A3117" s="3928" t="s">
        <v>2258</v>
      </c>
      <c r="B3117" s="3928" t="s">
        <v>14</v>
      </c>
      <c r="C3117" s="3928" t="s">
        <v>4234</v>
      </c>
      <c r="D3117" s="3928" t="s">
        <v>4235</v>
      </c>
      <c r="E3117" s="3928" t="s">
        <v>4236</v>
      </c>
      <c r="F3117" s="3928" t="s">
        <v>2771</v>
      </c>
      <c r="G3117" s="3928" t="s">
        <v>24</v>
      </c>
      <c r="H3117" s="3928" t="s">
        <v>3068</v>
      </c>
      <c r="I3117" s="3928" t="s">
        <v>912</v>
      </c>
    </row>
    <row r="3118" spans="1:9" ht="11.25" customHeight="1">
      <c r="A3118" s="3928" t="s">
        <v>2258</v>
      </c>
      <c r="B3118" s="3928" t="s">
        <v>14</v>
      </c>
      <c r="C3118" s="3928" t="s">
        <v>7113</v>
      </c>
      <c r="D3118" s="3928" t="s">
        <v>7114</v>
      </c>
      <c r="E3118" s="3928" t="s">
        <v>7115</v>
      </c>
      <c r="F3118" s="3928" t="s">
        <v>2304</v>
      </c>
      <c r="G3118" s="3928" t="s">
        <v>24</v>
      </c>
      <c r="H3118" s="3928" t="s">
        <v>24</v>
      </c>
      <c r="I3118" s="3928" t="s">
        <v>912</v>
      </c>
    </row>
    <row r="3119" spans="1:9" ht="11.25" customHeight="1">
      <c r="A3119" s="3928" t="s">
        <v>2258</v>
      </c>
      <c r="B3119" s="3928" t="s">
        <v>14</v>
      </c>
      <c r="C3119" s="3928" t="s">
        <v>7116</v>
      </c>
      <c r="D3119" s="3928" t="s">
        <v>7117</v>
      </c>
      <c r="E3119" s="3928" t="s">
        <v>7118</v>
      </c>
      <c r="F3119" s="3928" t="s">
        <v>2344</v>
      </c>
      <c r="G3119" s="3928" t="s">
        <v>24</v>
      </c>
      <c r="H3119" s="3928" t="s">
        <v>24</v>
      </c>
      <c r="I3119" s="3928" t="s">
        <v>912</v>
      </c>
    </row>
    <row r="3120" spans="1:9" ht="11.25" customHeight="1">
      <c r="A3120" s="3928" t="s">
        <v>2258</v>
      </c>
      <c r="B3120" s="3928" t="s">
        <v>14</v>
      </c>
      <c r="C3120" s="3928" t="s">
        <v>4266</v>
      </c>
      <c r="D3120" s="3928" t="s">
        <v>4267</v>
      </c>
      <c r="E3120" s="3928" t="s">
        <v>4268</v>
      </c>
      <c r="F3120" s="3928" t="s">
        <v>2344</v>
      </c>
      <c r="G3120" s="3928" t="s">
        <v>24</v>
      </c>
      <c r="H3120" s="3928" t="s">
        <v>2263</v>
      </c>
      <c r="I3120" s="3928" t="s">
        <v>912</v>
      </c>
    </row>
    <row r="3121" spans="1:9" ht="11.25" customHeight="1">
      <c r="A3121" s="3928" t="s">
        <v>2258</v>
      </c>
      <c r="B3121" s="3928" t="s">
        <v>14</v>
      </c>
      <c r="C3121" s="3928" t="s">
        <v>8055</v>
      </c>
      <c r="D3121" s="3928" t="s">
        <v>8056</v>
      </c>
      <c r="E3121" s="3928" t="s">
        <v>8057</v>
      </c>
      <c r="F3121" s="3928" t="s">
        <v>2638</v>
      </c>
      <c r="G3121" s="3928" t="s">
        <v>24</v>
      </c>
      <c r="H3121" s="3928" t="s">
        <v>6889</v>
      </c>
      <c r="I3121" s="3928" t="s">
        <v>912</v>
      </c>
    </row>
    <row r="3122" spans="1:9" ht="11.25" customHeight="1">
      <c r="A3122" s="3928" t="s">
        <v>2258</v>
      </c>
      <c r="B3122" s="3928" t="s">
        <v>14</v>
      </c>
      <c r="C3122" s="3928" t="s">
        <v>7122</v>
      </c>
      <c r="D3122" s="3928" t="s">
        <v>7123</v>
      </c>
      <c r="E3122" s="3928" t="s">
        <v>7124</v>
      </c>
      <c r="F3122" s="3928" t="s">
        <v>4792</v>
      </c>
      <c r="G3122" s="3928" t="s">
        <v>24</v>
      </c>
      <c r="H3122" s="3928" t="s">
        <v>24</v>
      </c>
      <c r="I3122" s="3928" t="s">
        <v>912</v>
      </c>
    </row>
    <row r="3123" spans="1:9" ht="11.25" customHeight="1">
      <c r="A3123" s="3928" t="s">
        <v>2258</v>
      </c>
      <c r="B3123" s="3928" t="s">
        <v>14</v>
      </c>
      <c r="C3123" s="3928" t="s">
        <v>7125</v>
      </c>
      <c r="D3123" s="3928" t="s">
        <v>7126</v>
      </c>
      <c r="E3123" s="3928" t="s">
        <v>7127</v>
      </c>
      <c r="F3123" s="3928" t="s">
        <v>2638</v>
      </c>
      <c r="G3123" s="3928" t="s">
        <v>24</v>
      </c>
      <c r="H3123" s="3928" t="s">
        <v>24</v>
      </c>
      <c r="I3123" s="3928" t="s">
        <v>912</v>
      </c>
    </row>
    <row r="3124" spans="1:9" ht="11.25" customHeight="1">
      <c r="A3124" s="3928" t="s">
        <v>2258</v>
      </c>
      <c r="B3124" s="3928" t="s">
        <v>14</v>
      </c>
      <c r="C3124" s="3928" t="s">
        <v>7131</v>
      </c>
      <c r="D3124" s="3928" t="s">
        <v>7132</v>
      </c>
      <c r="E3124" s="3928" t="s">
        <v>6586</v>
      </c>
      <c r="F3124" s="3928" t="s">
        <v>5657</v>
      </c>
      <c r="G3124" s="3928" t="s">
        <v>7133</v>
      </c>
      <c r="H3124" s="3928" t="s">
        <v>6589</v>
      </c>
      <c r="I3124" s="3928" t="s">
        <v>912</v>
      </c>
    </row>
    <row r="3125" spans="1:9" ht="11.25" customHeight="1">
      <c r="A3125" s="3928" t="s">
        <v>2258</v>
      </c>
      <c r="B3125" s="3928" t="s">
        <v>14</v>
      </c>
      <c r="C3125" s="3928" t="s">
        <v>7134</v>
      </c>
      <c r="D3125" s="3928" t="s">
        <v>7135</v>
      </c>
      <c r="E3125" s="3928" t="s">
        <v>6586</v>
      </c>
      <c r="F3125" s="3928" t="s">
        <v>7136</v>
      </c>
      <c r="G3125" s="3928" t="s">
        <v>6588</v>
      </c>
      <c r="H3125" s="3928" t="s">
        <v>6589</v>
      </c>
      <c r="I3125" s="3928" t="s">
        <v>912</v>
      </c>
    </row>
    <row r="3126" spans="1:9" ht="11.25" customHeight="1">
      <c r="A3126" s="3928" t="s">
        <v>2258</v>
      </c>
      <c r="B3126" s="3928" t="s">
        <v>14</v>
      </c>
      <c r="C3126" s="3928" t="s">
        <v>8058</v>
      </c>
      <c r="D3126" s="3928" t="s">
        <v>8059</v>
      </c>
      <c r="E3126" s="3928" t="s">
        <v>8060</v>
      </c>
      <c r="F3126" s="3928" t="s">
        <v>2522</v>
      </c>
      <c r="G3126" s="3928" t="s">
        <v>24</v>
      </c>
      <c r="H3126" s="3928" t="s">
        <v>24</v>
      </c>
      <c r="I3126" s="3928" t="s">
        <v>912</v>
      </c>
    </row>
    <row r="3127" spans="1:9" ht="11.25" customHeight="1">
      <c r="A3127" s="3928" t="s">
        <v>2258</v>
      </c>
      <c r="B3127" s="3928" t="s">
        <v>14</v>
      </c>
      <c r="C3127" s="3928" t="s">
        <v>4304</v>
      </c>
      <c r="D3127" s="3928" t="s">
        <v>4305</v>
      </c>
      <c r="E3127" s="3928" t="s">
        <v>4306</v>
      </c>
      <c r="F3127" s="3928" t="s">
        <v>2289</v>
      </c>
      <c r="G3127" s="3928" t="s">
        <v>24</v>
      </c>
      <c r="H3127" s="3928" t="s">
        <v>2263</v>
      </c>
      <c r="I3127" s="3928" t="s">
        <v>912</v>
      </c>
    </row>
    <row r="3128" spans="1:9" ht="11.25" customHeight="1">
      <c r="A3128" s="3928" t="s">
        <v>2258</v>
      </c>
      <c r="B3128" s="3928" t="s">
        <v>14</v>
      </c>
      <c r="C3128" s="3928" t="s">
        <v>4309</v>
      </c>
      <c r="D3128" s="3928" t="s">
        <v>4310</v>
      </c>
      <c r="E3128" s="3928" t="s">
        <v>4311</v>
      </c>
      <c r="F3128" s="3928" t="s">
        <v>2414</v>
      </c>
      <c r="G3128" s="3928" t="s">
        <v>24</v>
      </c>
      <c r="H3128" s="3928" t="s">
        <v>2263</v>
      </c>
      <c r="I3128" s="3928" t="s">
        <v>912</v>
      </c>
    </row>
    <row r="3129" spans="1:9" ht="11.25" customHeight="1">
      <c r="A3129" s="3928" t="s">
        <v>2258</v>
      </c>
      <c r="B3129" s="3928" t="s">
        <v>14</v>
      </c>
      <c r="C3129" s="3928" t="s">
        <v>4315</v>
      </c>
      <c r="D3129" s="3928" t="s">
        <v>4316</v>
      </c>
      <c r="E3129" s="3928" t="s">
        <v>4317</v>
      </c>
      <c r="F3129" s="3928" t="s">
        <v>2289</v>
      </c>
      <c r="G3129" s="3928" t="s">
        <v>24</v>
      </c>
      <c r="H3129" s="3928" t="s">
        <v>2263</v>
      </c>
      <c r="I3129" s="3928" t="s">
        <v>912</v>
      </c>
    </row>
    <row r="3130" spans="1:9" ht="11.25" customHeight="1">
      <c r="A3130" s="3928" t="s">
        <v>2258</v>
      </c>
      <c r="B3130" s="3928" t="s">
        <v>14</v>
      </c>
      <c r="C3130" s="3928" t="s">
        <v>4318</v>
      </c>
      <c r="D3130" s="3928" t="s">
        <v>4319</v>
      </c>
      <c r="E3130" s="3928" t="s">
        <v>4320</v>
      </c>
      <c r="F3130" s="3928" t="s">
        <v>2289</v>
      </c>
      <c r="G3130" s="3928" t="s">
        <v>24</v>
      </c>
      <c r="H3130" s="3928" t="s">
        <v>2263</v>
      </c>
      <c r="I3130" s="3928" t="s">
        <v>912</v>
      </c>
    </row>
    <row r="3131" spans="1:9" ht="11.25" customHeight="1">
      <c r="A3131" s="3928" t="s">
        <v>2258</v>
      </c>
      <c r="B3131" s="3928" t="s">
        <v>14</v>
      </c>
      <c r="C3131" s="3928" t="s">
        <v>4324</v>
      </c>
      <c r="D3131" s="3928" t="s">
        <v>4325</v>
      </c>
      <c r="E3131" s="3928" t="s">
        <v>4326</v>
      </c>
      <c r="F3131" s="3928" t="s">
        <v>2929</v>
      </c>
      <c r="G3131" s="3928" t="s">
        <v>24</v>
      </c>
      <c r="H3131" s="3928" t="s">
        <v>2263</v>
      </c>
      <c r="I3131" s="3928" t="s">
        <v>912</v>
      </c>
    </row>
    <row r="3132" spans="1:9" ht="11.25" customHeight="1">
      <c r="A3132" s="3928" t="s">
        <v>2258</v>
      </c>
      <c r="B3132" s="3928" t="s">
        <v>14</v>
      </c>
      <c r="C3132" s="3928" t="s">
        <v>6403</v>
      </c>
      <c r="D3132" s="3928" t="s">
        <v>6404</v>
      </c>
      <c r="E3132" s="3928" t="s">
        <v>6405</v>
      </c>
      <c r="F3132" s="3928" t="s">
        <v>2304</v>
      </c>
      <c r="G3132" s="3928" t="s">
        <v>24</v>
      </c>
      <c r="H3132" s="3928" t="s">
        <v>2263</v>
      </c>
      <c r="I3132" s="3928" t="s">
        <v>912</v>
      </c>
    </row>
    <row r="3133" spans="1:9" ht="11.25" customHeight="1">
      <c r="A3133" s="3928" t="s">
        <v>2258</v>
      </c>
      <c r="B3133" s="3928" t="s">
        <v>14</v>
      </c>
      <c r="C3133" s="3928" t="s">
        <v>4343</v>
      </c>
      <c r="D3133" s="3928" t="s">
        <v>4344</v>
      </c>
      <c r="E3133" s="3928" t="s">
        <v>4345</v>
      </c>
      <c r="F3133" s="3928" t="s">
        <v>2567</v>
      </c>
      <c r="G3133" s="3928" t="s">
        <v>2630</v>
      </c>
      <c r="H3133" s="3928" t="s">
        <v>24</v>
      </c>
      <c r="I3133" s="3928" t="s">
        <v>912</v>
      </c>
    </row>
    <row r="3134" spans="1:9" ht="11.25" customHeight="1">
      <c r="A3134" s="3928" t="s">
        <v>2258</v>
      </c>
      <c r="B3134" s="3928" t="s">
        <v>14</v>
      </c>
      <c r="C3134" s="3928" t="s">
        <v>4354</v>
      </c>
      <c r="D3134" s="3928" t="s">
        <v>4355</v>
      </c>
      <c r="E3134" s="3928" t="s">
        <v>4356</v>
      </c>
      <c r="F3134" s="3928" t="s">
        <v>49</v>
      </c>
      <c r="G3134" s="3928" t="s">
        <v>4357</v>
      </c>
      <c r="H3134" s="3928" t="s">
        <v>4358</v>
      </c>
      <c r="I3134" s="3928" t="s">
        <v>912</v>
      </c>
    </row>
    <row r="3135" spans="1:9" ht="11.25" customHeight="1">
      <c r="A3135" s="3928" t="s">
        <v>2258</v>
      </c>
      <c r="B3135" s="3928" t="s">
        <v>14</v>
      </c>
      <c r="C3135" s="3928" t="s">
        <v>4359</v>
      </c>
      <c r="D3135" s="3928" t="s">
        <v>4355</v>
      </c>
      <c r="E3135" s="3928" t="s">
        <v>4360</v>
      </c>
      <c r="F3135" s="3928" t="s">
        <v>49</v>
      </c>
      <c r="G3135" s="3928" t="s">
        <v>4361</v>
      </c>
      <c r="H3135" s="3928" t="s">
        <v>24</v>
      </c>
      <c r="I3135" s="3928" t="s">
        <v>912</v>
      </c>
    </row>
    <row r="3136" spans="1:9" ht="11.25" customHeight="1">
      <c r="A3136" s="3928" t="s">
        <v>2258</v>
      </c>
      <c r="B3136" s="3928" t="s">
        <v>14</v>
      </c>
      <c r="C3136" s="3928" t="s">
        <v>7140</v>
      </c>
      <c r="D3136" s="3928" t="s">
        <v>7141</v>
      </c>
      <c r="E3136" s="3928" t="s">
        <v>7142</v>
      </c>
      <c r="F3136" s="3928" t="s">
        <v>2409</v>
      </c>
      <c r="G3136" s="3928" t="s">
        <v>24</v>
      </c>
      <c r="H3136" s="3928" t="s">
        <v>24</v>
      </c>
      <c r="I3136" s="3928" t="s">
        <v>912</v>
      </c>
    </row>
    <row r="3137" spans="1:9" ht="11.25" customHeight="1">
      <c r="A3137" s="3928" t="s">
        <v>2258</v>
      </c>
      <c r="B3137" s="3928" t="s">
        <v>14</v>
      </c>
      <c r="C3137" s="3928" t="s">
        <v>4374</v>
      </c>
      <c r="D3137" s="3928" t="s">
        <v>4375</v>
      </c>
      <c r="E3137" s="3928" t="s">
        <v>4376</v>
      </c>
      <c r="F3137" s="3928" t="s">
        <v>2567</v>
      </c>
      <c r="G3137" s="3928" t="s">
        <v>4377</v>
      </c>
      <c r="H3137" s="3928" t="s">
        <v>24</v>
      </c>
      <c r="I3137" s="3928" t="s">
        <v>912</v>
      </c>
    </row>
    <row r="3138" spans="1:9" ht="11.25" customHeight="1">
      <c r="A3138" s="3928" t="s">
        <v>2258</v>
      </c>
      <c r="B3138" s="3928" t="s">
        <v>14</v>
      </c>
      <c r="C3138" s="3928" t="s">
        <v>8061</v>
      </c>
      <c r="D3138" s="3928" t="s">
        <v>8062</v>
      </c>
      <c r="E3138" s="3928" t="s">
        <v>8063</v>
      </c>
      <c r="F3138" s="3928" t="s">
        <v>2746</v>
      </c>
      <c r="G3138" s="3928" t="s">
        <v>24</v>
      </c>
      <c r="H3138" s="3928" t="s">
        <v>24</v>
      </c>
      <c r="I3138" s="3928" t="s">
        <v>912</v>
      </c>
    </row>
    <row r="3139" spans="1:9" ht="11.25" customHeight="1">
      <c r="A3139" s="3928" t="s">
        <v>2258</v>
      </c>
      <c r="B3139" s="3928" t="s">
        <v>14</v>
      </c>
      <c r="C3139" s="3928" t="s">
        <v>7150</v>
      </c>
      <c r="D3139" s="3928" t="s">
        <v>7151</v>
      </c>
      <c r="E3139" s="3928" t="s">
        <v>7152</v>
      </c>
      <c r="F3139" s="3928" t="s">
        <v>4226</v>
      </c>
      <c r="G3139" s="3928" t="s">
        <v>24</v>
      </c>
      <c r="H3139" s="3928" t="s">
        <v>2263</v>
      </c>
      <c r="I3139" s="3928" t="s">
        <v>912</v>
      </c>
    </row>
    <row r="3140" spans="1:9" ht="11.25" customHeight="1">
      <c r="A3140" s="3928" t="s">
        <v>2258</v>
      </c>
      <c r="B3140" s="3928" t="s">
        <v>14</v>
      </c>
      <c r="C3140" s="3928" t="s">
        <v>7153</v>
      </c>
      <c r="D3140" s="3928" t="s">
        <v>7151</v>
      </c>
      <c r="E3140" s="3928" t="s">
        <v>7152</v>
      </c>
      <c r="F3140" s="3928" t="s">
        <v>2907</v>
      </c>
      <c r="G3140" s="3928" t="s">
        <v>24</v>
      </c>
      <c r="H3140" s="3928" t="s">
        <v>24</v>
      </c>
      <c r="I3140" s="3928" t="s">
        <v>912</v>
      </c>
    </row>
    <row r="3141" spans="1:9" ht="11.25" customHeight="1">
      <c r="A3141" s="3928" t="s">
        <v>2258</v>
      </c>
      <c r="B3141" s="3928" t="s">
        <v>14</v>
      </c>
      <c r="C3141" s="3928" t="s">
        <v>7162</v>
      </c>
      <c r="D3141" s="3928" t="s">
        <v>7163</v>
      </c>
      <c r="E3141" s="3928" t="s">
        <v>7164</v>
      </c>
      <c r="F3141" s="3928" t="s">
        <v>4839</v>
      </c>
      <c r="G3141" s="3928" t="s">
        <v>7165</v>
      </c>
      <c r="H3141" s="3928" t="s">
        <v>7166</v>
      </c>
      <c r="I3141" s="3928" t="s">
        <v>912</v>
      </c>
    </row>
    <row r="3142" spans="1:9" ht="11.25" customHeight="1">
      <c r="A3142" s="3928" t="s">
        <v>2258</v>
      </c>
      <c r="B3142" s="3928" t="s">
        <v>14</v>
      </c>
      <c r="C3142" s="3928" t="s">
        <v>8064</v>
      </c>
      <c r="D3142" s="3928" t="s">
        <v>8065</v>
      </c>
      <c r="E3142" s="3928" t="s">
        <v>8066</v>
      </c>
      <c r="F3142" s="3928" t="s">
        <v>2771</v>
      </c>
      <c r="G3142" s="3928" t="s">
        <v>24</v>
      </c>
      <c r="H3142" s="3928" t="s">
        <v>24</v>
      </c>
      <c r="I3142" s="3928" t="s">
        <v>912</v>
      </c>
    </row>
    <row r="3143" spans="1:9" ht="11.25" customHeight="1">
      <c r="A3143" s="3928" t="s">
        <v>2258</v>
      </c>
      <c r="B3143" s="3928" t="s">
        <v>14</v>
      </c>
      <c r="C3143" s="3928" t="s">
        <v>4381</v>
      </c>
      <c r="D3143" s="3928" t="s">
        <v>4382</v>
      </c>
      <c r="E3143" s="3928" t="s">
        <v>4383</v>
      </c>
      <c r="F3143" s="3928" t="s">
        <v>2294</v>
      </c>
      <c r="G3143" s="3928" t="s">
        <v>4384</v>
      </c>
      <c r="H3143" s="3928" t="s">
        <v>24</v>
      </c>
      <c r="I3143" s="3928" t="s">
        <v>912</v>
      </c>
    </row>
    <row r="3144" spans="1:9" ht="11.25" customHeight="1">
      <c r="A3144" s="3928" t="s">
        <v>2258</v>
      </c>
      <c r="B3144" s="3928" t="s">
        <v>14</v>
      </c>
      <c r="C3144" s="3928" t="s">
        <v>4396</v>
      </c>
      <c r="D3144" s="3928" t="s">
        <v>4397</v>
      </c>
      <c r="E3144" s="3928" t="s">
        <v>4398</v>
      </c>
      <c r="F3144" s="3928" t="s">
        <v>49</v>
      </c>
      <c r="G3144" s="3928" t="s">
        <v>24</v>
      </c>
      <c r="H3144" s="3928" t="s">
        <v>24</v>
      </c>
      <c r="I3144" s="3928" t="s">
        <v>912</v>
      </c>
    </row>
    <row r="3145" spans="1:9" ht="11.25" customHeight="1">
      <c r="A3145" s="3928" t="s">
        <v>2258</v>
      </c>
      <c r="B3145" s="3928" t="s">
        <v>14</v>
      </c>
      <c r="C3145" s="3928" t="s">
        <v>8067</v>
      </c>
      <c r="D3145" s="3928" t="s">
        <v>8068</v>
      </c>
      <c r="E3145" s="3928" t="s">
        <v>8069</v>
      </c>
      <c r="F3145" s="3928" t="s">
        <v>2675</v>
      </c>
      <c r="G3145" s="3928" t="s">
        <v>24</v>
      </c>
      <c r="H3145" s="3928" t="s">
        <v>24</v>
      </c>
      <c r="I3145" s="3928" t="s">
        <v>912</v>
      </c>
    </row>
    <row r="3146" spans="1:9" ht="11.25" customHeight="1">
      <c r="A3146" s="3928" t="s">
        <v>2258</v>
      </c>
      <c r="B3146" s="3928" t="s">
        <v>14</v>
      </c>
      <c r="C3146" s="3928" t="s">
        <v>7177</v>
      </c>
      <c r="D3146" s="3928" t="s">
        <v>7178</v>
      </c>
      <c r="E3146" s="3928" t="s">
        <v>7179</v>
      </c>
      <c r="F3146" s="3928" t="s">
        <v>2289</v>
      </c>
      <c r="G3146" s="3928" t="s">
        <v>24</v>
      </c>
      <c r="H3146" s="3928" t="s">
        <v>2263</v>
      </c>
      <c r="I3146" s="3928" t="s">
        <v>912</v>
      </c>
    </row>
    <row r="3147" spans="1:9" ht="11.25" customHeight="1">
      <c r="A3147" s="3928" t="s">
        <v>2258</v>
      </c>
      <c r="B3147" s="3928" t="s">
        <v>14</v>
      </c>
      <c r="C3147" s="3928" t="s">
        <v>7180</v>
      </c>
      <c r="D3147" s="3928" t="s">
        <v>7181</v>
      </c>
      <c r="E3147" s="3928" t="s">
        <v>7182</v>
      </c>
      <c r="F3147" s="3928" t="s">
        <v>3051</v>
      </c>
      <c r="G3147" s="3928" t="s">
        <v>24</v>
      </c>
      <c r="H3147" s="3928" t="s">
        <v>2263</v>
      </c>
      <c r="I3147" s="3928" t="s">
        <v>912</v>
      </c>
    </row>
    <row r="3148" spans="1:9" ht="11.25" customHeight="1">
      <c r="A3148" s="3928" t="s">
        <v>2258</v>
      </c>
      <c r="B3148" s="3928" t="s">
        <v>14</v>
      </c>
      <c r="C3148" s="3928" t="s">
        <v>4402</v>
      </c>
      <c r="D3148" s="3928" t="s">
        <v>4403</v>
      </c>
      <c r="E3148" s="3928" t="s">
        <v>4404</v>
      </c>
      <c r="F3148" s="3928" t="s">
        <v>2309</v>
      </c>
      <c r="G3148" s="3928" t="s">
        <v>2443</v>
      </c>
      <c r="H3148" s="3928" t="s">
        <v>24</v>
      </c>
      <c r="I3148" s="3928" t="s">
        <v>912</v>
      </c>
    </row>
    <row r="3149" spans="1:9" ht="11.25" customHeight="1">
      <c r="A3149" s="3928" t="s">
        <v>2258</v>
      </c>
      <c r="B3149" s="3928" t="s">
        <v>14</v>
      </c>
      <c r="C3149" s="3928" t="s">
        <v>4405</v>
      </c>
      <c r="D3149" s="3928" t="s">
        <v>4403</v>
      </c>
      <c r="E3149" s="3928" t="s">
        <v>4406</v>
      </c>
      <c r="F3149" s="3928" t="s">
        <v>2304</v>
      </c>
      <c r="G3149" s="3928" t="s">
        <v>24</v>
      </c>
      <c r="H3149" s="3928" t="s">
        <v>24</v>
      </c>
      <c r="I3149" s="3928" t="s">
        <v>912</v>
      </c>
    </row>
    <row r="3150" spans="1:9" ht="11.25" customHeight="1">
      <c r="A3150" s="3928" t="s">
        <v>2258</v>
      </c>
      <c r="B3150" s="3928" t="s">
        <v>14</v>
      </c>
      <c r="C3150" s="3928" t="s">
        <v>4407</v>
      </c>
      <c r="D3150" s="3928" t="s">
        <v>4403</v>
      </c>
      <c r="E3150" s="3928" t="s">
        <v>4406</v>
      </c>
      <c r="F3150" s="3928" t="s">
        <v>4408</v>
      </c>
      <c r="G3150" s="3928" t="s">
        <v>4409</v>
      </c>
      <c r="H3150" s="3928" t="s">
        <v>24</v>
      </c>
      <c r="I3150" s="3928" t="s">
        <v>912</v>
      </c>
    </row>
    <row r="3151" spans="1:9" ht="11.25" customHeight="1">
      <c r="A3151" s="3928" t="s">
        <v>2258</v>
      </c>
      <c r="B3151" s="3928" t="s">
        <v>14</v>
      </c>
      <c r="C3151" s="3928" t="s">
        <v>7187</v>
      </c>
      <c r="D3151" s="3928" t="s">
        <v>7188</v>
      </c>
      <c r="E3151" s="3928" t="s">
        <v>7189</v>
      </c>
      <c r="F3151" s="3928" t="s">
        <v>2309</v>
      </c>
      <c r="G3151" s="3928" t="s">
        <v>24</v>
      </c>
      <c r="H3151" s="3928" t="s">
        <v>7190</v>
      </c>
      <c r="I3151" s="3928" t="s">
        <v>912</v>
      </c>
    </row>
    <row r="3152" spans="1:9" ht="11.25" customHeight="1">
      <c r="A3152" s="3928" t="s">
        <v>2258</v>
      </c>
      <c r="B3152" s="3928" t="s">
        <v>14</v>
      </c>
      <c r="C3152" s="3928" t="s">
        <v>7198</v>
      </c>
      <c r="D3152" s="3928" t="s">
        <v>7199</v>
      </c>
      <c r="E3152" s="3928" t="s">
        <v>7200</v>
      </c>
      <c r="F3152" s="3928" t="s">
        <v>2638</v>
      </c>
      <c r="G3152" s="3928" t="s">
        <v>2443</v>
      </c>
      <c r="H3152" s="3928" t="s">
        <v>24</v>
      </c>
      <c r="I3152" s="3928" t="s">
        <v>912</v>
      </c>
    </row>
    <row r="3153" spans="1:9" ht="11.25" customHeight="1">
      <c r="A3153" s="3928" t="s">
        <v>2258</v>
      </c>
      <c r="B3153" s="3928" t="s">
        <v>14</v>
      </c>
      <c r="C3153" s="3928" t="s">
        <v>8070</v>
      </c>
      <c r="D3153" s="3928" t="s">
        <v>8071</v>
      </c>
      <c r="E3153" s="3928" t="s">
        <v>8072</v>
      </c>
      <c r="F3153" s="3928" t="s">
        <v>5657</v>
      </c>
      <c r="G3153" s="3928" t="s">
        <v>8073</v>
      </c>
      <c r="H3153" s="3928" t="s">
        <v>24</v>
      </c>
      <c r="I3153" s="3928" t="s">
        <v>912</v>
      </c>
    </row>
    <row r="3154" spans="1:9" ht="11.25" customHeight="1">
      <c r="A3154" s="3928" t="s">
        <v>2258</v>
      </c>
      <c r="B3154" s="3928" t="s">
        <v>14</v>
      </c>
      <c r="C3154" s="3928" t="s">
        <v>4446</v>
      </c>
      <c r="D3154" s="3928" t="s">
        <v>4447</v>
      </c>
      <c r="E3154" s="3928" t="s">
        <v>4448</v>
      </c>
      <c r="F3154" s="3928" t="s">
        <v>2771</v>
      </c>
      <c r="G3154" s="3928" t="s">
        <v>4449</v>
      </c>
      <c r="H3154" s="3928" t="s">
        <v>2263</v>
      </c>
      <c r="I3154" s="3928" t="s">
        <v>912</v>
      </c>
    </row>
    <row r="3155" spans="1:9" ht="11.25" customHeight="1">
      <c r="A3155" s="3928" t="s">
        <v>2258</v>
      </c>
      <c r="B3155" s="3928" t="s">
        <v>14</v>
      </c>
      <c r="C3155" s="3928" t="s">
        <v>4450</v>
      </c>
      <c r="D3155" s="3928" t="s">
        <v>4451</v>
      </c>
      <c r="E3155" s="3928" t="s">
        <v>4452</v>
      </c>
      <c r="F3155" s="3928" t="s">
        <v>2675</v>
      </c>
      <c r="G3155" s="3928" t="s">
        <v>24</v>
      </c>
      <c r="H3155" s="3928" t="s">
        <v>2263</v>
      </c>
      <c r="I3155" s="3928" t="s">
        <v>912</v>
      </c>
    </row>
    <row r="3156" spans="1:9" ht="11.25" customHeight="1">
      <c r="A3156" s="3928" t="s">
        <v>2258</v>
      </c>
      <c r="B3156" s="3928" t="s">
        <v>14</v>
      </c>
      <c r="C3156" s="3928" t="s">
        <v>7208</v>
      </c>
      <c r="D3156" s="3928" t="s">
        <v>7209</v>
      </c>
      <c r="E3156" s="3928" t="s">
        <v>7210</v>
      </c>
      <c r="F3156" s="3928" t="s">
        <v>2409</v>
      </c>
      <c r="G3156" s="3928" t="s">
        <v>5953</v>
      </c>
      <c r="H3156" s="3928" t="s">
        <v>2945</v>
      </c>
      <c r="I3156" s="3928" t="s">
        <v>912</v>
      </c>
    </row>
    <row r="3157" spans="1:9" ht="11.25" customHeight="1">
      <c r="A3157" s="3928" t="s">
        <v>2258</v>
      </c>
      <c r="B3157" s="3928" t="s">
        <v>14</v>
      </c>
      <c r="C3157" s="3928" t="s">
        <v>4457</v>
      </c>
      <c r="D3157" s="3928" t="s">
        <v>4458</v>
      </c>
      <c r="E3157" s="3928" t="s">
        <v>4459</v>
      </c>
      <c r="F3157" s="3928" t="s">
        <v>2375</v>
      </c>
      <c r="G3157" s="3928" t="s">
        <v>24</v>
      </c>
      <c r="H3157" s="3928" t="s">
        <v>24</v>
      </c>
      <c r="I3157" s="3928" t="s">
        <v>912</v>
      </c>
    </row>
    <row r="3158" spans="1:9" ht="11.25" customHeight="1">
      <c r="A3158" s="3928" t="s">
        <v>2258</v>
      </c>
      <c r="B3158" s="3928" t="s">
        <v>14</v>
      </c>
      <c r="C3158" s="3928" t="s">
        <v>4460</v>
      </c>
      <c r="D3158" s="3928" t="s">
        <v>4461</v>
      </c>
      <c r="E3158" s="3928" t="s">
        <v>4462</v>
      </c>
      <c r="F3158" s="3928" t="s">
        <v>2325</v>
      </c>
      <c r="G3158" s="3928" t="s">
        <v>24</v>
      </c>
      <c r="H3158" s="3928" t="s">
        <v>24</v>
      </c>
      <c r="I3158" s="3928" t="s">
        <v>912</v>
      </c>
    </row>
    <row r="3159" spans="1:9" ht="11.25" customHeight="1">
      <c r="A3159" s="3928" t="s">
        <v>2258</v>
      </c>
      <c r="B3159" s="3928" t="s">
        <v>14</v>
      </c>
      <c r="C3159" s="3928" t="s">
        <v>7211</v>
      </c>
      <c r="D3159" s="3928" t="s">
        <v>7212</v>
      </c>
      <c r="E3159" s="3928" t="s">
        <v>7213</v>
      </c>
      <c r="F3159" s="3928" t="s">
        <v>2294</v>
      </c>
      <c r="G3159" s="3928" t="s">
        <v>7214</v>
      </c>
      <c r="H3159" s="3928" t="s">
        <v>7215</v>
      </c>
      <c r="I3159" s="3928" t="s">
        <v>912</v>
      </c>
    </row>
    <row r="3160" spans="1:9" ht="11.25" customHeight="1">
      <c r="A3160" s="3928" t="s">
        <v>2258</v>
      </c>
      <c r="B3160" s="3928" t="s">
        <v>14</v>
      </c>
      <c r="C3160" s="3928" t="s">
        <v>4467</v>
      </c>
      <c r="D3160" s="3928" t="s">
        <v>4468</v>
      </c>
      <c r="E3160" s="3928" t="s">
        <v>4469</v>
      </c>
      <c r="F3160" s="3928" t="s">
        <v>2397</v>
      </c>
      <c r="G3160" s="3928" t="s">
        <v>24</v>
      </c>
      <c r="H3160" s="3928" t="s">
        <v>2263</v>
      </c>
      <c r="I3160" s="3928" t="s">
        <v>912</v>
      </c>
    </row>
    <row r="3161" spans="1:9" ht="11.25" customHeight="1">
      <c r="A3161" s="3928" t="s">
        <v>2258</v>
      </c>
      <c r="B3161" s="3928" t="s">
        <v>14</v>
      </c>
      <c r="C3161" s="3928" t="s">
        <v>4470</v>
      </c>
      <c r="D3161" s="3928" t="s">
        <v>4468</v>
      </c>
      <c r="E3161" s="3928" t="s">
        <v>4471</v>
      </c>
      <c r="F3161" s="3928" t="s">
        <v>2262</v>
      </c>
      <c r="G3161" s="3928" t="s">
        <v>4472</v>
      </c>
      <c r="H3161" s="3928" t="s">
        <v>24</v>
      </c>
      <c r="I3161" s="3928" t="s">
        <v>912</v>
      </c>
    </row>
    <row r="3162" spans="1:9" ht="11.25" customHeight="1">
      <c r="A3162" s="3928" t="s">
        <v>2258</v>
      </c>
      <c r="B3162" s="3928" t="s">
        <v>14</v>
      </c>
      <c r="C3162" s="3928" t="s">
        <v>7219</v>
      </c>
      <c r="D3162" s="3928" t="s">
        <v>7220</v>
      </c>
      <c r="E3162" s="3928" t="s">
        <v>7221</v>
      </c>
      <c r="F3162" s="3928" t="s">
        <v>2289</v>
      </c>
      <c r="G3162" s="3928" t="s">
        <v>7222</v>
      </c>
      <c r="H3162" s="3928" t="s">
        <v>7223</v>
      </c>
      <c r="I3162" s="3928" t="s">
        <v>912</v>
      </c>
    </row>
    <row r="3163" spans="1:9" ht="11.25" customHeight="1">
      <c r="A3163" s="3928" t="s">
        <v>2258</v>
      </c>
      <c r="B3163" s="3928" t="s">
        <v>14</v>
      </c>
      <c r="C3163" s="3928" t="s">
        <v>7224</v>
      </c>
      <c r="D3163" s="3928" t="s">
        <v>7225</v>
      </c>
      <c r="E3163" s="3928" t="s">
        <v>7226</v>
      </c>
      <c r="F3163" s="3928" t="s">
        <v>2414</v>
      </c>
      <c r="G3163" s="3928" t="s">
        <v>24</v>
      </c>
      <c r="H3163" s="3928" t="s">
        <v>24</v>
      </c>
      <c r="I3163" s="3928" t="s">
        <v>912</v>
      </c>
    </row>
    <row r="3164" spans="1:9" ht="11.25" customHeight="1">
      <c r="A3164" s="3928" t="s">
        <v>2258</v>
      </c>
      <c r="B3164" s="3928" t="s">
        <v>14</v>
      </c>
      <c r="C3164" s="3928" t="s">
        <v>7240</v>
      </c>
      <c r="D3164" s="3928" t="s">
        <v>7241</v>
      </c>
      <c r="E3164" s="3928" t="s">
        <v>7242</v>
      </c>
      <c r="F3164" s="3928" t="s">
        <v>2486</v>
      </c>
      <c r="G3164" s="3928" t="s">
        <v>7243</v>
      </c>
      <c r="H3164" s="3928" t="s">
        <v>24</v>
      </c>
      <c r="I3164" s="3928" t="s">
        <v>912</v>
      </c>
    </row>
    <row r="3165" spans="1:9" ht="11.25" customHeight="1">
      <c r="A3165" s="3928" t="s">
        <v>2258</v>
      </c>
      <c r="B3165" s="3928" t="s">
        <v>14</v>
      </c>
      <c r="C3165" s="3928" t="s">
        <v>8074</v>
      </c>
      <c r="D3165" s="3928" t="s">
        <v>8075</v>
      </c>
      <c r="E3165" s="3928" t="s">
        <v>8076</v>
      </c>
      <c r="F3165" s="3928" t="s">
        <v>49</v>
      </c>
      <c r="G3165" s="3928" t="s">
        <v>8077</v>
      </c>
      <c r="H3165" s="3928" t="s">
        <v>24</v>
      </c>
      <c r="I3165" s="3928" t="s">
        <v>912</v>
      </c>
    </row>
    <row r="3166" spans="1:9" ht="11.25" customHeight="1">
      <c r="A3166" s="3928" t="s">
        <v>2258</v>
      </c>
      <c r="B3166" s="3928" t="s">
        <v>14</v>
      </c>
      <c r="C3166" s="3928" t="s">
        <v>7244</v>
      </c>
      <c r="D3166" s="3928" t="s">
        <v>7245</v>
      </c>
      <c r="E3166" s="3928" t="s">
        <v>7246</v>
      </c>
      <c r="F3166" s="3928" t="s">
        <v>2469</v>
      </c>
      <c r="G3166" s="3928" t="s">
        <v>6656</v>
      </c>
      <c r="H3166" s="3928" t="s">
        <v>24</v>
      </c>
      <c r="I3166" s="3928" t="s">
        <v>912</v>
      </c>
    </row>
    <row r="3167" spans="1:9" ht="11.25" customHeight="1">
      <c r="A3167" s="3928" t="s">
        <v>2258</v>
      </c>
      <c r="B3167" s="3928" t="s">
        <v>14</v>
      </c>
      <c r="C3167" s="3928" t="s">
        <v>7250</v>
      </c>
      <c r="D3167" s="3928" t="s">
        <v>7251</v>
      </c>
      <c r="E3167" s="3928" t="s">
        <v>4507</v>
      </c>
      <c r="F3167" s="3928" t="s">
        <v>7252</v>
      </c>
      <c r="G3167" s="3928" t="s">
        <v>24</v>
      </c>
      <c r="H3167" s="3928" t="s">
        <v>7253</v>
      </c>
      <c r="I3167" s="3928" t="s">
        <v>912</v>
      </c>
    </row>
    <row r="3168" spans="1:9" ht="11.25" customHeight="1">
      <c r="A3168" s="3928" t="s">
        <v>2258</v>
      </c>
      <c r="B3168" s="3928" t="s">
        <v>14</v>
      </c>
      <c r="C3168" s="3928" t="s">
        <v>4511</v>
      </c>
      <c r="D3168" s="3928" t="s">
        <v>4512</v>
      </c>
      <c r="E3168" s="3928" t="s">
        <v>4513</v>
      </c>
      <c r="F3168" s="3928" t="s">
        <v>2309</v>
      </c>
      <c r="G3168" s="3928" t="s">
        <v>4514</v>
      </c>
      <c r="H3168" s="3928" t="s">
        <v>24</v>
      </c>
      <c r="I3168" s="3928" t="s">
        <v>912</v>
      </c>
    </row>
    <row r="3169" spans="1:9" ht="11.25" customHeight="1">
      <c r="A3169" s="3928" t="s">
        <v>2258</v>
      </c>
      <c r="B3169" s="3928" t="s">
        <v>14</v>
      </c>
      <c r="C3169" s="3928" t="s">
        <v>7254</v>
      </c>
      <c r="D3169" s="3928" t="s">
        <v>7255</v>
      </c>
      <c r="E3169" s="3928" t="s">
        <v>7256</v>
      </c>
      <c r="F3169" s="3928" t="s">
        <v>2863</v>
      </c>
      <c r="G3169" s="3928" t="s">
        <v>7257</v>
      </c>
      <c r="H3169" s="3928" t="s">
        <v>24</v>
      </c>
      <c r="I3169" s="3928" t="s">
        <v>912</v>
      </c>
    </row>
    <row r="3170" spans="1:9" ht="11.25" customHeight="1">
      <c r="A3170" s="3928" t="s">
        <v>2258</v>
      </c>
      <c r="B3170" s="3928" t="s">
        <v>14</v>
      </c>
      <c r="C3170" s="3928" t="s">
        <v>4524</v>
      </c>
      <c r="D3170" s="3928" t="s">
        <v>4525</v>
      </c>
      <c r="E3170" s="3928" t="s">
        <v>4526</v>
      </c>
      <c r="F3170" s="3928" t="s">
        <v>49</v>
      </c>
      <c r="G3170" s="3928" t="s">
        <v>24</v>
      </c>
      <c r="H3170" s="3928" t="s">
        <v>24</v>
      </c>
      <c r="I3170" s="3928" t="s">
        <v>912</v>
      </c>
    </row>
    <row r="3171" spans="1:9" ht="11.25" customHeight="1">
      <c r="A3171" s="3928" t="s">
        <v>2258</v>
      </c>
      <c r="B3171" s="3928" t="s">
        <v>14</v>
      </c>
      <c r="C3171" s="3928" t="s">
        <v>4527</v>
      </c>
      <c r="D3171" s="3928" t="s">
        <v>4528</v>
      </c>
      <c r="E3171" s="3928" t="s">
        <v>4529</v>
      </c>
      <c r="F3171" s="3928" t="s">
        <v>2419</v>
      </c>
      <c r="G3171" s="3928" t="s">
        <v>3217</v>
      </c>
      <c r="H3171" s="3928" t="s">
        <v>24</v>
      </c>
      <c r="I3171" s="3928" t="s">
        <v>912</v>
      </c>
    </row>
    <row r="3172" spans="1:9" ht="11.25" customHeight="1">
      <c r="A3172" s="3928" t="s">
        <v>2258</v>
      </c>
      <c r="B3172" s="3928" t="s">
        <v>14</v>
      </c>
      <c r="C3172" s="3928" t="s">
        <v>8078</v>
      </c>
      <c r="D3172" s="3928" t="s">
        <v>8079</v>
      </c>
      <c r="E3172" s="3928" t="s">
        <v>8080</v>
      </c>
      <c r="F3172" s="3928" t="s">
        <v>2359</v>
      </c>
      <c r="G3172" s="3928" t="s">
        <v>8081</v>
      </c>
      <c r="H3172" s="3928" t="s">
        <v>24</v>
      </c>
      <c r="I3172" s="3928" t="s">
        <v>912</v>
      </c>
    </row>
    <row r="3173" spans="1:9" ht="11.25" customHeight="1">
      <c r="A3173" s="3928" t="s">
        <v>2258</v>
      </c>
      <c r="B3173" s="3928" t="s">
        <v>14</v>
      </c>
      <c r="C3173" s="3928" t="s">
        <v>8082</v>
      </c>
      <c r="D3173" s="3928" t="s">
        <v>8083</v>
      </c>
      <c r="E3173" s="3928" t="s">
        <v>8084</v>
      </c>
      <c r="F3173" s="3928" t="s">
        <v>2414</v>
      </c>
      <c r="G3173" s="3928" t="s">
        <v>6543</v>
      </c>
      <c r="H3173" s="3928" t="s">
        <v>24</v>
      </c>
      <c r="I3173" s="3928" t="s">
        <v>912</v>
      </c>
    </row>
    <row r="3174" spans="1:9" ht="11.25" customHeight="1">
      <c r="A3174" s="3928" t="s">
        <v>2258</v>
      </c>
      <c r="B3174" s="3928" t="s">
        <v>14</v>
      </c>
      <c r="C3174" s="3928" t="s">
        <v>4536</v>
      </c>
      <c r="D3174" s="3928" t="s">
        <v>4537</v>
      </c>
      <c r="E3174" s="3928" t="s">
        <v>4538</v>
      </c>
      <c r="F3174" s="3928" t="s">
        <v>2397</v>
      </c>
      <c r="G3174" s="3928" t="s">
        <v>24</v>
      </c>
      <c r="H3174" s="3928" t="s">
        <v>2475</v>
      </c>
      <c r="I3174" s="3928" t="s">
        <v>912</v>
      </c>
    </row>
    <row r="3175" spans="1:9" ht="11.25" customHeight="1">
      <c r="A3175" s="3928" t="s">
        <v>2258</v>
      </c>
      <c r="B3175" s="3928" t="s">
        <v>14</v>
      </c>
      <c r="C3175" s="3928" t="s">
        <v>7258</v>
      </c>
      <c r="D3175" s="3928" t="s">
        <v>7259</v>
      </c>
      <c r="E3175" s="3928" t="s">
        <v>7260</v>
      </c>
      <c r="F3175" s="3928" t="s">
        <v>2438</v>
      </c>
      <c r="G3175" s="3928" t="s">
        <v>7261</v>
      </c>
      <c r="H3175" s="3928" t="s">
        <v>24</v>
      </c>
      <c r="I3175" s="3928" t="s">
        <v>912</v>
      </c>
    </row>
    <row r="3176" spans="1:9" ht="11.25" customHeight="1">
      <c r="A3176" s="3928" t="s">
        <v>2258</v>
      </c>
      <c r="B3176" s="3928" t="s">
        <v>14</v>
      </c>
      <c r="C3176" s="3928" t="s">
        <v>7266</v>
      </c>
      <c r="D3176" s="3928" t="s">
        <v>7267</v>
      </c>
      <c r="E3176" s="3928" t="s">
        <v>7268</v>
      </c>
      <c r="F3176" s="3928" t="s">
        <v>2552</v>
      </c>
      <c r="G3176" s="3928" t="s">
        <v>24</v>
      </c>
      <c r="H3176" s="3928" t="s">
        <v>24</v>
      </c>
      <c r="I3176" s="3928" t="s">
        <v>912</v>
      </c>
    </row>
    <row r="3177" spans="1:9" ht="11.25" customHeight="1">
      <c r="A3177" s="3928" t="s">
        <v>2258</v>
      </c>
      <c r="B3177" s="3928" t="s">
        <v>14</v>
      </c>
      <c r="C3177" s="3928" t="s">
        <v>8085</v>
      </c>
      <c r="D3177" s="3928" t="s">
        <v>8086</v>
      </c>
      <c r="E3177" s="3928" t="s">
        <v>8087</v>
      </c>
      <c r="F3177" s="3928" t="s">
        <v>49</v>
      </c>
      <c r="G3177" s="3928" t="s">
        <v>24</v>
      </c>
      <c r="H3177" s="3928" t="s">
        <v>2848</v>
      </c>
      <c r="I3177" s="3928" t="s">
        <v>912</v>
      </c>
    </row>
    <row r="3178" spans="1:9" ht="11.25" customHeight="1">
      <c r="A3178" s="3928" t="s">
        <v>2258</v>
      </c>
      <c r="B3178" s="3928" t="s">
        <v>14</v>
      </c>
      <c r="C3178" s="3928" t="s">
        <v>8088</v>
      </c>
      <c r="D3178" s="3928" t="s">
        <v>8089</v>
      </c>
      <c r="E3178" s="3928" t="s">
        <v>8090</v>
      </c>
      <c r="F3178" s="3928" t="s">
        <v>2638</v>
      </c>
      <c r="G3178" s="3928" t="s">
        <v>24</v>
      </c>
      <c r="H3178" s="3928" t="s">
        <v>8091</v>
      </c>
      <c r="I3178" s="3928" t="s">
        <v>912</v>
      </c>
    </row>
    <row r="3179" spans="1:9" ht="11.25" customHeight="1">
      <c r="A3179" s="3928" t="s">
        <v>2258</v>
      </c>
      <c r="B3179" s="3928" t="s">
        <v>14</v>
      </c>
      <c r="C3179" s="3928" t="s">
        <v>8092</v>
      </c>
      <c r="D3179" s="3928" t="s">
        <v>8093</v>
      </c>
      <c r="E3179" s="3928" t="s">
        <v>8094</v>
      </c>
      <c r="F3179" s="3928" t="s">
        <v>2419</v>
      </c>
      <c r="G3179" s="3928" t="s">
        <v>24</v>
      </c>
      <c r="H3179" s="3928" t="s">
        <v>24</v>
      </c>
      <c r="I3179" s="3928" t="s">
        <v>912</v>
      </c>
    </row>
    <row r="3180" spans="1:9" ht="11.25" customHeight="1">
      <c r="A3180" s="3928" t="s">
        <v>2258</v>
      </c>
      <c r="B3180" s="3928" t="s">
        <v>14</v>
      </c>
      <c r="C3180" s="3928" t="s">
        <v>8095</v>
      </c>
      <c r="D3180" s="3928" t="s">
        <v>8096</v>
      </c>
      <c r="E3180" s="3928" t="s">
        <v>7680</v>
      </c>
      <c r="F3180" s="3928" t="s">
        <v>2624</v>
      </c>
      <c r="G3180" s="3928" t="s">
        <v>24</v>
      </c>
      <c r="H3180" s="3928" t="s">
        <v>2848</v>
      </c>
      <c r="I3180" s="3928" t="s">
        <v>912</v>
      </c>
    </row>
    <row r="3181" spans="1:9" ht="11.25" customHeight="1">
      <c r="A3181" s="3928" t="s">
        <v>2258</v>
      </c>
      <c r="B3181" s="3928" t="s">
        <v>14</v>
      </c>
      <c r="C3181" s="3928" t="s">
        <v>7281</v>
      </c>
      <c r="D3181" s="3928" t="s">
        <v>7282</v>
      </c>
      <c r="E3181" s="3928" t="s">
        <v>7283</v>
      </c>
      <c r="F3181" s="3928" t="s">
        <v>2397</v>
      </c>
      <c r="G3181" s="3928" t="s">
        <v>7284</v>
      </c>
      <c r="H3181" s="3928" t="s">
        <v>24</v>
      </c>
      <c r="I3181" s="3928" t="s">
        <v>912</v>
      </c>
    </row>
    <row r="3182" spans="1:9" ht="11.25" customHeight="1">
      <c r="A3182" s="3928" t="s">
        <v>2258</v>
      </c>
      <c r="B3182" s="3928" t="s">
        <v>14</v>
      </c>
      <c r="C3182" s="3928" t="s">
        <v>4575</v>
      </c>
      <c r="D3182" s="3928" t="s">
        <v>4576</v>
      </c>
      <c r="E3182" s="3928" t="s">
        <v>4577</v>
      </c>
      <c r="F3182" s="3928" t="s">
        <v>2289</v>
      </c>
      <c r="G3182" s="3928" t="s">
        <v>4578</v>
      </c>
      <c r="H3182" s="3928" t="s">
        <v>24</v>
      </c>
      <c r="I3182" s="3928" t="s">
        <v>912</v>
      </c>
    </row>
    <row r="3183" spans="1:9" ht="11.25" customHeight="1">
      <c r="A3183" s="3928" t="s">
        <v>2258</v>
      </c>
      <c r="B3183" s="3928" t="s">
        <v>14</v>
      </c>
      <c r="C3183" s="3928" t="s">
        <v>7285</v>
      </c>
      <c r="D3183" s="3928" t="s">
        <v>7286</v>
      </c>
      <c r="E3183" s="3928" t="s">
        <v>7287</v>
      </c>
      <c r="F3183" s="3928" t="s">
        <v>2675</v>
      </c>
      <c r="G3183" s="3928" t="s">
        <v>24</v>
      </c>
      <c r="H3183" s="3928" t="s">
        <v>6924</v>
      </c>
      <c r="I3183" s="3928" t="s">
        <v>912</v>
      </c>
    </row>
    <row r="3184" spans="1:9" ht="11.25" customHeight="1">
      <c r="A3184" s="3928" t="s">
        <v>2258</v>
      </c>
      <c r="B3184" s="3928" t="s">
        <v>14</v>
      </c>
      <c r="C3184" s="3928" t="s">
        <v>4585</v>
      </c>
      <c r="D3184" s="3928" t="s">
        <v>4586</v>
      </c>
      <c r="E3184" s="3928" t="s">
        <v>4587</v>
      </c>
      <c r="F3184" s="3928" t="s">
        <v>4588</v>
      </c>
      <c r="G3184" s="3928" t="s">
        <v>4436</v>
      </c>
      <c r="H3184" s="3928" t="s">
        <v>24</v>
      </c>
      <c r="I3184" s="3928" t="s">
        <v>912</v>
      </c>
    </row>
    <row r="3185" spans="1:9" ht="11.25" customHeight="1">
      <c r="A3185" s="3928" t="s">
        <v>2258</v>
      </c>
      <c r="B3185" s="3928" t="s">
        <v>14</v>
      </c>
      <c r="C3185" s="3928" t="s">
        <v>4589</v>
      </c>
      <c r="D3185" s="3928" t="s">
        <v>4590</v>
      </c>
      <c r="E3185" s="3928" t="s">
        <v>4591</v>
      </c>
      <c r="F3185" s="3928" t="s">
        <v>2701</v>
      </c>
      <c r="G3185" s="3928" t="s">
        <v>24</v>
      </c>
      <c r="H3185" s="3928" t="s">
        <v>2263</v>
      </c>
      <c r="I3185" s="3928" t="s">
        <v>912</v>
      </c>
    </row>
    <row r="3186" spans="1:9" ht="11.25" customHeight="1">
      <c r="A3186" s="3928" t="s">
        <v>2258</v>
      </c>
      <c r="B3186" s="3928" t="s">
        <v>14</v>
      </c>
      <c r="C3186" s="3928" t="s">
        <v>7292</v>
      </c>
      <c r="D3186" s="3928" t="s">
        <v>7293</v>
      </c>
      <c r="E3186" s="3928" t="s">
        <v>7294</v>
      </c>
      <c r="F3186" s="3928" t="s">
        <v>3086</v>
      </c>
      <c r="G3186" s="3928" t="s">
        <v>7295</v>
      </c>
      <c r="H3186" s="3928" t="s">
        <v>24</v>
      </c>
      <c r="I3186" s="3928" t="s">
        <v>912</v>
      </c>
    </row>
    <row r="3187" spans="1:9" ht="11.25" customHeight="1">
      <c r="A3187" s="3928" t="s">
        <v>2258</v>
      </c>
      <c r="B3187" s="3928" t="s">
        <v>14</v>
      </c>
      <c r="C3187" s="3928" t="s">
        <v>8097</v>
      </c>
      <c r="D3187" s="3928" t="s">
        <v>8098</v>
      </c>
      <c r="E3187" s="3928" t="s">
        <v>8099</v>
      </c>
      <c r="F3187" s="3928" t="s">
        <v>2309</v>
      </c>
      <c r="G3187" s="3928" t="s">
        <v>8100</v>
      </c>
      <c r="H3187" s="3928" t="s">
        <v>24</v>
      </c>
      <c r="I3187" s="3928" t="s">
        <v>912</v>
      </c>
    </row>
    <row r="3188" spans="1:9" ht="11.25" customHeight="1">
      <c r="A3188" s="3928" t="s">
        <v>2258</v>
      </c>
      <c r="B3188" s="3928" t="s">
        <v>14</v>
      </c>
      <c r="C3188" s="3928" t="s">
        <v>7296</v>
      </c>
      <c r="D3188" s="3928" t="s">
        <v>7297</v>
      </c>
      <c r="E3188" s="3928" t="s">
        <v>7294</v>
      </c>
      <c r="F3188" s="3928" t="s">
        <v>7298</v>
      </c>
      <c r="G3188" s="3928" t="s">
        <v>24</v>
      </c>
      <c r="H3188" s="3928" t="s">
        <v>24</v>
      </c>
      <c r="I3188" s="3928" t="s">
        <v>912</v>
      </c>
    </row>
    <row r="3189" spans="1:9" ht="11.25" customHeight="1">
      <c r="A3189" s="3928" t="s">
        <v>2258</v>
      </c>
      <c r="B3189" s="3928" t="s">
        <v>14</v>
      </c>
      <c r="C3189" s="3928" t="s">
        <v>4592</v>
      </c>
      <c r="D3189" s="3928" t="s">
        <v>4593</v>
      </c>
      <c r="E3189" s="3928" t="s">
        <v>4594</v>
      </c>
      <c r="F3189" s="3928" t="s">
        <v>2701</v>
      </c>
      <c r="G3189" s="3928" t="s">
        <v>24</v>
      </c>
      <c r="H3189" s="3928" t="s">
        <v>24</v>
      </c>
      <c r="I3189" s="3928" t="s">
        <v>912</v>
      </c>
    </row>
    <row r="3190" spans="1:9" ht="11.25" customHeight="1">
      <c r="A3190" s="3928" t="s">
        <v>2258</v>
      </c>
      <c r="B3190" s="3928" t="s">
        <v>14</v>
      </c>
      <c r="C3190" s="3928" t="s">
        <v>4595</v>
      </c>
      <c r="D3190" s="3928" t="s">
        <v>4596</v>
      </c>
      <c r="E3190" s="3928" t="s">
        <v>4597</v>
      </c>
      <c r="F3190" s="3928" t="s">
        <v>2701</v>
      </c>
      <c r="G3190" s="3928" t="s">
        <v>4598</v>
      </c>
      <c r="H3190" s="3928" t="s">
        <v>24</v>
      </c>
      <c r="I3190" s="3928" t="s">
        <v>912</v>
      </c>
    </row>
    <row r="3191" spans="1:9" ht="11.25" customHeight="1">
      <c r="A3191" s="3928" t="s">
        <v>2258</v>
      </c>
      <c r="B3191" s="3928" t="s">
        <v>14</v>
      </c>
      <c r="C3191" s="3928" t="s">
        <v>4599</v>
      </c>
      <c r="D3191" s="3928" t="s">
        <v>4600</v>
      </c>
      <c r="E3191" s="3928" t="s">
        <v>4601</v>
      </c>
      <c r="F3191" s="3928" t="s">
        <v>2486</v>
      </c>
      <c r="G3191" s="3928" t="s">
        <v>24</v>
      </c>
      <c r="H3191" s="3928" t="s">
        <v>3297</v>
      </c>
      <c r="I3191" s="3928" t="s">
        <v>912</v>
      </c>
    </row>
    <row r="3192" spans="1:9" ht="11.25" customHeight="1">
      <c r="A3192" s="3928" t="s">
        <v>2258</v>
      </c>
      <c r="B3192" s="3928" t="s">
        <v>14</v>
      </c>
      <c r="C3192" s="3928" t="s">
        <v>8101</v>
      </c>
      <c r="D3192" s="3928" t="s">
        <v>8102</v>
      </c>
      <c r="E3192" s="3928" t="s">
        <v>8103</v>
      </c>
      <c r="F3192" s="3928" t="s">
        <v>2675</v>
      </c>
      <c r="G3192" s="3928" t="s">
        <v>24</v>
      </c>
      <c r="H3192" s="3928" t="s">
        <v>24</v>
      </c>
      <c r="I3192" s="3928" t="s">
        <v>912</v>
      </c>
    </row>
    <row r="3193" spans="1:9" ht="11.25" customHeight="1">
      <c r="A3193" s="3928" t="s">
        <v>2258</v>
      </c>
      <c r="B3193" s="3928" t="s">
        <v>14</v>
      </c>
      <c r="C3193" s="3928" t="s">
        <v>4602</v>
      </c>
      <c r="D3193" s="3928" t="s">
        <v>4603</v>
      </c>
      <c r="E3193" s="3928" t="s">
        <v>4604</v>
      </c>
      <c r="F3193" s="3928" t="s">
        <v>2552</v>
      </c>
      <c r="G3193" s="3928" t="s">
        <v>24</v>
      </c>
      <c r="H3193" s="3928" t="s">
        <v>24</v>
      </c>
      <c r="I3193" s="3928" t="s">
        <v>912</v>
      </c>
    </row>
    <row r="3194" spans="1:9" ht="11.25" customHeight="1">
      <c r="A3194" s="3928" t="s">
        <v>2258</v>
      </c>
      <c r="B3194" s="3928" t="s">
        <v>14</v>
      </c>
      <c r="C3194" s="3928" t="s">
        <v>4612</v>
      </c>
      <c r="D3194" s="3928" t="s">
        <v>4613</v>
      </c>
      <c r="E3194" s="3928" t="s">
        <v>4614</v>
      </c>
      <c r="F3194" s="3928" t="s">
        <v>2424</v>
      </c>
      <c r="G3194" s="3928" t="s">
        <v>24</v>
      </c>
      <c r="H3194" s="3928" t="s">
        <v>24</v>
      </c>
      <c r="I3194" s="3928" t="s">
        <v>912</v>
      </c>
    </row>
    <row r="3195" spans="1:9" ht="11.25" customHeight="1">
      <c r="A3195" s="3928" t="s">
        <v>2258</v>
      </c>
      <c r="B3195" s="3928" t="s">
        <v>14</v>
      </c>
      <c r="C3195" s="3928" t="s">
        <v>7301</v>
      </c>
      <c r="D3195" s="3928" t="s">
        <v>7302</v>
      </c>
      <c r="E3195" s="3928" t="s">
        <v>7303</v>
      </c>
      <c r="F3195" s="3928" t="s">
        <v>2552</v>
      </c>
      <c r="G3195" s="3928" t="s">
        <v>7304</v>
      </c>
      <c r="H3195" s="3928" t="s">
        <v>24</v>
      </c>
      <c r="I3195" s="3928" t="s">
        <v>912</v>
      </c>
    </row>
    <row r="3196" spans="1:9" ht="11.25" customHeight="1">
      <c r="A3196" s="3928" t="s">
        <v>2258</v>
      </c>
      <c r="B3196" s="3928" t="s">
        <v>14</v>
      </c>
      <c r="C3196" s="3928" t="s">
        <v>7305</v>
      </c>
      <c r="D3196" s="3928" t="s">
        <v>7306</v>
      </c>
      <c r="E3196" s="3928" t="s">
        <v>7307</v>
      </c>
      <c r="F3196" s="3928" t="s">
        <v>49</v>
      </c>
      <c r="G3196" s="3928" t="s">
        <v>7308</v>
      </c>
      <c r="H3196" s="3928" t="s">
        <v>24</v>
      </c>
      <c r="I3196" s="3928" t="s">
        <v>912</v>
      </c>
    </row>
    <row r="3197" spans="1:9" ht="11.25" customHeight="1">
      <c r="A3197" s="3928" t="s">
        <v>2258</v>
      </c>
      <c r="B3197" s="3928" t="s">
        <v>14</v>
      </c>
      <c r="C3197" s="3928" t="s">
        <v>4636</v>
      </c>
      <c r="D3197" s="3928" t="s">
        <v>4637</v>
      </c>
      <c r="E3197" s="3928" t="s">
        <v>4638</v>
      </c>
      <c r="F3197" s="3928" t="s">
        <v>2414</v>
      </c>
      <c r="G3197" s="3928" t="s">
        <v>4639</v>
      </c>
      <c r="H3197" s="3928" t="s">
        <v>24</v>
      </c>
      <c r="I3197" s="3928" t="s">
        <v>912</v>
      </c>
    </row>
    <row r="3198" spans="1:9" ht="11.25" customHeight="1">
      <c r="A3198" s="3928" t="s">
        <v>2258</v>
      </c>
      <c r="B3198" s="3928" t="s">
        <v>14</v>
      </c>
      <c r="C3198" s="3928" t="s">
        <v>4650</v>
      </c>
      <c r="D3198" s="3928" t="s">
        <v>4651</v>
      </c>
      <c r="E3198" s="3928" t="s">
        <v>4652</v>
      </c>
      <c r="F3198" s="3928" t="s">
        <v>2486</v>
      </c>
      <c r="G3198" s="3928" t="s">
        <v>24</v>
      </c>
      <c r="H3198" s="3928" t="s">
        <v>24</v>
      </c>
      <c r="I3198" s="3928" t="s">
        <v>912</v>
      </c>
    </row>
    <row r="3199" spans="1:9" ht="11.25" customHeight="1">
      <c r="A3199" s="3928" t="s">
        <v>2258</v>
      </c>
      <c r="B3199" s="3928" t="s">
        <v>14</v>
      </c>
      <c r="C3199" s="3928" t="s">
        <v>4653</v>
      </c>
      <c r="D3199" s="3928" t="s">
        <v>4654</v>
      </c>
      <c r="E3199" s="3928" t="s">
        <v>4655</v>
      </c>
      <c r="F3199" s="3928" t="s">
        <v>2638</v>
      </c>
      <c r="G3199" s="3928" t="s">
        <v>24</v>
      </c>
      <c r="H3199" s="3928" t="s">
        <v>3168</v>
      </c>
      <c r="I3199" s="3928" t="s">
        <v>912</v>
      </c>
    </row>
    <row r="3200" spans="1:9" ht="11.25" customHeight="1">
      <c r="A3200" s="3928" t="s">
        <v>2258</v>
      </c>
      <c r="B3200" s="3928" t="s">
        <v>14</v>
      </c>
      <c r="C3200" s="3928" t="s">
        <v>8104</v>
      </c>
      <c r="D3200" s="3928" t="s">
        <v>7314</v>
      </c>
      <c r="E3200" s="3928" t="s">
        <v>8105</v>
      </c>
      <c r="F3200" s="3928" t="s">
        <v>2304</v>
      </c>
      <c r="G3200" s="3928" t="s">
        <v>8106</v>
      </c>
      <c r="H3200" s="3928" t="s">
        <v>24</v>
      </c>
      <c r="I3200" s="3928" t="s">
        <v>912</v>
      </c>
    </row>
    <row r="3201" spans="1:9" ht="11.25" customHeight="1">
      <c r="A3201" s="3928" t="s">
        <v>2258</v>
      </c>
      <c r="B3201" s="3928" t="s">
        <v>14</v>
      </c>
      <c r="C3201" s="3928" t="s">
        <v>4664</v>
      </c>
      <c r="D3201" s="3928" t="s">
        <v>4665</v>
      </c>
      <c r="E3201" s="3928" t="s">
        <v>4666</v>
      </c>
      <c r="F3201" s="3928" t="s">
        <v>2294</v>
      </c>
      <c r="G3201" s="3928" t="s">
        <v>4667</v>
      </c>
      <c r="H3201" s="3928" t="s">
        <v>2475</v>
      </c>
      <c r="I3201" s="3928" t="s">
        <v>912</v>
      </c>
    </row>
    <row r="3202" spans="1:9" ht="11.25" customHeight="1">
      <c r="A3202" s="3928" t="s">
        <v>2258</v>
      </c>
      <c r="B3202" s="3928" t="s">
        <v>14</v>
      </c>
      <c r="C3202" s="3928" t="s">
        <v>4676</v>
      </c>
      <c r="D3202" s="3928" t="s">
        <v>4677</v>
      </c>
      <c r="E3202" s="3928" t="s">
        <v>4678</v>
      </c>
      <c r="F3202" s="3928" t="s">
        <v>2513</v>
      </c>
      <c r="G3202" s="3928" t="s">
        <v>24</v>
      </c>
      <c r="H3202" s="3928" t="s">
        <v>2263</v>
      </c>
      <c r="I3202" s="3928" t="s">
        <v>912</v>
      </c>
    </row>
    <row r="3203" spans="1:9" ht="11.25" customHeight="1">
      <c r="A3203" s="3928" t="s">
        <v>2258</v>
      </c>
      <c r="B3203" s="3928" t="s">
        <v>14</v>
      </c>
      <c r="C3203" s="3928" t="s">
        <v>7316</v>
      </c>
      <c r="D3203" s="3928" t="s">
        <v>7317</v>
      </c>
      <c r="E3203" s="3928" t="s">
        <v>7318</v>
      </c>
      <c r="F3203" s="3928" t="s">
        <v>2409</v>
      </c>
      <c r="G3203" s="3928" t="s">
        <v>24</v>
      </c>
      <c r="H3203" s="3928" t="s">
        <v>24</v>
      </c>
      <c r="I3203" s="3928" t="s">
        <v>912</v>
      </c>
    </row>
    <row r="3204" spans="1:9" ht="11.25" customHeight="1">
      <c r="A3204" s="3928" t="s">
        <v>2258</v>
      </c>
      <c r="B3204" s="3928" t="s">
        <v>14</v>
      </c>
      <c r="C3204" s="3928" t="s">
        <v>7319</v>
      </c>
      <c r="D3204" s="3928" t="s">
        <v>7320</v>
      </c>
      <c r="E3204" s="3928" t="s">
        <v>7321</v>
      </c>
      <c r="F3204" s="3928" t="s">
        <v>7322</v>
      </c>
      <c r="G3204" s="3928" t="s">
        <v>7323</v>
      </c>
      <c r="H3204" s="3928" t="s">
        <v>24</v>
      </c>
      <c r="I3204" s="3928" t="s">
        <v>912</v>
      </c>
    </row>
    <row r="3205" spans="1:9" ht="11.25" customHeight="1">
      <c r="A3205" s="3928" t="s">
        <v>2258</v>
      </c>
      <c r="B3205" s="3928" t="s">
        <v>14</v>
      </c>
      <c r="C3205" s="3928" t="s">
        <v>4679</v>
      </c>
      <c r="D3205" s="3928" t="s">
        <v>4680</v>
      </c>
      <c r="E3205" s="3928" t="s">
        <v>4681</v>
      </c>
      <c r="F3205" s="3928" t="s">
        <v>2675</v>
      </c>
      <c r="G3205" s="3928" t="s">
        <v>4682</v>
      </c>
      <c r="H3205" s="3928" t="s">
        <v>24</v>
      </c>
      <c r="I3205" s="3928" t="s">
        <v>912</v>
      </c>
    </row>
    <row r="3206" spans="1:9" ht="11.25" customHeight="1">
      <c r="A3206" s="3928" t="s">
        <v>2258</v>
      </c>
      <c r="B3206" s="3928" t="s">
        <v>14</v>
      </c>
      <c r="C3206" s="3928" t="s">
        <v>4686</v>
      </c>
      <c r="D3206" s="3928" t="s">
        <v>4687</v>
      </c>
      <c r="E3206" s="3928" t="s">
        <v>4688</v>
      </c>
      <c r="F3206" s="3928" t="s">
        <v>2289</v>
      </c>
      <c r="G3206" s="3928" t="s">
        <v>4689</v>
      </c>
      <c r="H3206" s="3928" t="s">
        <v>24</v>
      </c>
      <c r="I3206" s="3928" t="s">
        <v>912</v>
      </c>
    </row>
    <row r="3207" spans="1:9" ht="11.25" customHeight="1">
      <c r="A3207" s="3928" t="s">
        <v>2258</v>
      </c>
      <c r="B3207" s="3928" t="s">
        <v>14</v>
      </c>
      <c r="C3207" s="3928" t="s">
        <v>7324</v>
      </c>
      <c r="D3207" s="3928" t="s">
        <v>7325</v>
      </c>
      <c r="E3207" s="3928" t="s">
        <v>7326</v>
      </c>
      <c r="F3207" s="3928" t="s">
        <v>2344</v>
      </c>
      <c r="G3207" s="3928" t="s">
        <v>7327</v>
      </c>
      <c r="H3207" s="3928" t="s">
        <v>24</v>
      </c>
      <c r="I3207" s="3928" t="s">
        <v>912</v>
      </c>
    </row>
    <row r="3208" spans="1:9" ht="11.25" customHeight="1">
      <c r="A3208" s="3928" t="s">
        <v>2258</v>
      </c>
      <c r="B3208" s="3928" t="s">
        <v>14</v>
      </c>
      <c r="C3208" s="3928" t="s">
        <v>7328</v>
      </c>
      <c r="D3208" s="3928" t="s">
        <v>7329</v>
      </c>
      <c r="E3208" s="3928" t="s">
        <v>7330</v>
      </c>
      <c r="F3208" s="3928" t="s">
        <v>2638</v>
      </c>
      <c r="G3208" s="3928" t="s">
        <v>24</v>
      </c>
      <c r="H3208" s="3928" t="s">
        <v>24</v>
      </c>
      <c r="I3208" s="3928" t="s">
        <v>912</v>
      </c>
    </row>
    <row r="3209" spans="1:9" ht="11.25" customHeight="1">
      <c r="A3209" s="3928" t="s">
        <v>2258</v>
      </c>
      <c r="B3209" s="3928" t="s">
        <v>14</v>
      </c>
      <c r="C3209" s="3928" t="s">
        <v>7331</v>
      </c>
      <c r="D3209" s="3928" t="s">
        <v>7332</v>
      </c>
      <c r="E3209" s="3928" t="s">
        <v>7333</v>
      </c>
      <c r="F3209" s="3928" t="s">
        <v>2587</v>
      </c>
      <c r="G3209" s="3928" t="s">
        <v>7334</v>
      </c>
      <c r="H3209" s="3928" t="s">
        <v>7335</v>
      </c>
      <c r="I3209" s="3928" t="s">
        <v>912</v>
      </c>
    </row>
    <row r="3210" spans="1:9" ht="11.25" customHeight="1">
      <c r="A3210" s="3928" t="s">
        <v>2258</v>
      </c>
      <c r="B3210" s="3928" t="s">
        <v>14</v>
      </c>
      <c r="C3210" s="3928" t="s">
        <v>4701</v>
      </c>
      <c r="D3210" s="3928" t="s">
        <v>4702</v>
      </c>
      <c r="E3210" s="3928" t="s">
        <v>4703</v>
      </c>
      <c r="F3210" s="3928" t="s">
        <v>49</v>
      </c>
      <c r="G3210" s="3928" t="s">
        <v>4704</v>
      </c>
      <c r="H3210" s="3928" t="s">
        <v>24</v>
      </c>
      <c r="I3210" s="3928" t="s">
        <v>912</v>
      </c>
    </row>
    <row r="3211" spans="1:9" ht="11.25" customHeight="1">
      <c r="A3211" s="3928" t="s">
        <v>2258</v>
      </c>
      <c r="B3211" s="3928" t="s">
        <v>14</v>
      </c>
      <c r="C3211" s="3928" t="s">
        <v>7336</v>
      </c>
      <c r="D3211" s="3928" t="s">
        <v>7337</v>
      </c>
      <c r="E3211" s="3928" t="s">
        <v>7338</v>
      </c>
      <c r="F3211" s="3928" t="s">
        <v>3509</v>
      </c>
      <c r="G3211" s="3928" t="s">
        <v>24</v>
      </c>
      <c r="H3211" s="3928" t="s">
        <v>7339</v>
      </c>
      <c r="I3211" s="3928" t="s">
        <v>912</v>
      </c>
    </row>
    <row r="3212" spans="1:9" ht="11.25" customHeight="1">
      <c r="A3212" s="3928" t="s">
        <v>2258</v>
      </c>
      <c r="B3212" s="3928" t="s">
        <v>14</v>
      </c>
      <c r="C3212" s="3928" t="s">
        <v>7340</v>
      </c>
      <c r="D3212" s="3928" t="s">
        <v>7341</v>
      </c>
      <c r="E3212" s="3928" t="s">
        <v>7342</v>
      </c>
      <c r="F3212" s="3928" t="s">
        <v>2262</v>
      </c>
      <c r="G3212" s="3928" t="s">
        <v>24</v>
      </c>
      <c r="H3212" s="3928" t="s">
        <v>7343</v>
      </c>
      <c r="I3212" s="3928" t="s">
        <v>912</v>
      </c>
    </row>
    <row r="3213" spans="1:9" ht="11.25" customHeight="1">
      <c r="A3213" s="3928" t="s">
        <v>2258</v>
      </c>
      <c r="B3213" s="3928" t="s">
        <v>14</v>
      </c>
      <c r="C3213" s="3928" t="s">
        <v>4708</v>
      </c>
      <c r="D3213" s="3928" t="s">
        <v>4709</v>
      </c>
      <c r="E3213" s="3928" t="s">
        <v>4710</v>
      </c>
      <c r="F3213" s="3928" t="s">
        <v>2771</v>
      </c>
      <c r="G3213" s="3928" t="s">
        <v>24</v>
      </c>
      <c r="H3213" s="3928" t="s">
        <v>24</v>
      </c>
      <c r="I3213" s="3928" t="s">
        <v>912</v>
      </c>
    </row>
    <row r="3214" spans="1:9" ht="11.25" customHeight="1">
      <c r="A3214" s="3928" t="s">
        <v>2258</v>
      </c>
      <c r="B3214" s="3928" t="s">
        <v>14</v>
      </c>
      <c r="C3214" s="3928" t="s">
        <v>4711</v>
      </c>
      <c r="D3214" s="3928" t="s">
        <v>4712</v>
      </c>
      <c r="E3214" s="3928" t="s">
        <v>4713</v>
      </c>
      <c r="F3214" s="3928" t="s">
        <v>2473</v>
      </c>
      <c r="G3214" s="3928" t="s">
        <v>24</v>
      </c>
      <c r="H3214" s="3928" t="s">
        <v>3012</v>
      </c>
      <c r="I3214" s="3928" t="s">
        <v>912</v>
      </c>
    </row>
    <row r="3215" spans="1:9" ht="11.25" customHeight="1">
      <c r="A3215" s="3928" t="s">
        <v>2258</v>
      </c>
      <c r="B3215" s="3928" t="s">
        <v>14</v>
      </c>
      <c r="C3215" s="3928" t="s">
        <v>7344</v>
      </c>
      <c r="D3215" s="3928" t="s">
        <v>7345</v>
      </c>
      <c r="E3215" s="3928" t="s">
        <v>7346</v>
      </c>
      <c r="F3215" s="3928" t="s">
        <v>2552</v>
      </c>
      <c r="G3215" s="3928" t="s">
        <v>7347</v>
      </c>
      <c r="H3215" s="3928" t="s">
        <v>2263</v>
      </c>
      <c r="I3215" s="3928" t="s">
        <v>912</v>
      </c>
    </row>
    <row r="3216" spans="1:9" ht="11.25" customHeight="1">
      <c r="A3216" s="3928" t="s">
        <v>2258</v>
      </c>
      <c r="B3216" s="3928" t="s">
        <v>14</v>
      </c>
      <c r="C3216" s="3928" t="s">
        <v>7348</v>
      </c>
      <c r="D3216" s="3928" t="s">
        <v>7345</v>
      </c>
      <c r="E3216" s="3928" t="s">
        <v>7346</v>
      </c>
      <c r="F3216" s="3928" t="s">
        <v>7349</v>
      </c>
      <c r="G3216" s="3928" t="s">
        <v>7347</v>
      </c>
      <c r="H3216" s="3928" t="s">
        <v>24</v>
      </c>
      <c r="I3216" s="3928" t="s">
        <v>912</v>
      </c>
    </row>
    <row r="3217" spans="1:9" ht="11.25" customHeight="1">
      <c r="A3217" s="3928" t="s">
        <v>2258</v>
      </c>
      <c r="B3217" s="3928" t="s">
        <v>14</v>
      </c>
      <c r="C3217" s="3928" t="s">
        <v>7350</v>
      </c>
      <c r="D3217" s="3928" t="s">
        <v>7351</v>
      </c>
      <c r="E3217" s="3928" t="s">
        <v>7352</v>
      </c>
      <c r="F3217" s="3928" t="s">
        <v>2289</v>
      </c>
      <c r="G3217" s="3928" t="s">
        <v>7353</v>
      </c>
      <c r="H3217" s="3928" t="s">
        <v>24</v>
      </c>
      <c r="I3217" s="3928" t="s">
        <v>912</v>
      </c>
    </row>
    <row r="3218" spans="1:9" ht="11.25" customHeight="1">
      <c r="A3218" s="3928" t="s">
        <v>2258</v>
      </c>
      <c r="B3218" s="3928" t="s">
        <v>14</v>
      </c>
      <c r="C3218" s="3928" t="s">
        <v>7358</v>
      </c>
      <c r="D3218" s="3928" t="s">
        <v>7359</v>
      </c>
      <c r="E3218" s="3928" t="s">
        <v>7360</v>
      </c>
      <c r="F3218" s="3928" t="s">
        <v>2289</v>
      </c>
      <c r="G3218" s="3928" t="s">
        <v>24</v>
      </c>
      <c r="H3218" s="3928" t="s">
        <v>24</v>
      </c>
      <c r="I3218" s="3928" t="s">
        <v>912</v>
      </c>
    </row>
    <row r="3219" spans="1:9" ht="11.25" customHeight="1">
      <c r="A3219" s="3928" t="s">
        <v>2258</v>
      </c>
      <c r="B3219" s="3928" t="s">
        <v>14</v>
      </c>
      <c r="C3219" s="3928" t="s">
        <v>4726</v>
      </c>
      <c r="D3219" s="3928" t="s">
        <v>4727</v>
      </c>
      <c r="E3219" s="3928" t="s">
        <v>4728</v>
      </c>
      <c r="F3219" s="3928" t="s">
        <v>2675</v>
      </c>
      <c r="G3219" s="3928" t="s">
        <v>24</v>
      </c>
      <c r="H3219" s="3928" t="s">
        <v>3068</v>
      </c>
      <c r="I3219" s="3928" t="s">
        <v>912</v>
      </c>
    </row>
    <row r="3220" spans="1:9" ht="11.25" customHeight="1">
      <c r="A3220" s="3928" t="s">
        <v>2258</v>
      </c>
      <c r="B3220" s="3928" t="s">
        <v>14</v>
      </c>
      <c r="C3220" s="3928" t="s">
        <v>4729</v>
      </c>
      <c r="D3220" s="3928" t="s">
        <v>4730</v>
      </c>
      <c r="E3220" s="3928" t="s">
        <v>4731</v>
      </c>
      <c r="F3220" s="3928" t="s">
        <v>2675</v>
      </c>
      <c r="G3220" s="3928" t="s">
        <v>4732</v>
      </c>
      <c r="H3220" s="3928" t="s">
        <v>24</v>
      </c>
      <c r="I3220" s="3928" t="s">
        <v>912</v>
      </c>
    </row>
    <row r="3221" spans="1:9" ht="11.25" customHeight="1">
      <c r="A3221" s="3928" t="s">
        <v>2258</v>
      </c>
      <c r="B3221" s="3928" t="s">
        <v>14</v>
      </c>
      <c r="C3221" s="3928" t="s">
        <v>7369</v>
      </c>
      <c r="D3221" s="3928" t="s">
        <v>7370</v>
      </c>
      <c r="E3221" s="3928" t="s">
        <v>7371</v>
      </c>
      <c r="F3221" s="3928" t="s">
        <v>2552</v>
      </c>
      <c r="G3221" s="3928" t="s">
        <v>24</v>
      </c>
      <c r="H3221" s="3928" t="s">
        <v>24</v>
      </c>
      <c r="I3221" s="3928" t="s">
        <v>912</v>
      </c>
    </row>
    <row r="3222" spans="1:9" ht="11.25" customHeight="1">
      <c r="A3222" s="3928" t="s">
        <v>2258</v>
      </c>
      <c r="B3222" s="3928" t="s">
        <v>14</v>
      </c>
      <c r="C3222" s="3928" t="s">
        <v>8107</v>
      </c>
      <c r="D3222" s="3928" t="s">
        <v>8108</v>
      </c>
      <c r="E3222" s="3928" t="s">
        <v>8109</v>
      </c>
      <c r="F3222" s="3928" t="s">
        <v>49</v>
      </c>
      <c r="G3222" s="3928" t="s">
        <v>24</v>
      </c>
      <c r="H3222" s="3928" t="s">
        <v>24</v>
      </c>
      <c r="I3222" s="3928" t="s">
        <v>912</v>
      </c>
    </row>
    <row r="3223" spans="1:9" ht="11.25" customHeight="1">
      <c r="A3223" s="3928" t="s">
        <v>2258</v>
      </c>
      <c r="B3223" s="3928" t="s">
        <v>14</v>
      </c>
      <c r="C3223" s="3928" t="s">
        <v>4741</v>
      </c>
      <c r="D3223" s="3928" t="s">
        <v>4742</v>
      </c>
      <c r="E3223" s="3928" t="s">
        <v>4743</v>
      </c>
      <c r="F3223" s="3928" t="s">
        <v>2638</v>
      </c>
      <c r="G3223" s="3928" t="s">
        <v>4744</v>
      </c>
      <c r="H3223" s="3928" t="s">
        <v>24</v>
      </c>
      <c r="I3223" s="3928" t="s">
        <v>912</v>
      </c>
    </row>
    <row r="3224" spans="1:9" ht="11.25" customHeight="1">
      <c r="A3224" s="3928" t="s">
        <v>2258</v>
      </c>
      <c r="B3224" s="3928" t="s">
        <v>14</v>
      </c>
      <c r="C3224" s="3928" t="s">
        <v>7372</v>
      </c>
      <c r="D3224" s="3928" t="s">
        <v>7373</v>
      </c>
      <c r="E3224" s="3928" t="s">
        <v>7374</v>
      </c>
      <c r="F3224" s="3928" t="s">
        <v>2325</v>
      </c>
      <c r="G3224" s="3928" t="s">
        <v>7375</v>
      </c>
      <c r="H3224" s="3928" t="s">
        <v>24</v>
      </c>
      <c r="I3224" s="3928" t="s">
        <v>912</v>
      </c>
    </row>
    <row r="3225" spans="1:9" ht="11.25" customHeight="1">
      <c r="A3225" s="3928" t="s">
        <v>2258</v>
      </c>
      <c r="B3225" s="3928" t="s">
        <v>14</v>
      </c>
      <c r="C3225" s="3928" t="s">
        <v>7376</v>
      </c>
      <c r="D3225" s="3928" t="s">
        <v>7377</v>
      </c>
      <c r="E3225" s="3928" t="s">
        <v>7378</v>
      </c>
      <c r="F3225" s="3928" t="s">
        <v>2262</v>
      </c>
      <c r="G3225" s="3928" t="s">
        <v>7379</v>
      </c>
      <c r="H3225" s="3928" t="s">
        <v>24</v>
      </c>
      <c r="I3225" s="3928" t="s">
        <v>912</v>
      </c>
    </row>
    <row r="3226" spans="1:9" ht="11.25" customHeight="1">
      <c r="A3226" s="3928" t="s">
        <v>2258</v>
      </c>
      <c r="B3226" s="3928" t="s">
        <v>14</v>
      </c>
      <c r="C3226" s="3928" t="s">
        <v>7380</v>
      </c>
      <c r="D3226" s="3928" t="s">
        <v>7381</v>
      </c>
      <c r="E3226" s="3928" t="s">
        <v>7382</v>
      </c>
      <c r="F3226" s="3928" t="s">
        <v>2294</v>
      </c>
      <c r="G3226" s="3928" t="s">
        <v>24</v>
      </c>
      <c r="H3226" s="3928" t="s">
        <v>24</v>
      </c>
      <c r="I3226" s="3928" t="s">
        <v>912</v>
      </c>
    </row>
    <row r="3227" spans="1:9" ht="11.25" customHeight="1">
      <c r="A3227" s="3928" t="s">
        <v>2258</v>
      </c>
      <c r="B3227" s="3928" t="s">
        <v>14</v>
      </c>
      <c r="C3227" s="3928" t="s">
        <v>7383</v>
      </c>
      <c r="D3227" s="3928" t="s">
        <v>7384</v>
      </c>
      <c r="E3227" s="3928" t="s">
        <v>7385</v>
      </c>
      <c r="F3227" s="3928" t="s">
        <v>2289</v>
      </c>
      <c r="G3227" s="3928" t="s">
        <v>24</v>
      </c>
      <c r="H3227" s="3928" t="s">
        <v>24</v>
      </c>
      <c r="I3227" s="3928" t="s">
        <v>912</v>
      </c>
    </row>
    <row r="3228" spans="1:9" ht="11.25" customHeight="1">
      <c r="A3228" s="3928" t="s">
        <v>2258</v>
      </c>
      <c r="B3228" s="3928" t="s">
        <v>14</v>
      </c>
      <c r="C3228" s="3928" t="s">
        <v>4748</v>
      </c>
      <c r="D3228" s="3928" t="s">
        <v>4749</v>
      </c>
      <c r="E3228" s="3928" t="s">
        <v>4750</v>
      </c>
      <c r="F3228" s="3928" t="s">
        <v>2429</v>
      </c>
      <c r="G3228" s="3928" t="s">
        <v>24</v>
      </c>
      <c r="H3228" s="3928" t="s">
        <v>24</v>
      </c>
      <c r="I3228" s="3928" t="s">
        <v>912</v>
      </c>
    </row>
    <row r="3229" spans="1:9" ht="11.25" customHeight="1">
      <c r="A3229" s="3928" t="s">
        <v>2258</v>
      </c>
      <c r="B3229" s="3928" t="s">
        <v>14</v>
      </c>
      <c r="C3229" s="3928" t="s">
        <v>4751</v>
      </c>
      <c r="D3229" s="3928" t="s">
        <v>4752</v>
      </c>
      <c r="E3229" s="3928" t="s">
        <v>4753</v>
      </c>
      <c r="F3229" s="3928" t="s">
        <v>4754</v>
      </c>
      <c r="G3229" s="3928" t="s">
        <v>24</v>
      </c>
      <c r="H3229" s="3928" t="s">
        <v>24</v>
      </c>
      <c r="I3229" s="3928" t="s">
        <v>912</v>
      </c>
    </row>
    <row r="3230" spans="1:9" ht="11.25" customHeight="1">
      <c r="A3230" s="3928" t="s">
        <v>2258</v>
      </c>
      <c r="B3230" s="3928" t="s">
        <v>14</v>
      </c>
      <c r="C3230" s="3928" t="s">
        <v>4755</v>
      </c>
      <c r="D3230" s="3928" t="s">
        <v>4756</v>
      </c>
      <c r="E3230" s="3928" t="s">
        <v>4757</v>
      </c>
      <c r="F3230" s="3928" t="s">
        <v>2567</v>
      </c>
      <c r="G3230" s="3928" t="s">
        <v>24</v>
      </c>
      <c r="H3230" s="3928" t="s">
        <v>24</v>
      </c>
      <c r="I3230" s="3928" t="s">
        <v>912</v>
      </c>
    </row>
    <row r="3231" spans="1:9" ht="11.25" customHeight="1">
      <c r="A3231" s="3928" t="s">
        <v>2258</v>
      </c>
      <c r="B3231" s="3928" t="s">
        <v>14</v>
      </c>
      <c r="C3231" s="3928" t="s">
        <v>4771</v>
      </c>
      <c r="D3231" s="3928" t="s">
        <v>630</v>
      </c>
      <c r="E3231" s="3928" t="s">
        <v>4772</v>
      </c>
      <c r="F3231" s="3928" t="s">
        <v>2486</v>
      </c>
      <c r="G3231" s="3928" t="s">
        <v>3631</v>
      </c>
      <c r="H3231" s="3928" t="s">
        <v>24</v>
      </c>
      <c r="I3231" s="3928" t="s">
        <v>912</v>
      </c>
    </row>
    <row r="3232" spans="1:9" ht="11.25" customHeight="1">
      <c r="A3232" s="3928" t="s">
        <v>2258</v>
      </c>
      <c r="B3232" s="3928" t="s">
        <v>14</v>
      </c>
      <c r="C3232" s="3928" t="s">
        <v>4773</v>
      </c>
      <c r="D3232" s="3928" t="s">
        <v>4774</v>
      </c>
      <c r="E3232" s="3928" t="s">
        <v>4775</v>
      </c>
      <c r="F3232" s="3928" t="s">
        <v>2473</v>
      </c>
      <c r="G3232" s="3928" t="s">
        <v>4776</v>
      </c>
      <c r="H3232" s="3928" t="s">
        <v>24</v>
      </c>
      <c r="I3232" s="3928" t="s">
        <v>912</v>
      </c>
    </row>
    <row r="3233" spans="1:9" ht="11.25" customHeight="1">
      <c r="A3233" s="3928" t="s">
        <v>2258</v>
      </c>
      <c r="B3233" s="3928" t="s">
        <v>14</v>
      </c>
      <c r="C3233" s="3928" t="s">
        <v>7386</v>
      </c>
      <c r="D3233" s="3928" t="s">
        <v>7387</v>
      </c>
      <c r="E3233" s="3928" t="s">
        <v>7388</v>
      </c>
      <c r="F3233" s="3928" t="s">
        <v>2289</v>
      </c>
      <c r="G3233" s="3928" t="s">
        <v>7389</v>
      </c>
      <c r="H3233" s="3928" t="s">
        <v>24</v>
      </c>
      <c r="I3233" s="3928" t="s">
        <v>912</v>
      </c>
    </row>
    <row r="3234" spans="1:9" ht="11.25" customHeight="1">
      <c r="A3234" s="3928" t="s">
        <v>2258</v>
      </c>
      <c r="B3234" s="3928" t="s">
        <v>14</v>
      </c>
      <c r="C3234" s="3928" t="s">
        <v>7390</v>
      </c>
      <c r="D3234" s="3928" t="s">
        <v>7391</v>
      </c>
      <c r="E3234" s="3928" t="s">
        <v>7392</v>
      </c>
      <c r="F3234" s="3928" t="s">
        <v>49</v>
      </c>
      <c r="G3234" s="3928" t="s">
        <v>7393</v>
      </c>
      <c r="H3234" s="3928" t="s">
        <v>24</v>
      </c>
      <c r="I3234" s="3928" t="s">
        <v>912</v>
      </c>
    </row>
    <row r="3235" spans="1:9" ht="11.25" customHeight="1">
      <c r="A3235" s="3928" t="s">
        <v>2258</v>
      </c>
      <c r="B3235" s="3928" t="s">
        <v>14</v>
      </c>
      <c r="C3235" s="3928" t="s">
        <v>7394</v>
      </c>
      <c r="D3235" s="3928" t="s">
        <v>7395</v>
      </c>
      <c r="E3235" s="3928" t="s">
        <v>7396</v>
      </c>
      <c r="F3235" s="3928" t="s">
        <v>2414</v>
      </c>
      <c r="G3235" s="3928" t="s">
        <v>7397</v>
      </c>
      <c r="H3235" s="3928" t="s">
        <v>24</v>
      </c>
      <c r="I3235" s="3928" t="s">
        <v>912</v>
      </c>
    </row>
    <row r="3236" spans="1:9" ht="11.25" customHeight="1">
      <c r="A3236" s="3928" t="s">
        <v>2258</v>
      </c>
      <c r="B3236" s="3928" t="s">
        <v>14</v>
      </c>
      <c r="C3236" s="3928" t="s">
        <v>4796</v>
      </c>
      <c r="D3236" s="3928" t="s">
        <v>4797</v>
      </c>
      <c r="E3236" s="3928" t="s">
        <v>4798</v>
      </c>
      <c r="F3236" s="3928" t="s">
        <v>2535</v>
      </c>
      <c r="G3236" s="3928" t="s">
        <v>24</v>
      </c>
      <c r="H3236" s="3928" t="s">
        <v>2263</v>
      </c>
      <c r="I3236" s="3928" t="s">
        <v>912</v>
      </c>
    </row>
    <row r="3237" spans="1:9" ht="11.25" customHeight="1">
      <c r="A3237" s="3928" t="s">
        <v>2258</v>
      </c>
      <c r="B3237" s="3928" t="s">
        <v>14</v>
      </c>
      <c r="C3237" s="3928" t="s">
        <v>4803</v>
      </c>
      <c r="D3237" s="3928" t="s">
        <v>4804</v>
      </c>
      <c r="E3237" s="3928" t="s">
        <v>4805</v>
      </c>
      <c r="F3237" s="3928" t="s">
        <v>49</v>
      </c>
      <c r="G3237" s="3928" t="s">
        <v>4806</v>
      </c>
      <c r="H3237" s="3928" t="s">
        <v>2263</v>
      </c>
      <c r="I3237" s="3928" t="s">
        <v>912</v>
      </c>
    </row>
    <row r="3238" spans="1:9" ht="11.25" customHeight="1">
      <c r="A3238" s="3928" t="s">
        <v>2258</v>
      </c>
      <c r="B3238" s="3928" t="s">
        <v>14</v>
      </c>
      <c r="C3238" s="3928" t="s">
        <v>7405</v>
      </c>
      <c r="D3238" s="3928" t="s">
        <v>7406</v>
      </c>
      <c r="E3238" s="3928" t="s">
        <v>7407</v>
      </c>
      <c r="F3238" s="3928" t="s">
        <v>2294</v>
      </c>
      <c r="G3238" s="3928" t="s">
        <v>7408</v>
      </c>
      <c r="H3238" s="3928" t="s">
        <v>24</v>
      </c>
      <c r="I3238" s="3928" t="s">
        <v>912</v>
      </c>
    </row>
    <row r="3239" spans="1:9" ht="11.25" customHeight="1">
      <c r="A3239" s="3928" t="s">
        <v>2258</v>
      </c>
      <c r="B3239" s="3928" t="s">
        <v>14</v>
      </c>
      <c r="C3239" s="3928" t="s">
        <v>7409</v>
      </c>
      <c r="D3239" s="3928" t="s">
        <v>7410</v>
      </c>
      <c r="E3239" s="3928" t="s">
        <v>7411</v>
      </c>
      <c r="F3239" s="3928" t="s">
        <v>2294</v>
      </c>
      <c r="G3239" s="3928" t="s">
        <v>7412</v>
      </c>
      <c r="H3239" s="3928" t="s">
        <v>24</v>
      </c>
      <c r="I3239" s="3928" t="s">
        <v>912</v>
      </c>
    </row>
    <row r="3240" spans="1:9" ht="11.25" customHeight="1">
      <c r="A3240" s="3928" t="s">
        <v>2258</v>
      </c>
      <c r="B3240" s="3928" t="s">
        <v>14</v>
      </c>
      <c r="C3240" s="3928" t="s">
        <v>7413</v>
      </c>
      <c r="D3240" s="3928" t="s">
        <v>7414</v>
      </c>
      <c r="E3240" s="3928" t="s">
        <v>7415</v>
      </c>
      <c r="F3240" s="3928" t="s">
        <v>49</v>
      </c>
      <c r="G3240" s="3928" t="s">
        <v>24</v>
      </c>
      <c r="H3240" s="3928" t="s">
        <v>24</v>
      </c>
      <c r="I3240" s="3928" t="s">
        <v>912</v>
      </c>
    </row>
    <row r="3241" spans="1:9" ht="11.25" customHeight="1">
      <c r="A3241" s="3928" t="s">
        <v>2258</v>
      </c>
      <c r="B3241" s="3928" t="s">
        <v>14</v>
      </c>
      <c r="C3241" s="3928" t="s">
        <v>6417</v>
      </c>
      <c r="D3241" s="3928" t="s">
        <v>6418</v>
      </c>
      <c r="E3241" s="3928" t="s">
        <v>6419</v>
      </c>
      <c r="F3241" s="3928" t="s">
        <v>2344</v>
      </c>
      <c r="G3241" s="3928" t="s">
        <v>6420</v>
      </c>
      <c r="H3241" s="3928" t="s">
        <v>24</v>
      </c>
      <c r="I3241" s="3928" t="s">
        <v>912</v>
      </c>
    </row>
    <row r="3242" spans="1:9" ht="11.25" customHeight="1">
      <c r="A3242" s="3928" t="s">
        <v>2258</v>
      </c>
      <c r="B3242" s="3928" t="s">
        <v>14</v>
      </c>
      <c r="C3242" s="3928" t="s">
        <v>8110</v>
      </c>
      <c r="D3242" s="3928" t="s">
        <v>8111</v>
      </c>
      <c r="E3242" s="3928" t="s">
        <v>8112</v>
      </c>
      <c r="F3242" s="3928" t="s">
        <v>2409</v>
      </c>
      <c r="G3242" s="3928" t="s">
        <v>7429</v>
      </c>
      <c r="H3242" s="3928" t="s">
        <v>24</v>
      </c>
      <c r="I3242" s="3928" t="s">
        <v>912</v>
      </c>
    </row>
    <row r="3243" spans="1:9" ht="11.25" customHeight="1">
      <c r="A3243" s="3928" t="s">
        <v>2258</v>
      </c>
      <c r="B3243" s="3928" t="s">
        <v>14</v>
      </c>
      <c r="C3243" s="3928" t="s">
        <v>8113</v>
      </c>
      <c r="D3243" s="3928" t="s">
        <v>8114</v>
      </c>
      <c r="E3243" s="3928" t="s">
        <v>8115</v>
      </c>
      <c r="F3243" s="3928" t="s">
        <v>2289</v>
      </c>
      <c r="G3243" s="3928" t="s">
        <v>24</v>
      </c>
      <c r="H3243" s="3928" t="s">
        <v>24</v>
      </c>
      <c r="I3243" s="3928" t="s">
        <v>912</v>
      </c>
    </row>
    <row r="3244" spans="1:9" ht="11.25" customHeight="1">
      <c r="A3244" s="3928" t="s">
        <v>2258</v>
      </c>
      <c r="B3244" s="3928" t="s">
        <v>14</v>
      </c>
      <c r="C3244" s="3928" t="s">
        <v>4836</v>
      </c>
      <c r="D3244" s="3928" t="s">
        <v>4837</v>
      </c>
      <c r="E3244" s="3928" t="s">
        <v>4838</v>
      </c>
      <c r="F3244" s="3928" t="s">
        <v>4839</v>
      </c>
      <c r="G3244" s="3928" t="s">
        <v>4840</v>
      </c>
      <c r="H3244" s="3928" t="s">
        <v>24</v>
      </c>
      <c r="I3244" s="3928" t="s">
        <v>912</v>
      </c>
    </row>
    <row r="3245" spans="1:9" ht="11.25" customHeight="1">
      <c r="A3245" s="3928" t="s">
        <v>2258</v>
      </c>
      <c r="B3245" s="3928" t="s">
        <v>14</v>
      </c>
      <c r="C3245" s="3928" t="s">
        <v>4852</v>
      </c>
      <c r="D3245" s="3928" t="s">
        <v>4853</v>
      </c>
      <c r="E3245" s="3928" t="s">
        <v>4854</v>
      </c>
      <c r="F3245" s="3928" t="s">
        <v>2552</v>
      </c>
      <c r="G3245" s="3928" t="s">
        <v>4855</v>
      </c>
      <c r="H3245" s="3928" t="s">
        <v>24</v>
      </c>
      <c r="I3245" s="3928" t="s">
        <v>912</v>
      </c>
    </row>
    <row r="3246" spans="1:9" ht="11.25" customHeight="1">
      <c r="A3246" s="3928" t="s">
        <v>2258</v>
      </c>
      <c r="B3246" s="3928" t="s">
        <v>14</v>
      </c>
      <c r="C3246" s="3928" t="s">
        <v>7416</v>
      </c>
      <c r="D3246" s="3928" t="s">
        <v>7417</v>
      </c>
      <c r="E3246" s="3928" t="s">
        <v>7418</v>
      </c>
      <c r="F3246" s="3928" t="s">
        <v>2262</v>
      </c>
      <c r="G3246" s="3928" t="s">
        <v>24</v>
      </c>
      <c r="H3246" s="3928" t="s">
        <v>24</v>
      </c>
      <c r="I3246" s="3928" t="s">
        <v>912</v>
      </c>
    </row>
    <row r="3247" spans="1:9" ht="11.25" customHeight="1">
      <c r="A3247" s="3928" t="s">
        <v>2258</v>
      </c>
      <c r="B3247" s="3928" t="s">
        <v>14</v>
      </c>
      <c r="C3247" s="3928" t="s">
        <v>7419</v>
      </c>
      <c r="D3247" s="3928" t="s">
        <v>7420</v>
      </c>
      <c r="E3247" s="3928" t="s">
        <v>7421</v>
      </c>
      <c r="F3247" s="3928" t="s">
        <v>4792</v>
      </c>
      <c r="G3247" s="3928" t="s">
        <v>7422</v>
      </c>
      <c r="H3247" s="3928" t="s">
        <v>24</v>
      </c>
      <c r="I3247" s="3928" t="s">
        <v>912</v>
      </c>
    </row>
    <row r="3248" spans="1:9" ht="11.25" customHeight="1">
      <c r="A3248" s="3928" t="s">
        <v>2258</v>
      </c>
      <c r="B3248" s="3928" t="s">
        <v>14</v>
      </c>
      <c r="C3248" s="3928" t="s">
        <v>4873</v>
      </c>
      <c r="D3248" s="3928" t="s">
        <v>4874</v>
      </c>
      <c r="E3248" s="3928" t="s">
        <v>4875</v>
      </c>
      <c r="F3248" s="3928" t="s">
        <v>2294</v>
      </c>
      <c r="G3248" s="3928" t="s">
        <v>4876</v>
      </c>
      <c r="H3248" s="3928" t="s">
        <v>4877</v>
      </c>
      <c r="I3248" s="3928" t="s">
        <v>912</v>
      </c>
    </row>
    <row r="3249" spans="1:9" ht="11.25" customHeight="1">
      <c r="A3249" s="3928" t="s">
        <v>2258</v>
      </c>
      <c r="B3249" s="3928" t="s">
        <v>14</v>
      </c>
      <c r="C3249" s="3928" t="s">
        <v>4881</v>
      </c>
      <c r="D3249" s="3928" t="s">
        <v>4882</v>
      </c>
      <c r="E3249" s="3928" t="s">
        <v>4883</v>
      </c>
      <c r="F3249" s="3928" t="s">
        <v>2414</v>
      </c>
      <c r="G3249" s="3928" t="s">
        <v>24</v>
      </c>
      <c r="H3249" s="3928" t="s">
        <v>2945</v>
      </c>
      <c r="I3249" s="3928" t="s">
        <v>912</v>
      </c>
    </row>
    <row r="3250" spans="1:9" ht="11.25" customHeight="1">
      <c r="A3250" s="3928" t="s">
        <v>2258</v>
      </c>
      <c r="B3250" s="3928" t="s">
        <v>14</v>
      </c>
      <c r="C3250" s="3928" t="s">
        <v>4884</v>
      </c>
      <c r="D3250" s="3928" t="s">
        <v>4882</v>
      </c>
      <c r="E3250" s="3928" t="s">
        <v>4885</v>
      </c>
      <c r="F3250" s="3928" t="s">
        <v>2414</v>
      </c>
      <c r="G3250" s="3928" t="s">
        <v>4886</v>
      </c>
      <c r="H3250" s="3928" t="s">
        <v>24</v>
      </c>
      <c r="I3250" s="3928" t="s">
        <v>912</v>
      </c>
    </row>
    <row r="3251" spans="1:9" ht="11.25" customHeight="1">
      <c r="A3251" s="3928" t="s">
        <v>2258</v>
      </c>
      <c r="B3251" s="3928" t="s">
        <v>14</v>
      </c>
      <c r="C3251" s="3928" t="s">
        <v>7423</v>
      </c>
      <c r="D3251" s="3928" t="s">
        <v>7424</v>
      </c>
      <c r="E3251" s="3928" t="s">
        <v>7425</v>
      </c>
      <c r="F3251" s="3928" t="s">
        <v>2294</v>
      </c>
      <c r="G3251" s="3928" t="s">
        <v>24</v>
      </c>
      <c r="H3251" s="3928" t="s">
        <v>24</v>
      </c>
      <c r="I3251" s="3928" t="s">
        <v>912</v>
      </c>
    </row>
    <row r="3252" spans="1:9" ht="11.25" customHeight="1">
      <c r="A3252" s="3928" t="s">
        <v>2258</v>
      </c>
      <c r="B3252" s="3928" t="s">
        <v>14</v>
      </c>
      <c r="C3252" s="3928" t="s">
        <v>6421</v>
      </c>
      <c r="D3252" s="3928" t="s">
        <v>6422</v>
      </c>
      <c r="E3252" s="3928" t="s">
        <v>6423</v>
      </c>
      <c r="F3252" s="3928" t="s">
        <v>2289</v>
      </c>
      <c r="G3252" s="3928" t="s">
        <v>6424</v>
      </c>
      <c r="H3252" s="3928" t="s">
        <v>24</v>
      </c>
      <c r="I3252" s="3928" t="s">
        <v>912</v>
      </c>
    </row>
    <row r="3253" spans="1:9" ht="11.25" customHeight="1">
      <c r="A3253" s="3928" t="s">
        <v>2258</v>
      </c>
      <c r="B3253" s="3928" t="s">
        <v>14</v>
      </c>
      <c r="C3253" s="3928" t="s">
        <v>8116</v>
      </c>
      <c r="D3253" s="3928" t="s">
        <v>8117</v>
      </c>
      <c r="E3253" s="3928" t="s">
        <v>8118</v>
      </c>
      <c r="F3253" s="3928" t="s">
        <v>8119</v>
      </c>
      <c r="G3253" s="3928" t="s">
        <v>24</v>
      </c>
      <c r="H3253" s="3928" t="s">
        <v>24</v>
      </c>
      <c r="I3253" s="3928" t="s">
        <v>912</v>
      </c>
    </row>
    <row r="3254" spans="1:9" ht="11.25" customHeight="1">
      <c r="A3254" s="3928" t="s">
        <v>2258</v>
      </c>
      <c r="B3254" s="3928" t="s">
        <v>14</v>
      </c>
      <c r="C3254" s="3928" t="s">
        <v>6425</v>
      </c>
      <c r="D3254" s="3928" t="s">
        <v>6426</v>
      </c>
      <c r="E3254" s="3928" t="s">
        <v>6427</v>
      </c>
      <c r="F3254" s="3928" t="s">
        <v>2451</v>
      </c>
      <c r="G3254" s="3928" t="s">
        <v>24</v>
      </c>
      <c r="H3254" s="3928" t="s">
        <v>2475</v>
      </c>
      <c r="I3254" s="3928" t="s">
        <v>912</v>
      </c>
    </row>
    <row r="3255" spans="1:9" ht="11.25" customHeight="1">
      <c r="A3255" s="3928" t="s">
        <v>2258</v>
      </c>
      <c r="B3255" s="3928" t="s">
        <v>14</v>
      </c>
      <c r="C3255" s="3928" t="s">
        <v>4898</v>
      </c>
      <c r="D3255" s="3928" t="s">
        <v>4899</v>
      </c>
      <c r="E3255" s="3928" t="s">
        <v>4900</v>
      </c>
      <c r="F3255" s="3928" t="s">
        <v>2397</v>
      </c>
      <c r="G3255" s="3928" t="s">
        <v>24</v>
      </c>
      <c r="H3255" s="3928" t="s">
        <v>3068</v>
      </c>
      <c r="I3255" s="3928" t="s">
        <v>912</v>
      </c>
    </row>
    <row r="3256" spans="1:9" ht="11.25" customHeight="1">
      <c r="A3256" s="3928" t="s">
        <v>2258</v>
      </c>
      <c r="B3256" s="3928" t="s">
        <v>14</v>
      </c>
      <c r="C3256" s="3928" t="s">
        <v>7430</v>
      </c>
      <c r="D3256" s="3928" t="s">
        <v>7431</v>
      </c>
      <c r="E3256" s="3928" t="s">
        <v>7432</v>
      </c>
      <c r="F3256" s="3928" t="s">
        <v>2289</v>
      </c>
      <c r="G3256" s="3928" t="s">
        <v>24</v>
      </c>
      <c r="H3256" s="3928" t="s">
        <v>24</v>
      </c>
      <c r="I3256" s="3928" t="s">
        <v>912</v>
      </c>
    </row>
    <row r="3257" spans="1:9" ht="11.25" customHeight="1">
      <c r="A3257" s="3928" t="s">
        <v>2258</v>
      </c>
      <c r="B3257" s="3928" t="s">
        <v>14</v>
      </c>
      <c r="C3257" s="3928" t="s">
        <v>7436</v>
      </c>
      <c r="D3257" s="3928" t="s">
        <v>7437</v>
      </c>
      <c r="E3257" s="3928" t="s">
        <v>7438</v>
      </c>
      <c r="F3257" s="3928" t="s">
        <v>2397</v>
      </c>
      <c r="G3257" s="3928" t="s">
        <v>6567</v>
      </c>
      <c r="H3257" s="3928" t="s">
        <v>24</v>
      </c>
      <c r="I3257" s="3928" t="s">
        <v>912</v>
      </c>
    </row>
    <row r="3258" spans="1:9" ht="11.25" customHeight="1">
      <c r="A3258" s="3928" t="s">
        <v>2258</v>
      </c>
      <c r="B3258" s="3928" t="s">
        <v>14</v>
      </c>
      <c r="C3258" s="3928" t="s">
        <v>7439</v>
      </c>
      <c r="D3258" s="3928" t="s">
        <v>7440</v>
      </c>
      <c r="E3258" s="3928" t="s">
        <v>7441</v>
      </c>
      <c r="F3258" s="3928" t="s">
        <v>2464</v>
      </c>
      <c r="G3258" s="3928" t="s">
        <v>24</v>
      </c>
      <c r="H3258" s="3928" t="s">
        <v>24</v>
      </c>
      <c r="I3258" s="3928" t="s">
        <v>912</v>
      </c>
    </row>
    <row r="3259" spans="1:9" ht="11.25" customHeight="1">
      <c r="A3259" s="3928" t="s">
        <v>2258</v>
      </c>
      <c r="B3259" s="3928" t="s">
        <v>14</v>
      </c>
      <c r="C3259" s="3928" t="s">
        <v>4919</v>
      </c>
      <c r="D3259" s="3928" t="s">
        <v>4920</v>
      </c>
      <c r="E3259" s="3928" t="s">
        <v>4921</v>
      </c>
      <c r="F3259" s="3928" t="s">
        <v>2375</v>
      </c>
      <c r="G3259" s="3928" t="s">
        <v>2443</v>
      </c>
      <c r="H3259" s="3928" t="s">
        <v>24</v>
      </c>
      <c r="I3259" s="3928" t="s">
        <v>912</v>
      </c>
    </row>
    <row r="3260" spans="1:9" ht="11.25" customHeight="1">
      <c r="A3260" s="3928" t="s">
        <v>2258</v>
      </c>
      <c r="B3260" s="3928" t="s">
        <v>14</v>
      </c>
      <c r="C3260" s="3928" t="s">
        <v>7442</v>
      </c>
      <c r="D3260" s="3928" t="s">
        <v>7443</v>
      </c>
      <c r="E3260" s="3928" t="s">
        <v>7444</v>
      </c>
      <c r="F3260" s="3928" t="s">
        <v>2289</v>
      </c>
      <c r="G3260" s="3928" t="s">
        <v>7445</v>
      </c>
      <c r="H3260" s="3928" t="s">
        <v>24</v>
      </c>
      <c r="I3260" s="3928" t="s">
        <v>912</v>
      </c>
    </row>
    <row r="3261" spans="1:9" ht="11.25" customHeight="1">
      <c r="A3261" s="3928" t="s">
        <v>2258</v>
      </c>
      <c r="B3261" s="3928" t="s">
        <v>14</v>
      </c>
      <c r="C3261" s="3928" t="s">
        <v>7446</v>
      </c>
      <c r="D3261" s="3928" t="s">
        <v>7447</v>
      </c>
      <c r="E3261" s="3928" t="s">
        <v>7448</v>
      </c>
      <c r="F3261" s="3928" t="s">
        <v>49</v>
      </c>
      <c r="G3261" s="3928" t="s">
        <v>24</v>
      </c>
      <c r="H3261" s="3928" t="s">
        <v>7449</v>
      </c>
      <c r="I3261" s="3928" t="s">
        <v>912</v>
      </c>
    </row>
    <row r="3262" spans="1:9" ht="11.25" customHeight="1">
      <c r="A3262" s="3928" t="s">
        <v>2258</v>
      </c>
      <c r="B3262" s="3928" t="s">
        <v>14</v>
      </c>
      <c r="C3262" s="3928" t="s">
        <v>4936</v>
      </c>
      <c r="D3262" s="3928" t="s">
        <v>4937</v>
      </c>
      <c r="E3262" s="3928" t="s">
        <v>4938</v>
      </c>
      <c r="F3262" s="3928" t="s">
        <v>3310</v>
      </c>
      <c r="G3262" s="3928" t="s">
        <v>4939</v>
      </c>
      <c r="H3262" s="3928" t="s">
        <v>24</v>
      </c>
      <c r="I3262" s="3928" t="s">
        <v>912</v>
      </c>
    </row>
    <row r="3263" spans="1:9" ht="11.25" customHeight="1">
      <c r="A3263" s="3928" t="s">
        <v>2258</v>
      </c>
      <c r="B3263" s="3928" t="s">
        <v>14</v>
      </c>
      <c r="C3263" s="3928" t="s">
        <v>7454</v>
      </c>
      <c r="D3263" s="3928" t="s">
        <v>7455</v>
      </c>
      <c r="E3263" s="3928" t="s">
        <v>7456</v>
      </c>
      <c r="F3263" s="3928" t="s">
        <v>2473</v>
      </c>
      <c r="G3263" s="3928" t="s">
        <v>7457</v>
      </c>
      <c r="H3263" s="3928" t="s">
        <v>24</v>
      </c>
      <c r="I3263" s="3928" t="s">
        <v>912</v>
      </c>
    </row>
    <row r="3264" spans="1:9" ht="11.25" customHeight="1">
      <c r="A3264" s="3928" t="s">
        <v>2258</v>
      </c>
      <c r="B3264" s="3928" t="s">
        <v>14</v>
      </c>
      <c r="C3264" s="3928" t="s">
        <v>7461</v>
      </c>
      <c r="D3264" s="3928" t="s">
        <v>7462</v>
      </c>
      <c r="E3264" s="3928" t="s">
        <v>7463</v>
      </c>
      <c r="F3264" s="3928" t="s">
        <v>2419</v>
      </c>
      <c r="G3264" s="3928" t="s">
        <v>7464</v>
      </c>
      <c r="H3264" s="3928" t="s">
        <v>24</v>
      </c>
      <c r="I3264" s="3928" t="s">
        <v>912</v>
      </c>
    </row>
    <row r="3265" spans="1:9" ht="11.25" customHeight="1">
      <c r="A3265" s="3928" t="s">
        <v>2258</v>
      </c>
      <c r="B3265" s="3928" t="s">
        <v>14</v>
      </c>
      <c r="C3265" s="3928" t="s">
        <v>7465</v>
      </c>
      <c r="D3265" s="3928" t="s">
        <v>7466</v>
      </c>
      <c r="E3265" s="3928" t="s">
        <v>7467</v>
      </c>
      <c r="F3265" s="3928" t="s">
        <v>3310</v>
      </c>
      <c r="G3265" s="3928" t="s">
        <v>7468</v>
      </c>
      <c r="H3265" s="3928" t="s">
        <v>2263</v>
      </c>
      <c r="I3265" s="3928" t="s">
        <v>912</v>
      </c>
    </row>
    <row r="3266" spans="1:9" ht="11.25" customHeight="1">
      <c r="A3266" s="3928" t="s">
        <v>2258</v>
      </c>
      <c r="B3266" s="3928" t="s">
        <v>14</v>
      </c>
      <c r="C3266" s="3928" t="s">
        <v>8120</v>
      </c>
      <c r="D3266" s="3928" t="s">
        <v>8121</v>
      </c>
      <c r="E3266" s="3928" t="s">
        <v>8122</v>
      </c>
      <c r="F3266" s="3928" t="s">
        <v>2304</v>
      </c>
      <c r="G3266" s="3928" t="s">
        <v>24</v>
      </c>
      <c r="H3266" s="3928" t="s">
        <v>6389</v>
      </c>
      <c r="I3266" s="3928" t="s">
        <v>912</v>
      </c>
    </row>
    <row r="3267" spans="1:9" ht="11.25" customHeight="1">
      <c r="A3267" s="3928" t="s">
        <v>2258</v>
      </c>
      <c r="B3267" s="3928" t="s">
        <v>14</v>
      </c>
      <c r="C3267" s="3928" t="s">
        <v>7469</v>
      </c>
      <c r="D3267" s="3928" t="s">
        <v>7470</v>
      </c>
      <c r="E3267" s="3928" t="s">
        <v>7471</v>
      </c>
      <c r="F3267" s="3928" t="s">
        <v>2304</v>
      </c>
      <c r="G3267" s="3928" t="s">
        <v>24</v>
      </c>
      <c r="H3267" s="3928" t="s">
        <v>24</v>
      </c>
      <c r="I3267" s="3928" t="s">
        <v>912</v>
      </c>
    </row>
    <row r="3268" spans="1:9" ht="11.25" customHeight="1">
      <c r="A3268" s="3928" t="s">
        <v>2258</v>
      </c>
      <c r="B3268" s="3928" t="s">
        <v>14</v>
      </c>
      <c r="C3268" s="3928" t="s">
        <v>4958</v>
      </c>
      <c r="D3268" s="3928" t="s">
        <v>4959</v>
      </c>
      <c r="E3268" s="3928" t="s">
        <v>4960</v>
      </c>
      <c r="F3268" s="3928" t="s">
        <v>2375</v>
      </c>
      <c r="G3268" s="3928" t="s">
        <v>24</v>
      </c>
      <c r="H3268" s="3928" t="s">
        <v>24</v>
      </c>
      <c r="I3268" s="3928" t="s">
        <v>912</v>
      </c>
    </row>
    <row r="3269" spans="1:9" ht="11.25" customHeight="1">
      <c r="A3269" s="3928" t="s">
        <v>2258</v>
      </c>
      <c r="B3269" s="3928" t="s">
        <v>14</v>
      </c>
      <c r="C3269" s="3928" t="s">
        <v>7472</v>
      </c>
      <c r="D3269" s="3928" t="s">
        <v>7473</v>
      </c>
      <c r="E3269" s="3928" t="s">
        <v>7474</v>
      </c>
      <c r="F3269" s="3928" t="s">
        <v>2701</v>
      </c>
      <c r="G3269" s="3928" t="s">
        <v>24</v>
      </c>
      <c r="H3269" s="3928" t="s">
        <v>24</v>
      </c>
      <c r="I3269" s="3928" t="s">
        <v>912</v>
      </c>
    </row>
    <row r="3270" spans="1:9" ht="11.25" customHeight="1">
      <c r="A3270" s="3928" t="s">
        <v>2258</v>
      </c>
      <c r="B3270" s="3928" t="s">
        <v>14</v>
      </c>
      <c r="C3270" s="3928" t="s">
        <v>8123</v>
      </c>
      <c r="D3270" s="3928" t="s">
        <v>8124</v>
      </c>
      <c r="E3270" s="3928" t="s">
        <v>8125</v>
      </c>
      <c r="F3270" s="3928" t="s">
        <v>2289</v>
      </c>
      <c r="G3270" s="3928" t="s">
        <v>24</v>
      </c>
      <c r="H3270" s="3928" t="s">
        <v>2848</v>
      </c>
      <c r="I3270" s="3928" t="s">
        <v>912</v>
      </c>
    </row>
    <row r="3271" spans="1:9" ht="11.25" customHeight="1">
      <c r="A3271" s="3928" t="s">
        <v>2258</v>
      </c>
      <c r="B3271" s="3928" t="s">
        <v>14</v>
      </c>
      <c r="C3271" s="3928" t="s">
        <v>8126</v>
      </c>
      <c r="D3271" s="3928" t="s">
        <v>8127</v>
      </c>
      <c r="E3271" s="3928" t="s">
        <v>8128</v>
      </c>
      <c r="F3271" s="3928" t="s">
        <v>8129</v>
      </c>
      <c r="G3271" s="3928" t="s">
        <v>24</v>
      </c>
      <c r="H3271" s="3928" t="s">
        <v>24</v>
      </c>
      <c r="I3271" s="3928" t="s">
        <v>912</v>
      </c>
    </row>
    <row r="3272" spans="1:9" ht="11.25" customHeight="1">
      <c r="A3272" s="3928" t="s">
        <v>2258</v>
      </c>
      <c r="B3272" s="3928" t="s">
        <v>14</v>
      </c>
      <c r="C3272" s="3928" t="s">
        <v>7475</v>
      </c>
      <c r="D3272" s="3928" t="s">
        <v>7476</v>
      </c>
      <c r="E3272" s="3928" t="s">
        <v>7477</v>
      </c>
      <c r="F3272" s="3928" t="s">
        <v>2486</v>
      </c>
      <c r="G3272" s="3928" t="s">
        <v>24</v>
      </c>
      <c r="H3272" s="3928" t="s">
        <v>7478</v>
      </c>
      <c r="I3272" s="3928" t="s">
        <v>912</v>
      </c>
    </row>
    <row r="3273" spans="1:9" ht="11.25" customHeight="1">
      <c r="A3273" s="3928" t="s">
        <v>2258</v>
      </c>
      <c r="B3273" s="3928" t="s">
        <v>14</v>
      </c>
      <c r="C3273" s="3928" t="s">
        <v>4975</v>
      </c>
      <c r="D3273" s="3928" t="s">
        <v>4976</v>
      </c>
      <c r="E3273" s="3928" t="s">
        <v>4977</v>
      </c>
      <c r="F3273" s="3928" t="s">
        <v>2438</v>
      </c>
      <c r="G3273" s="3928" t="s">
        <v>24</v>
      </c>
      <c r="H3273" s="3928" t="s">
        <v>24</v>
      </c>
      <c r="I3273" s="3928" t="s">
        <v>912</v>
      </c>
    </row>
    <row r="3274" spans="1:9" ht="11.25" customHeight="1">
      <c r="A3274" s="3928" t="s">
        <v>2258</v>
      </c>
      <c r="B3274" s="3928" t="s">
        <v>14</v>
      </c>
      <c r="C3274" s="3928" t="s">
        <v>8130</v>
      </c>
      <c r="D3274" s="3928" t="s">
        <v>8131</v>
      </c>
      <c r="E3274" s="3928" t="s">
        <v>8132</v>
      </c>
      <c r="F3274" s="3928" t="s">
        <v>2414</v>
      </c>
      <c r="G3274" s="3928" t="s">
        <v>24</v>
      </c>
      <c r="H3274" s="3928" t="s">
        <v>24</v>
      </c>
      <c r="I3274" s="3928" t="s">
        <v>912</v>
      </c>
    </row>
    <row r="3275" spans="1:9" ht="11.25" customHeight="1">
      <c r="A3275" s="3928" t="s">
        <v>2258</v>
      </c>
      <c r="B3275" s="3928" t="s">
        <v>14</v>
      </c>
      <c r="C3275" s="3928" t="s">
        <v>7479</v>
      </c>
      <c r="D3275" s="3928" t="s">
        <v>7480</v>
      </c>
      <c r="E3275" s="3928" t="s">
        <v>7481</v>
      </c>
      <c r="F3275" s="3928" t="s">
        <v>2414</v>
      </c>
      <c r="G3275" s="3928" t="s">
        <v>24</v>
      </c>
      <c r="H3275" s="3928" t="s">
        <v>24</v>
      </c>
      <c r="I3275" s="3928" t="s">
        <v>912</v>
      </c>
    </row>
    <row r="3276" spans="1:9" ht="11.25" customHeight="1">
      <c r="A3276" s="3928" t="s">
        <v>2258</v>
      </c>
      <c r="B3276" s="3928" t="s">
        <v>14</v>
      </c>
      <c r="C3276" s="3928" t="s">
        <v>4989</v>
      </c>
      <c r="D3276" s="3928" t="s">
        <v>4990</v>
      </c>
      <c r="E3276" s="3928" t="s">
        <v>4991</v>
      </c>
      <c r="F3276" s="3928" t="s">
        <v>2929</v>
      </c>
      <c r="G3276" s="3928" t="s">
        <v>24</v>
      </c>
      <c r="H3276" s="3928" t="s">
        <v>2263</v>
      </c>
      <c r="I3276" s="3928" t="s">
        <v>912</v>
      </c>
    </row>
    <row r="3277" spans="1:9" ht="11.25" customHeight="1">
      <c r="A3277" s="3928" t="s">
        <v>2258</v>
      </c>
      <c r="B3277" s="3928" t="s">
        <v>14</v>
      </c>
      <c r="C3277" s="3928" t="s">
        <v>7486</v>
      </c>
      <c r="D3277" s="3928" t="s">
        <v>7487</v>
      </c>
      <c r="E3277" s="3928" t="s">
        <v>7488</v>
      </c>
      <c r="F3277" s="3928" t="s">
        <v>2419</v>
      </c>
      <c r="G3277" s="3928" t="s">
        <v>7489</v>
      </c>
      <c r="H3277" s="3928" t="s">
        <v>24</v>
      </c>
      <c r="I3277" s="3928" t="s">
        <v>912</v>
      </c>
    </row>
    <row r="3278" spans="1:9" ht="11.25" customHeight="1">
      <c r="A3278" s="3928" t="s">
        <v>2258</v>
      </c>
      <c r="B3278" s="3928" t="s">
        <v>14</v>
      </c>
      <c r="C3278" s="3928" t="s">
        <v>5020</v>
      </c>
      <c r="D3278" s="3928" t="s">
        <v>5021</v>
      </c>
      <c r="E3278" s="3928" t="s">
        <v>5022</v>
      </c>
      <c r="F3278" s="3928" t="s">
        <v>2429</v>
      </c>
      <c r="G3278" s="3928" t="s">
        <v>5023</v>
      </c>
      <c r="H3278" s="3928" t="s">
        <v>5024</v>
      </c>
      <c r="I3278" s="3928" t="s">
        <v>912</v>
      </c>
    </row>
    <row r="3279" spans="1:9" ht="11.25" customHeight="1">
      <c r="A3279" s="3928" t="s">
        <v>2258</v>
      </c>
      <c r="B3279" s="3928" t="s">
        <v>14</v>
      </c>
      <c r="C3279" s="3928" t="s">
        <v>7500</v>
      </c>
      <c r="D3279" s="3928" t="s">
        <v>7501</v>
      </c>
      <c r="E3279" s="3928" t="s">
        <v>7502</v>
      </c>
      <c r="F3279" s="3928" t="s">
        <v>2409</v>
      </c>
      <c r="G3279" s="3928" t="s">
        <v>7503</v>
      </c>
      <c r="H3279" s="3928" t="s">
        <v>24</v>
      </c>
      <c r="I3279" s="3928" t="s">
        <v>912</v>
      </c>
    </row>
    <row r="3280" spans="1:9" ht="11.25" customHeight="1">
      <c r="A3280" s="3928" t="s">
        <v>2258</v>
      </c>
      <c r="B3280" s="3928" t="s">
        <v>14</v>
      </c>
      <c r="C3280" s="3928" t="s">
        <v>7504</v>
      </c>
      <c r="D3280" s="3928" t="s">
        <v>7505</v>
      </c>
      <c r="E3280" s="3928" t="s">
        <v>7506</v>
      </c>
      <c r="F3280" s="3928" t="s">
        <v>2675</v>
      </c>
      <c r="G3280" s="3928" t="s">
        <v>24</v>
      </c>
      <c r="H3280" s="3928" t="s">
        <v>7507</v>
      </c>
      <c r="I3280" s="3928" t="s">
        <v>912</v>
      </c>
    </row>
    <row r="3281" spans="1:9" ht="11.25" customHeight="1">
      <c r="A3281" s="3928" t="s">
        <v>2258</v>
      </c>
      <c r="B3281" s="3928" t="s">
        <v>14</v>
      </c>
      <c r="C3281" s="3928" t="s">
        <v>7508</v>
      </c>
      <c r="D3281" s="3928" t="s">
        <v>7509</v>
      </c>
      <c r="E3281" s="3928" t="s">
        <v>7510</v>
      </c>
      <c r="F3281" s="3928" t="s">
        <v>2486</v>
      </c>
      <c r="G3281" s="3928" t="s">
        <v>24</v>
      </c>
      <c r="H3281" s="3928" t="s">
        <v>2848</v>
      </c>
      <c r="I3281" s="3928" t="s">
        <v>912</v>
      </c>
    </row>
    <row r="3282" spans="1:9" ht="11.25" customHeight="1">
      <c r="A3282" s="3928" t="s">
        <v>2258</v>
      </c>
      <c r="B3282" s="3928" t="s">
        <v>14</v>
      </c>
      <c r="C3282" s="3928" t="s">
        <v>7511</v>
      </c>
      <c r="D3282" s="3928" t="s">
        <v>7512</v>
      </c>
      <c r="E3282" s="3928" t="s">
        <v>7513</v>
      </c>
      <c r="F3282" s="3928" t="s">
        <v>2354</v>
      </c>
      <c r="G3282" s="3928" t="s">
        <v>24</v>
      </c>
      <c r="H3282" s="3928" t="s">
        <v>24</v>
      </c>
      <c r="I3282" s="3928" t="s">
        <v>912</v>
      </c>
    </row>
    <row r="3283" spans="1:9" ht="11.25" customHeight="1">
      <c r="A3283" s="3928" t="s">
        <v>2258</v>
      </c>
      <c r="B3283" s="3928" t="s">
        <v>14</v>
      </c>
      <c r="C3283" s="3928" t="s">
        <v>5060</v>
      </c>
      <c r="D3283" s="3928" t="s">
        <v>5061</v>
      </c>
      <c r="E3283" s="3928" t="s">
        <v>5062</v>
      </c>
      <c r="F3283" s="3928" t="s">
        <v>2780</v>
      </c>
      <c r="G3283" s="3928" t="s">
        <v>24</v>
      </c>
      <c r="H3283" s="3928" t="s">
        <v>3068</v>
      </c>
      <c r="I3283" s="3928" t="s">
        <v>912</v>
      </c>
    </row>
    <row r="3284" spans="1:9" ht="11.25" customHeight="1">
      <c r="A3284" s="3928" t="s">
        <v>2258</v>
      </c>
      <c r="B3284" s="3928" t="s">
        <v>14</v>
      </c>
      <c r="C3284" s="3928" t="s">
        <v>5063</v>
      </c>
      <c r="D3284" s="3928" t="s">
        <v>5064</v>
      </c>
      <c r="E3284" s="3928" t="s">
        <v>5065</v>
      </c>
      <c r="F3284" s="3928" t="s">
        <v>2294</v>
      </c>
      <c r="G3284" s="3928" t="s">
        <v>5066</v>
      </c>
      <c r="H3284" s="3928" t="s">
        <v>24</v>
      </c>
      <c r="I3284" s="3928" t="s">
        <v>912</v>
      </c>
    </row>
    <row r="3285" spans="1:9" ht="11.25" customHeight="1">
      <c r="A3285" s="3928" t="s">
        <v>2258</v>
      </c>
      <c r="B3285" s="3928" t="s">
        <v>14</v>
      </c>
      <c r="C3285" s="3928" t="s">
        <v>5067</v>
      </c>
      <c r="D3285" s="3928" t="s">
        <v>5068</v>
      </c>
      <c r="E3285" s="3928" t="s">
        <v>5069</v>
      </c>
      <c r="F3285" s="3928" t="s">
        <v>2429</v>
      </c>
      <c r="G3285" s="3928" t="s">
        <v>5070</v>
      </c>
      <c r="H3285" s="3928" t="s">
        <v>2263</v>
      </c>
      <c r="I3285" s="3928" t="s">
        <v>912</v>
      </c>
    </row>
    <row r="3286" spans="1:9" ht="11.25" customHeight="1">
      <c r="A3286" s="3928" t="s">
        <v>2258</v>
      </c>
      <c r="B3286" s="3928" t="s">
        <v>14</v>
      </c>
      <c r="C3286" s="3928" t="s">
        <v>5071</v>
      </c>
      <c r="D3286" s="3928" t="s">
        <v>5068</v>
      </c>
      <c r="E3286" s="3928" t="s">
        <v>5072</v>
      </c>
      <c r="F3286" s="3928" t="s">
        <v>2429</v>
      </c>
      <c r="G3286" s="3928" t="s">
        <v>24</v>
      </c>
      <c r="H3286" s="3928" t="s">
        <v>3522</v>
      </c>
      <c r="I3286" s="3928" t="s">
        <v>912</v>
      </c>
    </row>
    <row r="3287" spans="1:9" ht="11.25" customHeight="1">
      <c r="A3287" s="3928" t="s">
        <v>2258</v>
      </c>
      <c r="B3287" s="3928" t="s">
        <v>14</v>
      </c>
      <c r="C3287" s="3928" t="s">
        <v>5073</v>
      </c>
      <c r="D3287" s="3928" t="s">
        <v>5074</v>
      </c>
      <c r="E3287" s="3928" t="s">
        <v>5075</v>
      </c>
      <c r="F3287" s="3928" t="s">
        <v>2429</v>
      </c>
      <c r="G3287" s="3928" t="s">
        <v>24</v>
      </c>
      <c r="H3287" s="3928" t="s">
        <v>24</v>
      </c>
      <c r="I3287" s="3928" t="s">
        <v>912</v>
      </c>
    </row>
    <row r="3288" spans="1:9" ht="11.25" customHeight="1">
      <c r="A3288" s="3928" t="s">
        <v>2258</v>
      </c>
      <c r="B3288" s="3928" t="s">
        <v>14</v>
      </c>
      <c r="C3288" s="3928" t="s">
        <v>5076</v>
      </c>
      <c r="D3288" s="3928" t="s">
        <v>5077</v>
      </c>
      <c r="E3288" s="3928" t="s">
        <v>5078</v>
      </c>
      <c r="F3288" s="3928" t="s">
        <v>2429</v>
      </c>
      <c r="G3288" s="3928" t="s">
        <v>5079</v>
      </c>
      <c r="H3288" s="3928" t="s">
        <v>2263</v>
      </c>
      <c r="I3288" s="3928" t="s">
        <v>912</v>
      </c>
    </row>
    <row r="3289" spans="1:9" ht="11.25" customHeight="1">
      <c r="A3289" s="3928" t="s">
        <v>2258</v>
      </c>
      <c r="B3289" s="3928" t="s">
        <v>14</v>
      </c>
      <c r="C3289" s="3928" t="s">
        <v>5088</v>
      </c>
      <c r="D3289" s="3928" t="s">
        <v>5089</v>
      </c>
      <c r="E3289" s="3928" t="s">
        <v>5090</v>
      </c>
      <c r="F3289" s="3928" t="s">
        <v>4792</v>
      </c>
      <c r="G3289" s="3928" t="s">
        <v>24</v>
      </c>
      <c r="H3289" s="3928" t="s">
        <v>2263</v>
      </c>
      <c r="I3289" s="3928" t="s">
        <v>912</v>
      </c>
    </row>
    <row r="3290" spans="1:9" ht="11.25" customHeight="1">
      <c r="A3290" s="3928" t="s">
        <v>2258</v>
      </c>
      <c r="B3290" s="3928" t="s">
        <v>14</v>
      </c>
      <c r="C3290" s="3928" t="s">
        <v>7518</v>
      </c>
      <c r="D3290" s="3928" t="s">
        <v>7519</v>
      </c>
      <c r="E3290" s="3928" t="s">
        <v>7520</v>
      </c>
      <c r="F3290" s="3928" t="s">
        <v>2701</v>
      </c>
      <c r="G3290" s="3928" t="s">
        <v>7521</v>
      </c>
      <c r="H3290" s="3928" t="s">
        <v>24</v>
      </c>
      <c r="I3290" s="3928" t="s">
        <v>912</v>
      </c>
    </row>
    <row r="3291" spans="1:9" ht="11.25" customHeight="1">
      <c r="A3291" s="3928" t="s">
        <v>2258</v>
      </c>
      <c r="B3291" s="3928" t="s">
        <v>14</v>
      </c>
      <c r="C3291" s="3928" t="s">
        <v>7522</v>
      </c>
      <c r="D3291" s="3928" t="s">
        <v>7523</v>
      </c>
      <c r="E3291" s="3928" t="s">
        <v>7524</v>
      </c>
      <c r="F3291" s="3928" t="s">
        <v>2393</v>
      </c>
      <c r="G3291" s="3928" t="s">
        <v>24</v>
      </c>
      <c r="H3291" s="3928" t="s">
        <v>24</v>
      </c>
      <c r="I3291" s="3928" t="s">
        <v>912</v>
      </c>
    </row>
    <row r="3292" spans="1:9" ht="11.25" customHeight="1">
      <c r="A3292" s="3928" t="s">
        <v>2258</v>
      </c>
      <c r="B3292" s="3928" t="s">
        <v>14</v>
      </c>
      <c r="C3292" s="3928" t="s">
        <v>8133</v>
      </c>
      <c r="D3292" s="3928" t="s">
        <v>8134</v>
      </c>
      <c r="E3292" s="3928" t="s">
        <v>8135</v>
      </c>
      <c r="F3292" s="3928" t="s">
        <v>8136</v>
      </c>
      <c r="G3292" s="3928" t="s">
        <v>8137</v>
      </c>
      <c r="H3292" s="3928" t="s">
        <v>8138</v>
      </c>
      <c r="I3292" s="3928" t="s">
        <v>912</v>
      </c>
    </row>
    <row r="3293" spans="1:9" ht="11.25" customHeight="1">
      <c r="A3293" s="3928" t="s">
        <v>2258</v>
      </c>
      <c r="B3293" s="3928" t="s">
        <v>14</v>
      </c>
      <c r="C3293" s="3928" t="s">
        <v>7525</v>
      </c>
      <c r="D3293" s="3928" t="s">
        <v>7526</v>
      </c>
      <c r="E3293" s="3928" t="s">
        <v>7527</v>
      </c>
      <c r="F3293" s="3928" t="s">
        <v>2567</v>
      </c>
      <c r="G3293" s="3928" t="s">
        <v>5994</v>
      </c>
      <c r="H3293" s="3928" t="s">
        <v>2263</v>
      </c>
      <c r="I3293" s="3928" t="s">
        <v>912</v>
      </c>
    </row>
    <row r="3294" spans="1:9" ht="11.25" customHeight="1">
      <c r="A3294" s="3928" t="s">
        <v>2258</v>
      </c>
      <c r="B3294" s="3928" t="s">
        <v>14</v>
      </c>
      <c r="C3294" s="3928" t="s">
        <v>7528</v>
      </c>
      <c r="D3294" s="3928" t="s">
        <v>7529</v>
      </c>
      <c r="E3294" s="3928" t="s">
        <v>7530</v>
      </c>
      <c r="F3294" s="3928" t="s">
        <v>2552</v>
      </c>
      <c r="G3294" s="3928" t="s">
        <v>7531</v>
      </c>
      <c r="H3294" s="3928" t="s">
        <v>24</v>
      </c>
      <c r="I3294" s="3928" t="s">
        <v>912</v>
      </c>
    </row>
    <row r="3295" spans="1:9" ht="11.25" customHeight="1">
      <c r="A3295" s="3928" t="s">
        <v>2258</v>
      </c>
      <c r="B3295" s="3928" t="s">
        <v>14</v>
      </c>
      <c r="C3295" s="3928" t="s">
        <v>7532</v>
      </c>
      <c r="D3295" s="3928" t="s">
        <v>7533</v>
      </c>
      <c r="E3295" s="3928" t="s">
        <v>7534</v>
      </c>
      <c r="F3295" s="3928" t="s">
        <v>2409</v>
      </c>
      <c r="G3295" s="3928" t="s">
        <v>24</v>
      </c>
      <c r="H3295" s="3928" t="s">
        <v>7535</v>
      </c>
      <c r="I3295" s="3928" t="s">
        <v>912</v>
      </c>
    </row>
    <row r="3296" spans="1:9" ht="11.25" customHeight="1">
      <c r="A3296" s="3928" t="s">
        <v>2258</v>
      </c>
      <c r="B3296" s="3928" t="s">
        <v>14</v>
      </c>
      <c r="C3296" s="3928" t="s">
        <v>5111</v>
      </c>
      <c r="D3296" s="3928" t="s">
        <v>5112</v>
      </c>
      <c r="E3296" s="3928" t="s">
        <v>5113</v>
      </c>
      <c r="F3296" s="3928" t="s">
        <v>2397</v>
      </c>
      <c r="G3296" s="3928" t="s">
        <v>5114</v>
      </c>
      <c r="H3296" s="3928" t="s">
        <v>24</v>
      </c>
      <c r="I3296" s="3928" t="s">
        <v>912</v>
      </c>
    </row>
    <row r="3297" spans="1:9" ht="11.25" customHeight="1">
      <c r="A3297" s="3928" t="s">
        <v>2258</v>
      </c>
      <c r="B3297" s="3928" t="s">
        <v>14</v>
      </c>
      <c r="C3297" s="3928" t="s">
        <v>8139</v>
      </c>
      <c r="D3297" s="3928" t="s">
        <v>8140</v>
      </c>
      <c r="E3297" s="3928" t="s">
        <v>8141</v>
      </c>
      <c r="F3297" s="3928" t="s">
        <v>2675</v>
      </c>
      <c r="G3297" s="3928" t="s">
        <v>24</v>
      </c>
      <c r="H3297" s="3928" t="s">
        <v>8142</v>
      </c>
      <c r="I3297" s="3928" t="s">
        <v>912</v>
      </c>
    </row>
    <row r="3298" spans="1:9" ht="11.25" customHeight="1">
      <c r="A3298" s="3928" t="s">
        <v>2258</v>
      </c>
      <c r="B3298" s="3928" t="s">
        <v>14</v>
      </c>
      <c r="C3298" s="3928" t="s">
        <v>7536</v>
      </c>
      <c r="D3298" s="3928" t="s">
        <v>7537</v>
      </c>
      <c r="E3298" s="3928" t="s">
        <v>7538</v>
      </c>
      <c r="F3298" s="3928" t="s">
        <v>2469</v>
      </c>
      <c r="G3298" s="3928" t="s">
        <v>24</v>
      </c>
      <c r="H3298" s="3928" t="s">
        <v>24</v>
      </c>
      <c r="I3298" s="3928" t="s">
        <v>912</v>
      </c>
    </row>
    <row r="3299" spans="1:9" ht="11.25" customHeight="1">
      <c r="A3299" s="3928" t="s">
        <v>2258</v>
      </c>
      <c r="B3299" s="3928" t="s">
        <v>14</v>
      </c>
      <c r="C3299" s="3928" t="s">
        <v>7539</v>
      </c>
      <c r="D3299" s="3928" t="s">
        <v>7540</v>
      </c>
      <c r="E3299" s="3928" t="s">
        <v>7541</v>
      </c>
      <c r="F3299" s="3928" t="s">
        <v>2552</v>
      </c>
      <c r="G3299" s="3928" t="s">
        <v>24</v>
      </c>
      <c r="H3299" s="3928" t="s">
        <v>24</v>
      </c>
      <c r="I3299" s="3928" t="s">
        <v>912</v>
      </c>
    </row>
    <row r="3300" spans="1:9" ht="11.25" customHeight="1">
      <c r="A3300" s="3928" t="s">
        <v>2258</v>
      </c>
      <c r="B3300" s="3928" t="s">
        <v>14</v>
      </c>
      <c r="C3300" s="3928" t="s">
        <v>8143</v>
      </c>
      <c r="D3300" s="3928" t="s">
        <v>8144</v>
      </c>
      <c r="E3300" s="3928" t="s">
        <v>8145</v>
      </c>
      <c r="F3300" s="3928" t="s">
        <v>49</v>
      </c>
      <c r="G3300" s="3928" t="s">
        <v>24</v>
      </c>
      <c r="H3300" s="3928" t="s">
        <v>8146</v>
      </c>
      <c r="I3300" s="3928" t="s">
        <v>912</v>
      </c>
    </row>
    <row r="3301" spans="1:9" ht="11.25" customHeight="1">
      <c r="A3301" s="3928" t="s">
        <v>2258</v>
      </c>
      <c r="B3301" s="3928" t="s">
        <v>14</v>
      </c>
      <c r="C3301" s="3928" t="s">
        <v>8147</v>
      </c>
      <c r="D3301" s="3928" t="s">
        <v>8148</v>
      </c>
      <c r="E3301" s="3928" t="s">
        <v>8149</v>
      </c>
      <c r="F3301" s="3928" t="s">
        <v>3287</v>
      </c>
      <c r="G3301" s="3928" t="s">
        <v>24</v>
      </c>
      <c r="H3301" s="3928" t="s">
        <v>2848</v>
      </c>
      <c r="I3301" s="3928" t="s">
        <v>912</v>
      </c>
    </row>
    <row r="3302" spans="1:9" ht="11.25" customHeight="1">
      <c r="A3302" s="3928" t="s">
        <v>2258</v>
      </c>
      <c r="B3302" s="3928" t="s">
        <v>14</v>
      </c>
      <c r="C3302" s="3928" t="s">
        <v>5142</v>
      </c>
      <c r="D3302" s="3928" t="s">
        <v>5143</v>
      </c>
      <c r="E3302" s="3928" t="s">
        <v>5144</v>
      </c>
      <c r="F3302" s="3928" t="s">
        <v>2473</v>
      </c>
      <c r="G3302" s="3928" t="s">
        <v>5145</v>
      </c>
      <c r="H3302" s="3928" t="s">
        <v>24</v>
      </c>
      <c r="I3302" s="3928" t="s">
        <v>912</v>
      </c>
    </row>
    <row r="3303" spans="1:9" ht="11.25" customHeight="1">
      <c r="A3303" s="3928" t="s">
        <v>2258</v>
      </c>
      <c r="B3303" s="3928" t="s">
        <v>14</v>
      </c>
      <c r="C3303" s="3928" t="s">
        <v>8150</v>
      </c>
      <c r="D3303" s="3928" t="s">
        <v>5150</v>
      </c>
      <c r="E3303" s="3928" t="s">
        <v>5151</v>
      </c>
      <c r="F3303" s="3928" t="s">
        <v>2414</v>
      </c>
      <c r="G3303" s="3928" t="s">
        <v>24</v>
      </c>
      <c r="H3303" s="3928" t="s">
        <v>24</v>
      </c>
      <c r="I3303" s="3928" t="s">
        <v>912</v>
      </c>
    </row>
    <row r="3304" spans="1:9" ht="11.25" customHeight="1">
      <c r="A3304" s="3928" t="s">
        <v>2258</v>
      </c>
      <c r="B3304" s="3928" t="s">
        <v>14</v>
      </c>
      <c r="C3304" s="3928" t="s">
        <v>8151</v>
      </c>
      <c r="D3304" s="3928" t="s">
        <v>8152</v>
      </c>
      <c r="E3304" s="3928" t="s">
        <v>8153</v>
      </c>
      <c r="F3304" s="3928" t="s">
        <v>2907</v>
      </c>
      <c r="G3304" s="3928" t="s">
        <v>8154</v>
      </c>
      <c r="H3304" s="3928" t="s">
        <v>24</v>
      </c>
      <c r="I3304" s="3928" t="s">
        <v>912</v>
      </c>
    </row>
    <row r="3305" spans="1:9" ht="11.25" customHeight="1">
      <c r="A3305" s="3928" t="s">
        <v>2258</v>
      </c>
      <c r="B3305" s="3928" t="s">
        <v>14</v>
      </c>
      <c r="C3305" s="3928" t="s">
        <v>8155</v>
      </c>
      <c r="D3305" s="3928" t="s">
        <v>8156</v>
      </c>
      <c r="E3305" s="3928" t="s">
        <v>8157</v>
      </c>
      <c r="F3305" s="3928" t="s">
        <v>2397</v>
      </c>
      <c r="G3305" s="3928" t="s">
        <v>24</v>
      </c>
      <c r="H3305" s="3928" t="s">
        <v>8158</v>
      </c>
      <c r="I3305" s="3928" t="s">
        <v>912</v>
      </c>
    </row>
    <row r="3306" spans="1:9" ht="11.25" customHeight="1">
      <c r="A3306" s="3928" t="s">
        <v>2258</v>
      </c>
      <c r="B3306" s="3928" t="s">
        <v>14</v>
      </c>
      <c r="C3306" s="3928" t="s">
        <v>5166</v>
      </c>
      <c r="D3306" s="3928" t="s">
        <v>5167</v>
      </c>
      <c r="E3306" s="3928" t="s">
        <v>5168</v>
      </c>
      <c r="F3306" s="3928" t="s">
        <v>49</v>
      </c>
      <c r="G3306" s="3928" t="s">
        <v>24</v>
      </c>
      <c r="H3306" s="3928" t="s">
        <v>5169</v>
      </c>
      <c r="I3306" s="3928" t="s">
        <v>912</v>
      </c>
    </row>
    <row r="3307" spans="1:9" ht="11.25" customHeight="1">
      <c r="A3307" s="3928" t="s">
        <v>2258</v>
      </c>
      <c r="B3307" s="3928" t="s">
        <v>14</v>
      </c>
      <c r="C3307" s="3928" t="s">
        <v>8159</v>
      </c>
      <c r="D3307" s="3928" t="s">
        <v>8160</v>
      </c>
      <c r="E3307" s="3928" t="s">
        <v>8161</v>
      </c>
      <c r="F3307" s="3928" t="s">
        <v>3353</v>
      </c>
      <c r="G3307" s="3928" t="s">
        <v>8162</v>
      </c>
      <c r="H3307" s="3928" t="s">
        <v>24</v>
      </c>
      <c r="I3307" s="3928" t="s">
        <v>912</v>
      </c>
    </row>
    <row r="3308" spans="1:9" ht="11.25" customHeight="1">
      <c r="A3308" s="3928" t="s">
        <v>2258</v>
      </c>
      <c r="B3308" s="3928" t="s">
        <v>14</v>
      </c>
      <c r="C3308" s="3928" t="s">
        <v>6433</v>
      </c>
      <c r="D3308" s="3928" t="s">
        <v>6434</v>
      </c>
      <c r="E3308" s="3928" t="s">
        <v>6435</v>
      </c>
      <c r="F3308" s="3928" t="s">
        <v>2780</v>
      </c>
      <c r="G3308" s="3928" t="s">
        <v>24</v>
      </c>
      <c r="H3308" s="3928" t="s">
        <v>24</v>
      </c>
      <c r="I3308" s="3928" t="s">
        <v>912</v>
      </c>
    </row>
    <row r="3309" spans="1:9" ht="11.25" customHeight="1">
      <c r="A3309" s="3928" t="s">
        <v>2258</v>
      </c>
      <c r="B3309" s="3928" t="s">
        <v>14</v>
      </c>
      <c r="C3309" s="3928" t="s">
        <v>5177</v>
      </c>
      <c r="D3309" s="3928" t="s">
        <v>5178</v>
      </c>
      <c r="E3309" s="3928" t="s">
        <v>5179</v>
      </c>
      <c r="F3309" s="3928" t="s">
        <v>2780</v>
      </c>
      <c r="G3309" s="3928" t="s">
        <v>24</v>
      </c>
      <c r="H3309" s="3928" t="s">
        <v>2263</v>
      </c>
      <c r="I3309" s="3928" t="s">
        <v>912</v>
      </c>
    </row>
    <row r="3310" spans="1:9" ht="11.25" customHeight="1">
      <c r="A3310" s="3928" t="s">
        <v>2258</v>
      </c>
      <c r="B3310" s="3928" t="s">
        <v>14</v>
      </c>
      <c r="C3310" s="3928" t="s">
        <v>5188</v>
      </c>
      <c r="D3310" s="3928" t="s">
        <v>5189</v>
      </c>
      <c r="E3310" s="3928" t="s">
        <v>5190</v>
      </c>
      <c r="F3310" s="3928" t="s">
        <v>2289</v>
      </c>
      <c r="G3310" s="3928" t="s">
        <v>24</v>
      </c>
      <c r="H3310" s="3928" t="s">
        <v>2263</v>
      </c>
      <c r="I3310" s="3928" t="s">
        <v>912</v>
      </c>
    </row>
    <row r="3311" spans="1:9" ht="11.25" customHeight="1">
      <c r="A3311" s="3928" t="s">
        <v>2258</v>
      </c>
      <c r="B3311" s="3928" t="s">
        <v>14</v>
      </c>
      <c r="C3311" s="3928" t="s">
        <v>5198</v>
      </c>
      <c r="D3311" s="3928" t="s">
        <v>5199</v>
      </c>
      <c r="E3311" s="3928" t="s">
        <v>5200</v>
      </c>
      <c r="F3311" s="3928" t="s">
        <v>2389</v>
      </c>
      <c r="G3311" s="3928" t="s">
        <v>2518</v>
      </c>
      <c r="H3311" s="3928" t="s">
        <v>24</v>
      </c>
      <c r="I3311" s="3928" t="s">
        <v>912</v>
      </c>
    </row>
    <row r="3312" spans="1:9" ht="11.25" customHeight="1">
      <c r="A3312" s="3928" t="s">
        <v>2258</v>
      </c>
      <c r="B3312" s="3928" t="s">
        <v>14</v>
      </c>
      <c r="C3312" s="3928" t="s">
        <v>7550</v>
      </c>
      <c r="D3312" s="3928" t="s">
        <v>7551</v>
      </c>
      <c r="E3312" s="3928" t="s">
        <v>7552</v>
      </c>
      <c r="F3312" s="3928" t="s">
        <v>2675</v>
      </c>
      <c r="G3312" s="3928" t="s">
        <v>7553</v>
      </c>
      <c r="H3312" s="3928" t="s">
        <v>24</v>
      </c>
      <c r="I3312" s="3928" t="s">
        <v>912</v>
      </c>
    </row>
    <row r="3313" spans="1:9" ht="11.25" customHeight="1">
      <c r="A3313" s="3928" t="s">
        <v>2258</v>
      </c>
      <c r="B3313" s="3928" t="s">
        <v>14</v>
      </c>
      <c r="C3313" s="3928" t="s">
        <v>5234</v>
      </c>
      <c r="D3313" s="3928" t="s">
        <v>5231</v>
      </c>
      <c r="E3313" s="3928" t="s">
        <v>5235</v>
      </c>
      <c r="F3313" s="3928" t="s">
        <v>2397</v>
      </c>
      <c r="G3313" s="3928" t="s">
        <v>5236</v>
      </c>
      <c r="H3313" s="3928" t="s">
        <v>24</v>
      </c>
      <c r="I3313" s="3928" t="s">
        <v>912</v>
      </c>
    </row>
    <row r="3314" spans="1:9" ht="11.25" customHeight="1">
      <c r="A3314" s="3928" t="s">
        <v>2258</v>
      </c>
      <c r="B3314" s="3928" t="s">
        <v>14</v>
      </c>
      <c r="C3314" s="3928" t="s">
        <v>7554</v>
      </c>
      <c r="D3314" s="3928" t="s">
        <v>7555</v>
      </c>
      <c r="E3314" s="3928" t="s">
        <v>7556</v>
      </c>
      <c r="F3314" s="3928" t="s">
        <v>49</v>
      </c>
      <c r="G3314" s="3928" t="s">
        <v>24</v>
      </c>
      <c r="H3314" s="3928" t="s">
        <v>24</v>
      </c>
      <c r="I3314" s="3928" t="s">
        <v>912</v>
      </c>
    </row>
    <row r="3315" spans="1:9" ht="11.25" customHeight="1">
      <c r="A3315" s="3928" t="s">
        <v>2258</v>
      </c>
      <c r="B3315" s="3928" t="s">
        <v>14</v>
      </c>
      <c r="C3315" s="3928" t="s">
        <v>7557</v>
      </c>
      <c r="D3315" s="3928" t="s">
        <v>7558</v>
      </c>
      <c r="E3315" s="3928" t="s">
        <v>7559</v>
      </c>
      <c r="F3315" s="3928" t="s">
        <v>2262</v>
      </c>
      <c r="G3315" s="3928" t="s">
        <v>24</v>
      </c>
      <c r="H3315" s="3928" t="s">
        <v>7560</v>
      </c>
      <c r="I3315" s="3928" t="s">
        <v>912</v>
      </c>
    </row>
    <row r="3316" spans="1:9" ht="11.25" customHeight="1">
      <c r="A3316" s="3928" t="s">
        <v>2258</v>
      </c>
      <c r="B3316" s="3928" t="s">
        <v>14</v>
      </c>
      <c r="C3316" s="3928" t="s">
        <v>5285</v>
      </c>
      <c r="D3316" s="3928" t="s">
        <v>5286</v>
      </c>
      <c r="E3316" s="3928" t="s">
        <v>5287</v>
      </c>
      <c r="F3316" s="3928" t="s">
        <v>2289</v>
      </c>
      <c r="G3316" s="3928" t="s">
        <v>5288</v>
      </c>
      <c r="H3316" s="3928" t="s">
        <v>24</v>
      </c>
      <c r="I3316" s="3928" t="s">
        <v>912</v>
      </c>
    </row>
    <row r="3317" spans="1:9" ht="11.25" customHeight="1">
      <c r="A3317" s="3928" t="s">
        <v>2258</v>
      </c>
      <c r="B3317" s="3928" t="s">
        <v>14</v>
      </c>
      <c r="C3317" s="3928" t="s">
        <v>5296</v>
      </c>
      <c r="D3317" s="3928" t="s">
        <v>5297</v>
      </c>
      <c r="E3317" s="3928" t="s">
        <v>5298</v>
      </c>
      <c r="F3317" s="3928" t="s">
        <v>2304</v>
      </c>
      <c r="G3317" s="3928" t="s">
        <v>5299</v>
      </c>
      <c r="H3317" s="3928" t="s">
        <v>24</v>
      </c>
      <c r="I3317" s="3928" t="s">
        <v>912</v>
      </c>
    </row>
    <row r="3318" spans="1:9" ht="11.25" customHeight="1">
      <c r="A3318" s="3928" t="s">
        <v>2258</v>
      </c>
      <c r="B3318" s="3928" t="s">
        <v>14</v>
      </c>
      <c r="C3318" s="3928" t="s">
        <v>5307</v>
      </c>
      <c r="D3318" s="3928" t="s">
        <v>5308</v>
      </c>
      <c r="E3318" s="3928" t="s">
        <v>5309</v>
      </c>
      <c r="F3318" s="3928" t="s">
        <v>5310</v>
      </c>
      <c r="G3318" s="3928" t="s">
        <v>5311</v>
      </c>
      <c r="H3318" s="3928" t="s">
        <v>24</v>
      </c>
      <c r="I3318" s="3928" t="s">
        <v>912</v>
      </c>
    </row>
    <row r="3319" spans="1:9" ht="11.25" customHeight="1">
      <c r="A3319" s="3928" t="s">
        <v>2258</v>
      </c>
      <c r="B3319" s="3928" t="s">
        <v>14</v>
      </c>
      <c r="C3319" s="3928" t="s">
        <v>5317</v>
      </c>
      <c r="D3319" s="3928" t="s">
        <v>5318</v>
      </c>
      <c r="E3319" s="3928" t="s">
        <v>5319</v>
      </c>
      <c r="F3319" s="3928" t="s">
        <v>2675</v>
      </c>
      <c r="G3319" s="3928" t="s">
        <v>5320</v>
      </c>
      <c r="H3319" s="3928" t="s">
        <v>24</v>
      </c>
      <c r="I3319" s="3928" t="s">
        <v>912</v>
      </c>
    </row>
    <row r="3320" spans="1:9" ht="11.25" customHeight="1">
      <c r="A3320" s="3928" t="s">
        <v>2258</v>
      </c>
      <c r="B3320" s="3928" t="s">
        <v>14</v>
      </c>
      <c r="C3320" s="3928" t="s">
        <v>5324</v>
      </c>
      <c r="D3320" s="3928" t="s">
        <v>5325</v>
      </c>
      <c r="E3320" s="3928" t="s">
        <v>5326</v>
      </c>
      <c r="F3320" s="3928" t="s">
        <v>2397</v>
      </c>
      <c r="G3320" s="3928" t="s">
        <v>24</v>
      </c>
      <c r="H3320" s="3928" t="s">
        <v>5327</v>
      </c>
      <c r="I3320" s="3928" t="s">
        <v>912</v>
      </c>
    </row>
    <row r="3321" spans="1:9" ht="11.25" customHeight="1">
      <c r="A3321" s="3928" t="s">
        <v>2258</v>
      </c>
      <c r="B3321" s="3928" t="s">
        <v>14</v>
      </c>
      <c r="C3321" s="3928" t="s">
        <v>5352</v>
      </c>
      <c r="D3321" s="3928" t="s">
        <v>5353</v>
      </c>
      <c r="E3321" s="3928" t="s">
        <v>5354</v>
      </c>
      <c r="F3321" s="3928" t="s">
        <v>4646</v>
      </c>
      <c r="G3321" s="3928" t="s">
        <v>5355</v>
      </c>
      <c r="H3321" s="3928" t="s">
        <v>24</v>
      </c>
      <c r="I3321" s="3928" t="s">
        <v>912</v>
      </c>
    </row>
    <row r="3322" spans="1:9" ht="11.25" customHeight="1">
      <c r="A3322" s="3928" t="s">
        <v>2258</v>
      </c>
      <c r="B3322" s="3928" t="s">
        <v>14</v>
      </c>
      <c r="C3322" s="3928" t="s">
        <v>7564</v>
      </c>
      <c r="D3322" s="3928" t="s">
        <v>7565</v>
      </c>
      <c r="E3322" s="3928" t="s">
        <v>7566</v>
      </c>
      <c r="F3322" s="3928" t="s">
        <v>4721</v>
      </c>
      <c r="G3322" s="3928" t="s">
        <v>7567</v>
      </c>
      <c r="H3322" s="3928" t="s">
        <v>24</v>
      </c>
      <c r="I3322" s="3928" t="s">
        <v>912</v>
      </c>
    </row>
    <row r="3323" spans="1:9" ht="11.25" customHeight="1">
      <c r="A3323" s="3928" t="s">
        <v>2258</v>
      </c>
      <c r="B3323" s="3928" t="s">
        <v>14</v>
      </c>
      <c r="C3323" s="3928" t="s">
        <v>7572</v>
      </c>
      <c r="D3323" s="3928" t="s">
        <v>7573</v>
      </c>
      <c r="E3323" s="3928" t="s">
        <v>7574</v>
      </c>
      <c r="F3323" s="3928" t="s">
        <v>2675</v>
      </c>
      <c r="G3323" s="3928" t="s">
        <v>7575</v>
      </c>
      <c r="H3323" s="3928" t="s">
        <v>24</v>
      </c>
      <c r="I3323" s="3928" t="s">
        <v>912</v>
      </c>
    </row>
    <row r="3324" spans="1:9" ht="11.25" customHeight="1">
      <c r="A3324" s="3928" t="s">
        <v>2258</v>
      </c>
      <c r="B3324" s="3928" t="s">
        <v>14</v>
      </c>
      <c r="C3324" s="3928" t="s">
        <v>5379</v>
      </c>
      <c r="D3324" s="3928" t="s">
        <v>5380</v>
      </c>
      <c r="E3324" s="3928" t="s">
        <v>5381</v>
      </c>
      <c r="F3324" s="3928" t="s">
        <v>2796</v>
      </c>
      <c r="G3324" s="3928" t="s">
        <v>24</v>
      </c>
      <c r="H3324" s="3928" t="s">
        <v>2263</v>
      </c>
      <c r="I3324" s="3928" t="s">
        <v>912</v>
      </c>
    </row>
    <row r="3325" spans="1:9" ht="11.25" customHeight="1">
      <c r="A3325" s="3928" t="s">
        <v>2258</v>
      </c>
      <c r="B3325" s="3928" t="s">
        <v>14</v>
      </c>
      <c r="C3325" s="3928" t="s">
        <v>5387</v>
      </c>
      <c r="D3325" s="3928" t="s">
        <v>5388</v>
      </c>
      <c r="E3325" s="3928" t="s">
        <v>5389</v>
      </c>
      <c r="F3325" s="3928" t="s">
        <v>2289</v>
      </c>
      <c r="G3325" s="3928" t="s">
        <v>5390</v>
      </c>
      <c r="H3325" s="3928" t="s">
        <v>24</v>
      </c>
      <c r="I3325" s="3928" t="s">
        <v>912</v>
      </c>
    </row>
    <row r="3326" spans="1:9" ht="11.25" customHeight="1">
      <c r="A3326" s="3928" t="s">
        <v>2258</v>
      </c>
      <c r="B3326" s="3928" t="s">
        <v>14</v>
      </c>
      <c r="C3326" s="3928" t="s">
        <v>6439</v>
      </c>
      <c r="D3326" s="3928" t="s">
        <v>6440</v>
      </c>
      <c r="E3326" s="3928" t="s">
        <v>6441</v>
      </c>
      <c r="F3326" s="3928" t="s">
        <v>2304</v>
      </c>
      <c r="G3326" s="3928" t="s">
        <v>24</v>
      </c>
      <c r="H3326" s="3928" t="s">
        <v>2263</v>
      </c>
      <c r="I3326" s="3928" t="s">
        <v>912</v>
      </c>
    </row>
    <row r="3327" spans="1:9" ht="11.25" customHeight="1">
      <c r="A3327" s="3928" t="s">
        <v>2258</v>
      </c>
      <c r="B3327" s="3928" t="s">
        <v>14</v>
      </c>
      <c r="C3327" s="3928" t="s">
        <v>5398</v>
      </c>
      <c r="D3327" s="3928" t="s">
        <v>5399</v>
      </c>
      <c r="E3327" s="3928" t="s">
        <v>5400</v>
      </c>
      <c r="F3327" s="3928" t="s">
        <v>2304</v>
      </c>
      <c r="G3327" s="3928" t="s">
        <v>4058</v>
      </c>
      <c r="H3327" s="3928" t="s">
        <v>24</v>
      </c>
      <c r="I3327" s="3928" t="s">
        <v>912</v>
      </c>
    </row>
    <row r="3328" spans="1:9" ht="11.25" customHeight="1">
      <c r="A3328" s="3928" t="s">
        <v>2258</v>
      </c>
      <c r="B3328" s="3928" t="s">
        <v>14</v>
      </c>
      <c r="C3328" s="3928" t="s">
        <v>7576</v>
      </c>
      <c r="D3328" s="3928" t="s">
        <v>7577</v>
      </c>
      <c r="E3328" s="3928" t="s">
        <v>7578</v>
      </c>
      <c r="F3328" s="3928" t="s">
        <v>2304</v>
      </c>
      <c r="G3328" s="3928" t="s">
        <v>7579</v>
      </c>
      <c r="H3328" s="3928" t="s">
        <v>24</v>
      </c>
      <c r="I3328" s="3928" t="s">
        <v>912</v>
      </c>
    </row>
    <row r="3329" spans="1:9" ht="11.25" customHeight="1">
      <c r="A3329" s="3928" t="s">
        <v>2258</v>
      </c>
      <c r="B3329" s="3928" t="s">
        <v>14</v>
      </c>
      <c r="C3329" s="3928" t="s">
        <v>7580</v>
      </c>
      <c r="D3329" s="3928" t="s">
        <v>7581</v>
      </c>
      <c r="E3329" s="3928" t="s">
        <v>7582</v>
      </c>
      <c r="F3329" s="3928" t="s">
        <v>2567</v>
      </c>
      <c r="G3329" s="3928" t="s">
        <v>5926</v>
      </c>
      <c r="H3329" s="3928" t="s">
        <v>7583</v>
      </c>
      <c r="I3329" s="3928" t="s">
        <v>912</v>
      </c>
    </row>
    <row r="3330" spans="1:9" ht="11.25" customHeight="1">
      <c r="A3330" s="3928" t="s">
        <v>2258</v>
      </c>
      <c r="B3330" s="3928" t="s">
        <v>14</v>
      </c>
      <c r="C3330" s="3928" t="s">
        <v>7584</v>
      </c>
      <c r="D3330" s="3928" t="s">
        <v>7585</v>
      </c>
      <c r="E3330" s="3928" t="s">
        <v>7586</v>
      </c>
      <c r="F3330" s="3928" t="s">
        <v>2701</v>
      </c>
      <c r="G3330" s="3928" t="s">
        <v>5016</v>
      </c>
      <c r="H3330" s="3928" t="s">
        <v>7587</v>
      </c>
      <c r="I3330" s="3928" t="s">
        <v>912</v>
      </c>
    </row>
    <row r="3331" spans="1:9" ht="11.25" customHeight="1">
      <c r="A3331" s="3928" t="s">
        <v>2258</v>
      </c>
      <c r="B3331" s="3928" t="s">
        <v>14</v>
      </c>
      <c r="C3331" s="3928" t="s">
        <v>8163</v>
      </c>
      <c r="D3331" s="3928" t="s">
        <v>8164</v>
      </c>
      <c r="E3331" s="3928" t="s">
        <v>8165</v>
      </c>
      <c r="F3331" s="3928" t="s">
        <v>2294</v>
      </c>
      <c r="G3331" s="3928" t="s">
        <v>8166</v>
      </c>
      <c r="H3331" s="3928" t="s">
        <v>24</v>
      </c>
      <c r="I3331" s="3928" t="s">
        <v>912</v>
      </c>
    </row>
    <row r="3332" spans="1:9" ht="11.25" customHeight="1">
      <c r="A3332" s="3928" t="s">
        <v>2258</v>
      </c>
      <c r="B3332" s="3928" t="s">
        <v>14</v>
      </c>
      <c r="C3332" s="3928" t="s">
        <v>7588</v>
      </c>
      <c r="D3332" s="3928" t="s">
        <v>7589</v>
      </c>
      <c r="E3332" s="3928" t="s">
        <v>7590</v>
      </c>
      <c r="F3332" s="3928" t="s">
        <v>5657</v>
      </c>
      <c r="G3332" s="3928" t="s">
        <v>24</v>
      </c>
      <c r="H3332" s="3928" t="s">
        <v>24</v>
      </c>
      <c r="I3332" s="3928" t="s">
        <v>912</v>
      </c>
    </row>
    <row r="3333" spans="1:9" ht="11.25" customHeight="1">
      <c r="A3333" s="3928" t="s">
        <v>2258</v>
      </c>
      <c r="B3333" s="3928" t="s">
        <v>14</v>
      </c>
      <c r="C3333" s="3928" t="s">
        <v>5415</v>
      </c>
      <c r="D3333" s="3928" t="s">
        <v>5416</v>
      </c>
      <c r="E3333" s="3928" t="s">
        <v>5417</v>
      </c>
      <c r="F3333" s="3928" t="s">
        <v>2675</v>
      </c>
      <c r="G3333" s="3928" t="s">
        <v>24</v>
      </c>
      <c r="H3333" s="3928" t="s">
        <v>3068</v>
      </c>
      <c r="I3333" s="3928" t="s">
        <v>912</v>
      </c>
    </row>
    <row r="3334" spans="1:9" ht="11.25" customHeight="1">
      <c r="A3334" s="3928" t="s">
        <v>2258</v>
      </c>
      <c r="B3334" s="3928" t="s">
        <v>14</v>
      </c>
      <c r="C3334" s="3928" t="s">
        <v>5418</v>
      </c>
      <c r="D3334" s="3928" t="s">
        <v>5419</v>
      </c>
      <c r="E3334" s="3928" t="s">
        <v>5420</v>
      </c>
      <c r="F3334" s="3928" t="s">
        <v>2675</v>
      </c>
      <c r="G3334" s="3928" t="s">
        <v>24</v>
      </c>
      <c r="H3334" s="3928" t="s">
        <v>2772</v>
      </c>
      <c r="I3334" s="3928" t="s">
        <v>912</v>
      </c>
    </row>
    <row r="3335" spans="1:9" ht="11.25" customHeight="1">
      <c r="A3335" s="3928" t="s">
        <v>2258</v>
      </c>
      <c r="B3335" s="3928" t="s">
        <v>14</v>
      </c>
      <c r="C3335" s="3928" t="s">
        <v>7591</v>
      </c>
      <c r="D3335" s="3928" t="s">
        <v>7592</v>
      </c>
      <c r="E3335" s="3928" t="s">
        <v>7593</v>
      </c>
      <c r="F3335" s="3928" t="s">
        <v>2469</v>
      </c>
      <c r="G3335" s="3928" t="s">
        <v>7594</v>
      </c>
      <c r="H3335" s="3928" t="s">
        <v>24</v>
      </c>
      <c r="I3335" s="3928" t="s">
        <v>912</v>
      </c>
    </row>
    <row r="3336" spans="1:9" ht="11.25" customHeight="1">
      <c r="A3336" s="3928" t="s">
        <v>2258</v>
      </c>
      <c r="B3336" s="3928" t="s">
        <v>14</v>
      </c>
      <c r="C3336" s="3928" t="s">
        <v>5421</v>
      </c>
      <c r="D3336" s="3928" t="s">
        <v>5422</v>
      </c>
      <c r="E3336" s="3928" t="s">
        <v>5423</v>
      </c>
      <c r="F3336" s="3928" t="s">
        <v>2262</v>
      </c>
      <c r="G3336" s="3928" t="s">
        <v>24</v>
      </c>
      <c r="H3336" s="3928" t="s">
        <v>2263</v>
      </c>
      <c r="I3336" s="3928" t="s">
        <v>912</v>
      </c>
    </row>
    <row r="3337" spans="1:9" ht="11.25" customHeight="1">
      <c r="A3337" s="3928" t="s">
        <v>2258</v>
      </c>
      <c r="B3337" s="3928" t="s">
        <v>14</v>
      </c>
      <c r="C3337" s="3928" t="s">
        <v>8167</v>
      </c>
      <c r="D3337" s="3928" t="s">
        <v>8168</v>
      </c>
      <c r="E3337" s="3928" t="s">
        <v>8169</v>
      </c>
      <c r="F3337" s="3928" t="s">
        <v>2414</v>
      </c>
      <c r="G3337" s="3928" t="s">
        <v>24</v>
      </c>
      <c r="H3337" s="3928" t="s">
        <v>8170</v>
      </c>
      <c r="I3337" s="3928" t="s">
        <v>912</v>
      </c>
    </row>
    <row r="3338" spans="1:9" ht="11.25" customHeight="1">
      <c r="A3338" s="3928" t="s">
        <v>2258</v>
      </c>
      <c r="B3338" s="3928" t="s">
        <v>14</v>
      </c>
      <c r="C3338" s="3928" t="s">
        <v>7595</v>
      </c>
      <c r="D3338" s="3928" t="s">
        <v>7596</v>
      </c>
      <c r="E3338" s="3928" t="s">
        <v>7597</v>
      </c>
      <c r="F3338" s="3928" t="s">
        <v>2289</v>
      </c>
      <c r="G3338" s="3928" t="s">
        <v>24</v>
      </c>
      <c r="H3338" s="3928" t="s">
        <v>24</v>
      </c>
      <c r="I3338" s="3928" t="s">
        <v>912</v>
      </c>
    </row>
    <row r="3339" spans="1:9" ht="11.25" customHeight="1">
      <c r="A3339" s="3928" t="s">
        <v>2258</v>
      </c>
      <c r="B3339" s="3928" t="s">
        <v>14</v>
      </c>
      <c r="C3339" s="3928" t="s">
        <v>5428</v>
      </c>
      <c r="D3339" s="3928" t="s">
        <v>5429</v>
      </c>
      <c r="E3339" s="3928" t="s">
        <v>5430</v>
      </c>
      <c r="F3339" s="3928" t="s">
        <v>2675</v>
      </c>
      <c r="G3339" s="3928" t="s">
        <v>24</v>
      </c>
      <c r="H3339" s="3928" t="s">
        <v>3068</v>
      </c>
      <c r="I3339" s="3928" t="s">
        <v>912</v>
      </c>
    </row>
    <row r="3340" spans="1:9" ht="11.25" customHeight="1">
      <c r="A3340" s="3928" t="s">
        <v>2258</v>
      </c>
      <c r="B3340" s="3928" t="s">
        <v>14</v>
      </c>
      <c r="C3340" s="3928" t="s">
        <v>5435</v>
      </c>
      <c r="D3340" s="3928" t="s">
        <v>5436</v>
      </c>
      <c r="E3340" s="3928" t="s">
        <v>5437</v>
      </c>
      <c r="F3340" s="3928" t="s">
        <v>2409</v>
      </c>
      <c r="G3340" s="3928" t="s">
        <v>24</v>
      </c>
      <c r="H3340" s="3928" t="s">
        <v>5438</v>
      </c>
      <c r="I3340" s="3928" t="s">
        <v>912</v>
      </c>
    </row>
    <row r="3341" spans="1:9" ht="11.25" customHeight="1">
      <c r="A3341" s="3928" t="s">
        <v>2258</v>
      </c>
      <c r="B3341" s="3928" t="s">
        <v>14</v>
      </c>
      <c r="C3341" s="3928" t="s">
        <v>7598</v>
      </c>
      <c r="D3341" s="3928" t="s">
        <v>7599</v>
      </c>
      <c r="E3341" s="3928" t="s">
        <v>7600</v>
      </c>
      <c r="F3341" s="3928" t="s">
        <v>2289</v>
      </c>
      <c r="G3341" s="3928" t="s">
        <v>7601</v>
      </c>
      <c r="H3341" s="3928" t="s">
        <v>24</v>
      </c>
      <c r="I3341" s="3928" t="s">
        <v>912</v>
      </c>
    </row>
    <row r="3342" spans="1:9" ht="11.25" customHeight="1">
      <c r="A3342" s="3928" t="s">
        <v>2258</v>
      </c>
      <c r="B3342" s="3928" t="s">
        <v>14</v>
      </c>
      <c r="C3342" s="3928" t="s">
        <v>7602</v>
      </c>
      <c r="D3342" s="3928" t="s">
        <v>7603</v>
      </c>
      <c r="E3342" s="3928" t="s">
        <v>7604</v>
      </c>
      <c r="F3342" s="3928" t="s">
        <v>2289</v>
      </c>
      <c r="G3342" s="3928" t="s">
        <v>7605</v>
      </c>
      <c r="H3342" s="3928" t="s">
        <v>24</v>
      </c>
      <c r="I3342" s="3928" t="s">
        <v>912</v>
      </c>
    </row>
    <row r="3343" spans="1:9" ht="11.25" customHeight="1">
      <c r="A3343" s="3928" t="s">
        <v>2258</v>
      </c>
      <c r="B3343" s="3928" t="s">
        <v>14</v>
      </c>
      <c r="C3343" s="3928" t="s">
        <v>7606</v>
      </c>
      <c r="D3343" s="3928" t="s">
        <v>7607</v>
      </c>
      <c r="E3343" s="3928" t="s">
        <v>7608</v>
      </c>
      <c r="F3343" s="3928" t="s">
        <v>2567</v>
      </c>
      <c r="G3343" s="3928" t="s">
        <v>7609</v>
      </c>
      <c r="H3343" s="3928" t="s">
        <v>2945</v>
      </c>
      <c r="I3343" s="3928" t="s">
        <v>912</v>
      </c>
    </row>
    <row r="3344" spans="1:9" ht="11.25" customHeight="1">
      <c r="A3344" s="3928" t="s">
        <v>2258</v>
      </c>
      <c r="B3344" s="3928" t="s">
        <v>14</v>
      </c>
      <c r="C3344" s="3928" t="s">
        <v>7614</v>
      </c>
      <c r="D3344" s="3928" t="s">
        <v>7615</v>
      </c>
      <c r="E3344" s="3928" t="s">
        <v>7616</v>
      </c>
      <c r="F3344" s="3928" t="s">
        <v>5310</v>
      </c>
      <c r="G3344" s="3928" t="s">
        <v>7617</v>
      </c>
      <c r="H3344" s="3928" t="s">
        <v>24</v>
      </c>
      <c r="I3344" s="3928" t="s">
        <v>912</v>
      </c>
    </row>
    <row r="3345" spans="1:9" ht="11.25" customHeight="1">
      <c r="A3345" s="3928" t="s">
        <v>2258</v>
      </c>
      <c r="B3345" s="3928" t="s">
        <v>14</v>
      </c>
      <c r="C3345" s="3928" t="s">
        <v>7618</v>
      </c>
      <c r="D3345" s="3928" t="s">
        <v>7619</v>
      </c>
      <c r="E3345" s="3928" t="s">
        <v>7620</v>
      </c>
      <c r="F3345" s="3928" t="s">
        <v>2354</v>
      </c>
      <c r="G3345" s="3928" t="s">
        <v>24</v>
      </c>
      <c r="H3345" s="3928" t="s">
        <v>2848</v>
      </c>
      <c r="I3345" s="3928" t="s">
        <v>912</v>
      </c>
    </row>
    <row r="3346" spans="1:9" ht="11.25" customHeight="1">
      <c r="A3346" s="3928" t="s">
        <v>2258</v>
      </c>
      <c r="B3346" s="3928" t="s">
        <v>14</v>
      </c>
      <c r="C3346" s="3928" t="s">
        <v>8171</v>
      </c>
      <c r="D3346" s="3928" t="s">
        <v>8172</v>
      </c>
      <c r="E3346" s="3928" t="s">
        <v>8173</v>
      </c>
      <c r="F3346" s="3928" t="s">
        <v>3353</v>
      </c>
      <c r="G3346" s="3928" t="s">
        <v>24</v>
      </c>
      <c r="H3346" s="3928" t="s">
        <v>6924</v>
      </c>
      <c r="I3346" s="3928" t="s">
        <v>912</v>
      </c>
    </row>
    <row r="3347" spans="1:9" ht="11.25" customHeight="1">
      <c r="A3347" s="3928" t="s">
        <v>2258</v>
      </c>
      <c r="B3347" s="3928" t="s">
        <v>14</v>
      </c>
      <c r="C3347" s="3928" t="s">
        <v>5450</v>
      </c>
      <c r="D3347" s="3928" t="s">
        <v>5451</v>
      </c>
      <c r="E3347" s="3928" t="s">
        <v>5452</v>
      </c>
      <c r="F3347" s="3928" t="s">
        <v>3370</v>
      </c>
      <c r="G3347" s="3928" t="s">
        <v>5453</v>
      </c>
      <c r="H3347" s="3928" t="s">
        <v>24</v>
      </c>
      <c r="I3347" s="3928" t="s">
        <v>912</v>
      </c>
    </row>
    <row r="3348" spans="1:9" ht="11.25" customHeight="1">
      <c r="A3348" s="3928" t="s">
        <v>2258</v>
      </c>
      <c r="B3348" s="3928" t="s">
        <v>14</v>
      </c>
      <c r="C3348" s="3928" t="s">
        <v>5458</v>
      </c>
      <c r="D3348" s="3928" t="s">
        <v>5459</v>
      </c>
      <c r="E3348" s="3928" t="s">
        <v>5460</v>
      </c>
      <c r="F3348" s="3928" t="s">
        <v>5461</v>
      </c>
      <c r="G3348" s="3928" t="s">
        <v>3631</v>
      </c>
      <c r="H3348" s="3928" t="s">
        <v>24</v>
      </c>
      <c r="I3348" s="3928" t="s">
        <v>912</v>
      </c>
    </row>
    <row r="3349" spans="1:9" ht="11.25" customHeight="1">
      <c r="A3349" s="3928" t="s">
        <v>2258</v>
      </c>
      <c r="B3349" s="3928" t="s">
        <v>14</v>
      </c>
      <c r="C3349" s="3928" t="s">
        <v>5470</v>
      </c>
      <c r="D3349" s="3928" t="s">
        <v>5471</v>
      </c>
      <c r="E3349" s="3928" t="s">
        <v>5472</v>
      </c>
      <c r="F3349" s="3928" t="s">
        <v>2344</v>
      </c>
      <c r="G3349" s="3928" t="s">
        <v>5473</v>
      </c>
      <c r="H3349" s="3928" t="s">
        <v>24</v>
      </c>
      <c r="I3349" s="3928" t="s">
        <v>912</v>
      </c>
    </row>
    <row r="3350" spans="1:9" ht="11.25" customHeight="1">
      <c r="A3350" s="3928" t="s">
        <v>2258</v>
      </c>
      <c r="B3350" s="3928" t="s">
        <v>14</v>
      </c>
      <c r="C3350" s="3928" t="s">
        <v>7624</v>
      </c>
      <c r="D3350" s="3928" t="s">
        <v>7625</v>
      </c>
      <c r="E3350" s="3928" t="s">
        <v>7626</v>
      </c>
      <c r="F3350" s="3928" t="s">
        <v>5930</v>
      </c>
      <c r="G3350" s="3928" t="s">
        <v>7627</v>
      </c>
      <c r="H3350" s="3928" t="s">
        <v>24</v>
      </c>
      <c r="I3350" s="3928" t="s">
        <v>912</v>
      </c>
    </row>
    <row r="3351" spans="1:9" ht="11.25" customHeight="1">
      <c r="A3351" s="3928" t="s">
        <v>2258</v>
      </c>
      <c r="B3351" s="3928" t="s">
        <v>14</v>
      </c>
      <c r="C3351" s="3928" t="s">
        <v>5497</v>
      </c>
      <c r="D3351" s="3928" t="s">
        <v>5498</v>
      </c>
      <c r="E3351" s="3928" t="s">
        <v>5499</v>
      </c>
      <c r="F3351" s="3928" t="s">
        <v>2796</v>
      </c>
      <c r="G3351" s="3928" t="s">
        <v>24</v>
      </c>
      <c r="H3351" s="3928" t="s">
        <v>2263</v>
      </c>
      <c r="I3351" s="3928" t="s">
        <v>912</v>
      </c>
    </row>
    <row r="3352" spans="1:9" ht="11.25" customHeight="1">
      <c r="A3352" s="3928" t="s">
        <v>2258</v>
      </c>
      <c r="B3352" s="3928" t="s">
        <v>14</v>
      </c>
      <c r="C3352" s="3928" t="s">
        <v>7632</v>
      </c>
      <c r="D3352" s="3928" t="s">
        <v>7633</v>
      </c>
      <c r="E3352" s="3928" t="s">
        <v>7634</v>
      </c>
      <c r="F3352" s="3928" t="s">
        <v>2796</v>
      </c>
      <c r="G3352" s="3928" t="s">
        <v>7635</v>
      </c>
      <c r="H3352" s="3928" t="s">
        <v>2263</v>
      </c>
      <c r="I3352" s="3928" t="s">
        <v>912</v>
      </c>
    </row>
    <row r="3353" spans="1:9" ht="11.25" customHeight="1">
      <c r="A3353" s="3928" t="s">
        <v>2258</v>
      </c>
      <c r="B3353" s="3928" t="s">
        <v>14</v>
      </c>
      <c r="C3353" s="3928" t="s">
        <v>7636</v>
      </c>
      <c r="D3353" s="3928" t="s">
        <v>7637</v>
      </c>
      <c r="E3353" s="3928" t="s">
        <v>7638</v>
      </c>
      <c r="F3353" s="3928" t="s">
        <v>2397</v>
      </c>
      <c r="G3353" s="3928" t="s">
        <v>7639</v>
      </c>
      <c r="H3353" s="3928" t="s">
        <v>24</v>
      </c>
      <c r="I3353" s="3928" t="s">
        <v>912</v>
      </c>
    </row>
    <row r="3354" spans="1:9" ht="11.25" customHeight="1">
      <c r="A3354" s="3928" t="s">
        <v>2258</v>
      </c>
      <c r="B3354" s="3928" t="s">
        <v>14</v>
      </c>
      <c r="C3354" s="3928" t="s">
        <v>5508</v>
      </c>
      <c r="D3354" s="3928" t="s">
        <v>5509</v>
      </c>
      <c r="E3354" s="3928" t="s">
        <v>5510</v>
      </c>
      <c r="F3354" s="3928" t="s">
        <v>2289</v>
      </c>
      <c r="G3354" s="3928" t="s">
        <v>5511</v>
      </c>
      <c r="H3354" s="3928" t="s">
        <v>24</v>
      </c>
      <c r="I3354" s="3928" t="s">
        <v>912</v>
      </c>
    </row>
    <row r="3355" spans="1:9" ht="11.25" customHeight="1">
      <c r="A3355" s="3928" t="s">
        <v>2258</v>
      </c>
      <c r="B3355" s="3928" t="s">
        <v>14</v>
      </c>
      <c r="C3355" s="3928" t="s">
        <v>8174</v>
      </c>
      <c r="D3355" s="3928" t="s">
        <v>8175</v>
      </c>
      <c r="E3355" s="3928" t="s">
        <v>8176</v>
      </c>
      <c r="F3355" s="3928" t="s">
        <v>2802</v>
      </c>
      <c r="G3355" s="3928" t="s">
        <v>4908</v>
      </c>
      <c r="H3355" s="3928" t="s">
        <v>2263</v>
      </c>
      <c r="I3355" s="3928" t="s">
        <v>912</v>
      </c>
    </row>
    <row r="3356" spans="1:9" ht="11.25" customHeight="1">
      <c r="A3356" s="3928" t="s">
        <v>2258</v>
      </c>
      <c r="B3356" s="3928" t="s">
        <v>14</v>
      </c>
      <c r="C3356" s="3928" t="s">
        <v>7640</v>
      </c>
      <c r="D3356" s="3928" t="s">
        <v>7641</v>
      </c>
      <c r="E3356" s="3928" t="s">
        <v>7642</v>
      </c>
      <c r="F3356" s="3928" t="s">
        <v>2289</v>
      </c>
      <c r="G3356" s="3928" t="s">
        <v>24</v>
      </c>
      <c r="H3356" s="3928" t="s">
        <v>24</v>
      </c>
      <c r="I3356" s="3928" t="s">
        <v>912</v>
      </c>
    </row>
    <row r="3357" spans="1:9" ht="11.25" customHeight="1">
      <c r="A3357" s="3928" t="s">
        <v>2258</v>
      </c>
      <c r="B3357" s="3928" t="s">
        <v>14</v>
      </c>
      <c r="C3357" s="3928" t="s">
        <v>5521</v>
      </c>
      <c r="D3357" s="3928" t="s">
        <v>5522</v>
      </c>
      <c r="E3357" s="3928" t="s">
        <v>5523</v>
      </c>
      <c r="F3357" s="3928" t="s">
        <v>2473</v>
      </c>
      <c r="G3357" s="3928" t="s">
        <v>5524</v>
      </c>
      <c r="H3357" s="3928" t="s">
        <v>24</v>
      </c>
      <c r="I3357" s="3928" t="s">
        <v>912</v>
      </c>
    </row>
    <row r="3358" spans="1:9" ht="11.25" customHeight="1">
      <c r="A3358" s="3928" t="s">
        <v>2258</v>
      </c>
      <c r="B3358" s="3928" t="s">
        <v>14</v>
      </c>
      <c r="C3358" s="3928" t="s">
        <v>5528</v>
      </c>
      <c r="D3358" s="3928" t="s">
        <v>5526</v>
      </c>
      <c r="E3358" s="3928" t="s">
        <v>5529</v>
      </c>
      <c r="F3358" s="3928" t="s">
        <v>3086</v>
      </c>
      <c r="G3358" s="3928" t="s">
        <v>5530</v>
      </c>
      <c r="H3358" s="3928" t="s">
        <v>24</v>
      </c>
      <c r="I3358" s="3928" t="s">
        <v>912</v>
      </c>
    </row>
    <row r="3359" spans="1:9" ht="11.25" customHeight="1">
      <c r="A3359" s="3928" t="s">
        <v>2258</v>
      </c>
      <c r="B3359" s="3928" t="s">
        <v>14</v>
      </c>
      <c r="C3359" s="3928" t="s">
        <v>5535</v>
      </c>
      <c r="D3359" s="3928" t="s">
        <v>5536</v>
      </c>
      <c r="E3359" s="3928" t="s">
        <v>5537</v>
      </c>
      <c r="F3359" s="3928" t="s">
        <v>3051</v>
      </c>
      <c r="G3359" s="3928" t="s">
        <v>24</v>
      </c>
      <c r="H3359" s="3928" t="s">
        <v>2772</v>
      </c>
      <c r="I3359" s="3928" t="s">
        <v>912</v>
      </c>
    </row>
    <row r="3360" spans="1:9" ht="11.25" customHeight="1">
      <c r="A3360" s="3928" t="s">
        <v>2258</v>
      </c>
      <c r="B3360" s="3928" t="s">
        <v>14</v>
      </c>
      <c r="C3360" s="3928" t="s">
        <v>5547</v>
      </c>
      <c r="D3360" s="3928" t="s">
        <v>5548</v>
      </c>
      <c r="E3360" s="3928" t="s">
        <v>5549</v>
      </c>
      <c r="F3360" s="3928" t="s">
        <v>2688</v>
      </c>
      <c r="G3360" s="3928" t="s">
        <v>5550</v>
      </c>
      <c r="H3360" s="3928" t="s">
        <v>24</v>
      </c>
      <c r="I3360" s="3928" t="s">
        <v>912</v>
      </c>
    </row>
    <row r="3361" spans="1:9" ht="11.25" customHeight="1">
      <c r="A3361" s="3928" t="s">
        <v>2258</v>
      </c>
      <c r="B3361" s="3928" t="s">
        <v>14</v>
      </c>
      <c r="C3361" s="3928" t="s">
        <v>5561</v>
      </c>
      <c r="D3361" s="3928" t="s">
        <v>5562</v>
      </c>
      <c r="E3361" s="3928" t="s">
        <v>5563</v>
      </c>
      <c r="F3361" s="3928" t="s">
        <v>3509</v>
      </c>
      <c r="G3361" s="3928" t="s">
        <v>24</v>
      </c>
      <c r="H3361" s="3928" t="s">
        <v>2263</v>
      </c>
      <c r="I3361" s="3928" t="s">
        <v>912</v>
      </c>
    </row>
    <row r="3362" spans="1:9" ht="11.25" customHeight="1">
      <c r="A3362" s="3928" t="s">
        <v>2258</v>
      </c>
      <c r="B3362" s="3928" t="s">
        <v>14</v>
      </c>
      <c r="C3362" s="3928" t="s">
        <v>7643</v>
      </c>
      <c r="D3362" s="3928" t="s">
        <v>7644</v>
      </c>
      <c r="E3362" s="3928" t="s">
        <v>7645</v>
      </c>
      <c r="F3362" s="3928" t="s">
        <v>49</v>
      </c>
      <c r="G3362" s="3928" t="s">
        <v>24</v>
      </c>
      <c r="H3362" s="3928" t="s">
        <v>24</v>
      </c>
      <c r="I3362" s="3928" t="s">
        <v>912</v>
      </c>
    </row>
    <row r="3363" spans="1:9" ht="11.25" customHeight="1">
      <c r="A3363" s="3928" t="s">
        <v>2258</v>
      </c>
      <c r="B3363" s="3928" t="s">
        <v>14</v>
      </c>
      <c r="C3363" s="3928" t="s">
        <v>8177</v>
      </c>
      <c r="D3363" s="3928" t="s">
        <v>8178</v>
      </c>
      <c r="E3363" s="3928" t="s">
        <v>8179</v>
      </c>
      <c r="F3363" s="3928" t="s">
        <v>49</v>
      </c>
      <c r="G3363" s="3928" t="s">
        <v>8180</v>
      </c>
      <c r="H3363" s="3928" t="s">
        <v>24</v>
      </c>
      <c r="I3363" s="3928" t="s">
        <v>912</v>
      </c>
    </row>
    <row r="3364" spans="1:9" ht="11.25" customHeight="1">
      <c r="A3364" s="3928" t="s">
        <v>2258</v>
      </c>
      <c r="B3364" s="3928" t="s">
        <v>14</v>
      </c>
      <c r="C3364" s="3928" t="s">
        <v>8181</v>
      </c>
      <c r="D3364" s="3928" t="s">
        <v>8182</v>
      </c>
      <c r="E3364" s="3928" t="s">
        <v>8183</v>
      </c>
      <c r="F3364" s="3928" t="s">
        <v>8184</v>
      </c>
      <c r="G3364" s="3928" t="s">
        <v>24</v>
      </c>
      <c r="H3364" s="3928" t="s">
        <v>24</v>
      </c>
      <c r="I3364" s="3928" t="s">
        <v>912</v>
      </c>
    </row>
    <row r="3365" spans="1:9" ht="11.25" customHeight="1">
      <c r="A3365" s="3928" t="s">
        <v>2258</v>
      </c>
      <c r="B3365" s="3928" t="s">
        <v>14</v>
      </c>
      <c r="C3365" s="3928" t="s">
        <v>7650</v>
      </c>
      <c r="D3365" s="3928" t="s">
        <v>7651</v>
      </c>
      <c r="E3365" s="3928" t="s">
        <v>7652</v>
      </c>
      <c r="F3365" s="3928" t="s">
        <v>2567</v>
      </c>
      <c r="G3365" s="3928" t="s">
        <v>7653</v>
      </c>
      <c r="H3365" s="3928" t="s">
        <v>24</v>
      </c>
      <c r="I3365" s="3928" t="s">
        <v>912</v>
      </c>
    </row>
    <row r="3366" spans="1:9" ht="11.25" customHeight="1">
      <c r="A3366" s="3928" t="s">
        <v>2258</v>
      </c>
      <c r="B3366" s="3928" t="s">
        <v>14</v>
      </c>
      <c r="C3366" s="3928" t="s">
        <v>8185</v>
      </c>
      <c r="D3366" s="3928" t="s">
        <v>8186</v>
      </c>
      <c r="E3366" s="3928" t="s">
        <v>8187</v>
      </c>
      <c r="F3366" s="3928" t="s">
        <v>2802</v>
      </c>
      <c r="G3366" s="3928" t="s">
        <v>8188</v>
      </c>
      <c r="H3366" s="3928" t="s">
        <v>24</v>
      </c>
      <c r="I3366" s="3928" t="s">
        <v>912</v>
      </c>
    </row>
    <row r="3367" spans="1:9" ht="11.25" customHeight="1">
      <c r="A3367" s="3928" t="s">
        <v>2258</v>
      </c>
      <c r="B3367" s="3928" t="s">
        <v>14</v>
      </c>
      <c r="C3367" s="3928" t="s">
        <v>6447</v>
      </c>
      <c r="D3367" s="3928" t="s">
        <v>6448</v>
      </c>
      <c r="E3367" s="3928" t="s">
        <v>6449</v>
      </c>
      <c r="F3367" s="3928" t="s">
        <v>2486</v>
      </c>
      <c r="G3367" s="3928" t="s">
        <v>24</v>
      </c>
      <c r="H3367" s="3928" t="s">
        <v>24</v>
      </c>
      <c r="I3367" s="3928" t="s">
        <v>912</v>
      </c>
    </row>
    <row r="3368" spans="1:9" ht="11.25" customHeight="1">
      <c r="A3368" s="3928" t="s">
        <v>2258</v>
      </c>
      <c r="B3368" s="3928" t="s">
        <v>14</v>
      </c>
      <c r="C3368" s="3928" t="s">
        <v>8189</v>
      </c>
      <c r="D3368" s="3928" t="s">
        <v>8190</v>
      </c>
      <c r="E3368" s="3928" t="s">
        <v>8191</v>
      </c>
      <c r="F3368" s="3928" t="s">
        <v>2771</v>
      </c>
      <c r="G3368" s="3928" t="s">
        <v>8073</v>
      </c>
      <c r="H3368" s="3928" t="s">
        <v>24</v>
      </c>
      <c r="I3368" s="3928" t="s">
        <v>912</v>
      </c>
    </row>
    <row r="3369" spans="1:9" ht="11.25" customHeight="1">
      <c r="A3369" s="3928" t="s">
        <v>2258</v>
      </c>
      <c r="B3369" s="3928" t="s">
        <v>14</v>
      </c>
      <c r="C3369" s="3928" t="s">
        <v>7657</v>
      </c>
      <c r="D3369" s="3928" t="s">
        <v>7658</v>
      </c>
      <c r="E3369" s="3928" t="s">
        <v>7659</v>
      </c>
      <c r="F3369" s="3928" t="s">
        <v>2262</v>
      </c>
      <c r="G3369" s="3928" t="s">
        <v>7660</v>
      </c>
      <c r="H3369" s="3928" t="s">
        <v>2848</v>
      </c>
      <c r="I3369" s="3928" t="s">
        <v>912</v>
      </c>
    </row>
    <row r="3370" spans="1:9" ht="11.25" customHeight="1">
      <c r="A3370" s="3928" t="s">
        <v>2258</v>
      </c>
      <c r="B3370" s="3928" t="s">
        <v>14</v>
      </c>
      <c r="C3370" s="3928" t="s">
        <v>5567</v>
      </c>
      <c r="D3370" s="3928" t="s">
        <v>5568</v>
      </c>
      <c r="E3370" s="3928" t="s">
        <v>5569</v>
      </c>
      <c r="F3370" s="3928" t="s">
        <v>2349</v>
      </c>
      <c r="G3370" s="3928" t="s">
        <v>24</v>
      </c>
      <c r="H3370" s="3928" t="s">
        <v>5570</v>
      </c>
      <c r="I3370" s="3928" t="s">
        <v>912</v>
      </c>
    </row>
    <row r="3371" spans="1:9" ht="11.25" customHeight="1">
      <c r="A3371" s="3928" t="s">
        <v>2258</v>
      </c>
      <c r="B3371" s="3928" t="s">
        <v>14</v>
      </c>
      <c r="C3371" s="3928" t="s">
        <v>8192</v>
      </c>
      <c r="D3371" s="3928" t="s">
        <v>8193</v>
      </c>
      <c r="E3371" s="3928" t="s">
        <v>8194</v>
      </c>
      <c r="F3371" s="3928" t="s">
        <v>2397</v>
      </c>
      <c r="G3371" s="3928" t="s">
        <v>24</v>
      </c>
      <c r="H3371" s="3928" t="s">
        <v>24</v>
      </c>
      <c r="I3371" s="3928" t="s">
        <v>912</v>
      </c>
    </row>
    <row r="3372" spans="1:9" ht="11.25" customHeight="1">
      <c r="A3372" s="3928" t="s">
        <v>2258</v>
      </c>
      <c r="B3372" s="3928" t="s">
        <v>14</v>
      </c>
      <c r="C3372" s="3928" t="s">
        <v>5578</v>
      </c>
      <c r="D3372" s="3928" t="s">
        <v>5579</v>
      </c>
      <c r="E3372" s="3928" t="s">
        <v>5580</v>
      </c>
      <c r="F3372" s="3928" t="s">
        <v>2304</v>
      </c>
      <c r="G3372" s="3928" t="s">
        <v>24</v>
      </c>
      <c r="H3372" s="3928" t="s">
        <v>24</v>
      </c>
      <c r="I3372" s="3928" t="s">
        <v>912</v>
      </c>
    </row>
    <row r="3373" spans="1:9" ht="11.25" customHeight="1">
      <c r="A3373" s="3928" t="s">
        <v>2258</v>
      </c>
      <c r="B3373" s="3928" t="s">
        <v>14</v>
      </c>
      <c r="C3373" s="3928" t="s">
        <v>7661</v>
      </c>
      <c r="D3373" s="3928" t="s">
        <v>7662</v>
      </c>
      <c r="E3373" s="3928" t="s">
        <v>7663</v>
      </c>
      <c r="F3373" s="3928" t="s">
        <v>2304</v>
      </c>
      <c r="G3373" s="3928" t="s">
        <v>7664</v>
      </c>
      <c r="H3373" s="3928" t="s">
        <v>7665</v>
      </c>
      <c r="I3373" s="3928" t="s">
        <v>912</v>
      </c>
    </row>
    <row r="3374" spans="1:9" ht="11.25" customHeight="1">
      <c r="A3374" s="3928" t="s">
        <v>2258</v>
      </c>
      <c r="B3374" s="3928" t="s">
        <v>14</v>
      </c>
      <c r="C3374" s="3928" t="s">
        <v>8195</v>
      </c>
      <c r="D3374" s="3928" t="s">
        <v>8196</v>
      </c>
      <c r="E3374" s="3928" t="s">
        <v>8197</v>
      </c>
      <c r="F3374" s="3928" t="s">
        <v>2451</v>
      </c>
      <c r="G3374" s="3928" t="s">
        <v>3064</v>
      </c>
      <c r="H3374" s="3928" t="s">
        <v>8198</v>
      </c>
      <c r="I3374" s="3928" t="s">
        <v>912</v>
      </c>
    </row>
    <row r="3375" spans="1:9" ht="11.25" customHeight="1">
      <c r="A3375" s="3928" t="s">
        <v>2258</v>
      </c>
      <c r="B3375" s="3928" t="s">
        <v>14</v>
      </c>
      <c r="C3375" s="3928" t="s">
        <v>5592</v>
      </c>
      <c r="D3375" s="3928" t="s">
        <v>5593</v>
      </c>
      <c r="E3375" s="3928" t="s">
        <v>5594</v>
      </c>
      <c r="F3375" s="3928" t="s">
        <v>2344</v>
      </c>
      <c r="G3375" s="3928" t="s">
        <v>5595</v>
      </c>
      <c r="H3375" s="3928" t="s">
        <v>24</v>
      </c>
      <c r="I3375" s="3928" t="s">
        <v>912</v>
      </c>
    </row>
    <row r="3376" spans="1:9" ht="11.25" customHeight="1">
      <c r="A3376" s="3928" t="s">
        <v>2258</v>
      </c>
      <c r="B3376" s="3928" t="s">
        <v>14</v>
      </c>
      <c r="C3376" s="3928" t="s">
        <v>5607</v>
      </c>
      <c r="D3376" s="3928" t="s">
        <v>5608</v>
      </c>
      <c r="E3376" s="3928" t="s">
        <v>5609</v>
      </c>
      <c r="F3376" s="3928" t="s">
        <v>2675</v>
      </c>
      <c r="G3376" s="3928" t="s">
        <v>24</v>
      </c>
      <c r="H3376" s="3928" t="s">
        <v>24</v>
      </c>
      <c r="I3376" s="3928" t="s">
        <v>912</v>
      </c>
    </row>
    <row r="3377" spans="1:9" ht="11.25" customHeight="1">
      <c r="A3377" s="3928" t="s">
        <v>2258</v>
      </c>
      <c r="B3377" s="3928" t="s">
        <v>14</v>
      </c>
      <c r="C3377" s="3928" t="s">
        <v>5610</v>
      </c>
      <c r="D3377" s="3928" t="s">
        <v>5608</v>
      </c>
      <c r="E3377" s="3928" t="s">
        <v>5611</v>
      </c>
      <c r="F3377" s="3928" t="s">
        <v>2486</v>
      </c>
      <c r="G3377" s="3928" t="s">
        <v>5612</v>
      </c>
      <c r="H3377" s="3928" t="s">
        <v>24</v>
      </c>
      <c r="I3377" s="3928" t="s">
        <v>912</v>
      </c>
    </row>
    <row r="3378" spans="1:9" ht="11.25" customHeight="1">
      <c r="A3378" s="3928" t="s">
        <v>2258</v>
      </c>
      <c r="B3378" s="3928" t="s">
        <v>14</v>
      </c>
      <c r="C3378" s="3928" t="s">
        <v>7666</v>
      </c>
      <c r="D3378" s="3928" t="s">
        <v>7667</v>
      </c>
      <c r="E3378" s="3928" t="s">
        <v>7668</v>
      </c>
      <c r="F3378" s="3928" t="s">
        <v>2419</v>
      </c>
      <c r="G3378" s="3928" t="s">
        <v>7669</v>
      </c>
      <c r="H3378" s="3928" t="s">
        <v>24</v>
      </c>
      <c r="I3378" s="3928" t="s">
        <v>912</v>
      </c>
    </row>
    <row r="3379" spans="1:9" ht="11.25" customHeight="1">
      <c r="A3379" s="3928" t="s">
        <v>2258</v>
      </c>
      <c r="B3379" s="3928" t="s">
        <v>14</v>
      </c>
      <c r="C3379" s="3928" t="s">
        <v>7670</v>
      </c>
      <c r="D3379" s="3928" t="s">
        <v>7671</v>
      </c>
      <c r="E3379" s="3928" t="s">
        <v>7672</v>
      </c>
      <c r="F3379" s="3928" t="s">
        <v>2522</v>
      </c>
      <c r="G3379" s="3928" t="s">
        <v>7673</v>
      </c>
      <c r="H3379" s="3928" t="s">
        <v>24</v>
      </c>
      <c r="I3379" s="3928" t="s">
        <v>912</v>
      </c>
    </row>
    <row r="3380" spans="1:9" ht="11.25" customHeight="1">
      <c r="A3380" s="3928" t="s">
        <v>2258</v>
      </c>
      <c r="B3380" s="3928" t="s">
        <v>14</v>
      </c>
      <c r="C3380" s="3928" t="s">
        <v>5625</v>
      </c>
      <c r="D3380" s="3928" t="s">
        <v>5626</v>
      </c>
      <c r="E3380" s="3928" t="s">
        <v>5627</v>
      </c>
      <c r="F3380" s="3928" t="s">
        <v>2473</v>
      </c>
      <c r="G3380" s="3928" t="s">
        <v>5628</v>
      </c>
      <c r="H3380" s="3928" t="s">
        <v>24</v>
      </c>
      <c r="I3380" s="3928" t="s">
        <v>912</v>
      </c>
    </row>
    <row r="3381" spans="1:9" ht="11.25" customHeight="1">
      <c r="A3381" s="3928" t="s">
        <v>2258</v>
      </c>
      <c r="B3381" s="3928" t="s">
        <v>14</v>
      </c>
      <c r="C3381" s="3928" t="s">
        <v>5629</v>
      </c>
      <c r="D3381" s="3928" t="s">
        <v>5630</v>
      </c>
      <c r="E3381" s="3928" t="s">
        <v>4478</v>
      </c>
      <c r="F3381" s="3928" t="s">
        <v>2262</v>
      </c>
      <c r="G3381" s="3928" t="s">
        <v>24</v>
      </c>
      <c r="H3381" s="3928" t="s">
        <v>24</v>
      </c>
      <c r="I3381" s="3928" t="s">
        <v>912</v>
      </c>
    </row>
    <row r="3382" spans="1:9" ht="11.25" customHeight="1">
      <c r="A3382" s="3928" t="s">
        <v>2258</v>
      </c>
      <c r="B3382" s="3928" t="s">
        <v>14</v>
      </c>
      <c r="C3382" s="3928" t="s">
        <v>8199</v>
      </c>
      <c r="D3382" s="3928" t="s">
        <v>8200</v>
      </c>
      <c r="E3382" s="3928" t="s">
        <v>8201</v>
      </c>
      <c r="F3382" s="3928" t="s">
        <v>7941</v>
      </c>
      <c r="G3382" s="3928" t="s">
        <v>8202</v>
      </c>
      <c r="H3382" s="3928" t="s">
        <v>24</v>
      </c>
      <c r="I3382" s="3928" t="s">
        <v>912</v>
      </c>
    </row>
    <row r="3383" spans="1:9" ht="11.25" customHeight="1">
      <c r="A3383" s="3928" t="s">
        <v>2258</v>
      </c>
      <c r="B3383" s="3928" t="s">
        <v>14</v>
      </c>
      <c r="C3383" s="3928" t="s">
        <v>8203</v>
      </c>
      <c r="D3383" s="3928" t="s">
        <v>8204</v>
      </c>
      <c r="E3383" s="3928" t="s">
        <v>8205</v>
      </c>
      <c r="F3383" s="3928" t="s">
        <v>2294</v>
      </c>
      <c r="G3383" s="3928" t="s">
        <v>8206</v>
      </c>
      <c r="H3383" s="3928" t="s">
        <v>24</v>
      </c>
      <c r="I3383" s="3928" t="s">
        <v>912</v>
      </c>
    </row>
    <row r="3384" spans="1:9" ht="11.25" customHeight="1">
      <c r="A3384" s="3928" t="s">
        <v>2258</v>
      </c>
      <c r="B3384" s="3928" t="s">
        <v>14</v>
      </c>
      <c r="C3384" s="3928" t="s">
        <v>8207</v>
      </c>
      <c r="D3384" s="3928" t="s">
        <v>8208</v>
      </c>
      <c r="E3384" s="3928" t="s">
        <v>8209</v>
      </c>
      <c r="F3384" s="3928" t="s">
        <v>2522</v>
      </c>
      <c r="G3384" s="3928" t="s">
        <v>24</v>
      </c>
      <c r="H3384" s="3928" t="s">
        <v>24</v>
      </c>
      <c r="I3384" s="3928" t="s">
        <v>912</v>
      </c>
    </row>
    <row r="3385" spans="1:9" ht="11.25" customHeight="1">
      <c r="A3385" s="3928" t="s">
        <v>2258</v>
      </c>
      <c r="B3385" s="3928" t="s">
        <v>14</v>
      </c>
      <c r="C3385" s="3928" t="s">
        <v>8210</v>
      </c>
      <c r="D3385" s="3928" t="s">
        <v>8211</v>
      </c>
      <c r="E3385" s="3928" t="s">
        <v>8212</v>
      </c>
      <c r="F3385" s="3928" t="s">
        <v>2522</v>
      </c>
      <c r="G3385" s="3928" t="s">
        <v>24</v>
      </c>
      <c r="H3385" s="3928" t="s">
        <v>24</v>
      </c>
      <c r="I3385" s="3928" t="s">
        <v>912</v>
      </c>
    </row>
    <row r="3386" spans="1:9" ht="11.25" customHeight="1">
      <c r="A3386" s="3928" t="s">
        <v>2258</v>
      </c>
      <c r="B3386" s="3928" t="s">
        <v>14</v>
      </c>
      <c r="C3386" s="3928" t="s">
        <v>7678</v>
      </c>
      <c r="D3386" s="3928" t="s">
        <v>7679</v>
      </c>
      <c r="E3386" s="3928" t="s">
        <v>7680</v>
      </c>
      <c r="F3386" s="3928" t="s">
        <v>2397</v>
      </c>
      <c r="G3386" s="3928" t="s">
        <v>24</v>
      </c>
      <c r="H3386" s="3928" t="s">
        <v>2848</v>
      </c>
      <c r="I3386" s="3928" t="s">
        <v>912</v>
      </c>
    </row>
    <row r="3387" spans="1:9" ht="11.25" customHeight="1">
      <c r="A3387" s="3928" t="s">
        <v>2258</v>
      </c>
      <c r="B3387" s="3928" t="s">
        <v>14</v>
      </c>
      <c r="C3387" s="3928" t="s">
        <v>7681</v>
      </c>
      <c r="D3387" s="3928" t="s">
        <v>7682</v>
      </c>
      <c r="E3387" s="3928" t="s">
        <v>7683</v>
      </c>
      <c r="F3387" s="3928" t="s">
        <v>3082</v>
      </c>
      <c r="G3387" s="3928" t="s">
        <v>7684</v>
      </c>
      <c r="H3387" s="3928" t="s">
        <v>24</v>
      </c>
      <c r="I3387" s="3928" t="s">
        <v>912</v>
      </c>
    </row>
    <row r="3388" spans="1:9" ht="11.25" customHeight="1">
      <c r="A3388" s="3928" t="s">
        <v>2258</v>
      </c>
      <c r="B3388" s="3928" t="s">
        <v>14</v>
      </c>
      <c r="C3388" s="3928" t="s">
        <v>7685</v>
      </c>
      <c r="D3388" s="3928" t="s">
        <v>7686</v>
      </c>
      <c r="E3388" s="3928" t="s">
        <v>7687</v>
      </c>
      <c r="F3388" s="3928" t="s">
        <v>6113</v>
      </c>
      <c r="G3388" s="3928" t="s">
        <v>7688</v>
      </c>
      <c r="H3388" s="3928" t="s">
        <v>24</v>
      </c>
      <c r="I3388" s="3928" t="s">
        <v>912</v>
      </c>
    </row>
    <row r="3389" spans="1:9" ht="11.25" customHeight="1">
      <c r="A3389" s="3928" t="s">
        <v>2258</v>
      </c>
      <c r="B3389" s="3928" t="s">
        <v>14</v>
      </c>
      <c r="C3389" s="3928" t="s">
        <v>7689</v>
      </c>
      <c r="D3389" s="3928" t="s">
        <v>7690</v>
      </c>
      <c r="E3389" s="3928" t="s">
        <v>7691</v>
      </c>
      <c r="F3389" s="3928" t="s">
        <v>2409</v>
      </c>
      <c r="G3389" s="3928" t="s">
        <v>24</v>
      </c>
      <c r="H3389" s="3928" t="s">
        <v>24</v>
      </c>
      <c r="I3389" s="3928" t="s">
        <v>912</v>
      </c>
    </row>
    <row r="3390" spans="1:9" ht="11.25" customHeight="1">
      <c r="A3390" s="3928" t="s">
        <v>2258</v>
      </c>
      <c r="B3390" s="3928" t="s">
        <v>14</v>
      </c>
      <c r="C3390" s="3928" t="s">
        <v>7692</v>
      </c>
      <c r="D3390" s="3928" t="s">
        <v>7693</v>
      </c>
      <c r="E3390" s="3928" t="s">
        <v>7694</v>
      </c>
      <c r="F3390" s="3928" t="s">
        <v>3039</v>
      </c>
      <c r="G3390" s="3928" t="s">
        <v>7695</v>
      </c>
      <c r="H3390" s="3928" t="s">
        <v>24</v>
      </c>
      <c r="I3390" s="3928" t="s">
        <v>912</v>
      </c>
    </row>
    <row r="3391" spans="1:9" ht="11.25" customHeight="1">
      <c r="A3391" s="3928" t="s">
        <v>2258</v>
      </c>
      <c r="B3391" s="3928" t="s">
        <v>14</v>
      </c>
      <c r="C3391" s="3928" t="s">
        <v>5644</v>
      </c>
      <c r="D3391" s="3928" t="s">
        <v>5645</v>
      </c>
      <c r="E3391" s="3928" t="s">
        <v>5646</v>
      </c>
      <c r="F3391" s="3928" t="s">
        <v>2486</v>
      </c>
      <c r="G3391" s="3928" t="s">
        <v>24</v>
      </c>
      <c r="H3391" s="3928" t="s">
        <v>24</v>
      </c>
      <c r="I3391" s="3928" t="s">
        <v>912</v>
      </c>
    </row>
    <row r="3392" spans="1:9" ht="11.25" customHeight="1">
      <c r="A3392" s="3928" t="s">
        <v>2258</v>
      </c>
      <c r="B3392" s="3928" t="s">
        <v>14</v>
      </c>
      <c r="C3392" s="3928" t="s">
        <v>7696</v>
      </c>
      <c r="D3392" s="3928" t="s">
        <v>7697</v>
      </c>
      <c r="E3392" s="3928" t="s">
        <v>7698</v>
      </c>
      <c r="F3392" s="3928" t="s">
        <v>2414</v>
      </c>
      <c r="G3392" s="3928" t="s">
        <v>7699</v>
      </c>
      <c r="H3392" s="3928" t="s">
        <v>24</v>
      </c>
      <c r="I3392" s="3928" t="s">
        <v>912</v>
      </c>
    </row>
    <row r="3393" spans="1:9" ht="11.25" customHeight="1">
      <c r="A3393" s="3928" t="s">
        <v>2258</v>
      </c>
      <c r="B3393" s="3928" t="s">
        <v>14</v>
      </c>
      <c r="C3393" s="3928" t="s">
        <v>7700</v>
      </c>
      <c r="D3393" s="3928" t="s">
        <v>7701</v>
      </c>
      <c r="E3393" s="3928" t="s">
        <v>7702</v>
      </c>
      <c r="F3393" s="3928" t="s">
        <v>2262</v>
      </c>
      <c r="G3393" s="3928" t="s">
        <v>24</v>
      </c>
      <c r="H3393" s="3928" t="s">
        <v>24</v>
      </c>
      <c r="I3393" s="3928" t="s">
        <v>912</v>
      </c>
    </row>
    <row r="3394" spans="1:9" ht="11.25" customHeight="1">
      <c r="A3394" s="3928" t="s">
        <v>2258</v>
      </c>
      <c r="B3394" s="3928" t="s">
        <v>14</v>
      </c>
      <c r="C3394" s="3928" t="s">
        <v>8213</v>
      </c>
      <c r="D3394" s="3928" t="s">
        <v>8214</v>
      </c>
      <c r="E3394" s="3928" t="s">
        <v>8215</v>
      </c>
      <c r="F3394" s="3928" t="s">
        <v>2929</v>
      </c>
      <c r="G3394" s="3928" t="s">
        <v>24</v>
      </c>
      <c r="H3394" s="3928" t="s">
        <v>8216</v>
      </c>
      <c r="I3394" s="3928" t="s">
        <v>912</v>
      </c>
    </row>
    <row r="3395" spans="1:9" ht="11.25" customHeight="1">
      <c r="A3395" s="3928" t="s">
        <v>2258</v>
      </c>
      <c r="B3395" s="3928" t="s">
        <v>14</v>
      </c>
      <c r="C3395" s="3928" t="s">
        <v>7709</v>
      </c>
      <c r="D3395" s="3928" t="s">
        <v>7710</v>
      </c>
      <c r="E3395" s="3928" t="s">
        <v>7711</v>
      </c>
      <c r="F3395" s="3928" t="s">
        <v>2701</v>
      </c>
      <c r="G3395" s="3928" t="s">
        <v>7712</v>
      </c>
      <c r="H3395" s="3928" t="s">
        <v>24</v>
      </c>
      <c r="I3395" s="3928" t="s">
        <v>912</v>
      </c>
    </row>
    <row r="3396" spans="1:9" ht="11.25" customHeight="1">
      <c r="A3396" s="3928" t="s">
        <v>2258</v>
      </c>
      <c r="B3396" s="3928" t="s">
        <v>14</v>
      </c>
      <c r="C3396" s="3928" t="s">
        <v>7713</v>
      </c>
      <c r="D3396" s="3928" t="s">
        <v>7714</v>
      </c>
      <c r="E3396" s="3928" t="s">
        <v>7715</v>
      </c>
      <c r="F3396" s="3928" t="s">
        <v>2289</v>
      </c>
      <c r="G3396" s="3928" t="s">
        <v>24</v>
      </c>
      <c r="H3396" s="3928" t="s">
        <v>7716</v>
      </c>
      <c r="I3396" s="3928" t="s">
        <v>912</v>
      </c>
    </row>
    <row r="3397" spans="1:9" ht="11.25" customHeight="1">
      <c r="A3397" s="3928" t="s">
        <v>2258</v>
      </c>
      <c r="B3397" s="3928" t="s">
        <v>14</v>
      </c>
      <c r="C3397" s="3928" t="s">
        <v>5659</v>
      </c>
      <c r="D3397" s="3928" t="s">
        <v>5660</v>
      </c>
      <c r="E3397" s="3928" t="s">
        <v>5661</v>
      </c>
      <c r="F3397" s="3928" t="s">
        <v>2289</v>
      </c>
      <c r="G3397" s="3928" t="s">
        <v>24</v>
      </c>
      <c r="H3397" s="3928" t="s">
        <v>24</v>
      </c>
      <c r="I3397" s="3928" t="s">
        <v>912</v>
      </c>
    </row>
    <row r="3398" spans="1:9" ht="11.25" customHeight="1">
      <c r="A3398" s="3928" t="s">
        <v>2258</v>
      </c>
      <c r="B3398" s="3928" t="s">
        <v>14</v>
      </c>
      <c r="C3398" s="3928" t="s">
        <v>5666</v>
      </c>
      <c r="D3398" s="3928" t="s">
        <v>5667</v>
      </c>
      <c r="E3398" s="3928" t="s">
        <v>5668</v>
      </c>
      <c r="F3398" s="3928" t="s">
        <v>2397</v>
      </c>
      <c r="G3398" s="3928" t="s">
        <v>24</v>
      </c>
      <c r="H3398" s="3928" t="s">
        <v>24</v>
      </c>
      <c r="I3398" s="3928" t="s">
        <v>912</v>
      </c>
    </row>
    <row r="3399" spans="1:9" ht="11.25" customHeight="1">
      <c r="A3399" s="3928" t="s">
        <v>2258</v>
      </c>
      <c r="B3399" s="3928" t="s">
        <v>14</v>
      </c>
      <c r="C3399" s="3928" t="s">
        <v>5669</v>
      </c>
      <c r="D3399" s="3928" t="s">
        <v>5670</v>
      </c>
      <c r="E3399" s="3928" t="s">
        <v>5671</v>
      </c>
      <c r="F3399" s="3928" t="s">
        <v>2294</v>
      </c>
      <c r="G3399" s="3928" t="s">
        <v>24</v>
      </c>
      <c r="H3399" s="3928" t="s">
        <v>24</v>
      </c>
      <c r="I3399" s="3928" t="s">
        <v>912</v>
      </c>
    </row>
    <row r="3400" spans="1:9" ht="11.25" customHeight="1">
      <c r="A3400" s="3928" t="s">
        <v>2258</v>
      </c>
      <c r="B3400" s="3928" t="s">
        <v>14</v>
      </c>
      <c r="C3400" s="3928" t="s">
        <v>8217</v>
      </c>
      <c r="D3400" s="3928" t="s">
        <v>8218</v>
      </c>
      <c r="E3400" s="3928" t="s">
        <v>8219</v>
      </c>
      <c r="F3400" s="3928" t="s">
        <v>2780</v>
      </c>
      <c r="G3400" s="3928" t="s">
        <v>8220</v>
      </c>
      <c r="H3400" s="3928" t="s">
        <v>8221</v>
      </c>
      <c r="I3400" s="3928" t="s">
        <v>912</v>
      </c>
    </row>
    <row r="3401" spans="1:9" ht="11.25" customHeight="1">
      <c r="A3401" s="3928" t="s">
        <v>2258</v>
      </c>
      <c r="B3401" s="3928" t="s">
        <v>14</v>
      </c>
      <c r="C3401" s="3928" t="s">
        <v>8222</v>
      </c>
      <c r="D3401" s="3928" t="s">
        <v>8223</v>
      </c>
      <c r="E3401" s="3928" t="s">
        <v>8224</v>
      </c>
      <c r="F3401" s="3928" t="s">
        <v>2522</v>
      </c>
      <c r="G3401" s="3928" t="s">
        <v>24</v>
      </c>
      <c r="H3401" s="3928" t="s">
        <v>24</v>
      </c>
      <c r="I3401" s="3928" t="s">
        <v>912</v>
      </c>
    </row>
    <row r="3402" spans="1:9" ht="11.25" customHeight="1">
      <c r="A3402" s="3928" t="s">
        <v>2258</v>
      </c>
      <c r="B3402" s="3928" t="s">
        <v>14</v>
      </c>
      <c r="C3402" s="3928" t="s">
        <v>7717</v>
      </c>
      <c r="D3402" s="3928" t="s">
        <v>7718</v>
      </c>
      <c r="E3402" s="3928" t="s">
        <v>7719</v>
      </c>
      <c r="F3402" s="3928" t="s">
        <v>2414</v>
      </c>
      <c r="G3402" s="3928" t="s">
        <v>7720</v>
      </c>
      <c r="H3402" s="3928" t="s">
        <v>24</v>
      </c>
      <c r="I3402" s="3928" t="s">
        <v>912</v>
      </c>
    </row>
    <row r="3403" spans="1:9" ht="11.25" customHeight="1">
      <c r="A3403" s="3928" t="s">
        <v>2258</v>
      </c>
      <c r="B3403" s="3928" t="s">
        <v>14</v>
      </c>
      <c r="C3403" s="3928" t="s">
        <v>7721</v>
      </c>
      <c r="D3403" s="3928" t="s">
        <v>7722</v>
      </c>
      <c r="E3403" s="3928" t="s">
        <v>7723</v>
      </c>
      <c r="F3403" s="3928" t="s">
        <v>2638</v>
      </c>
      <c r="G3403" s="3928" t="s">
        <v>7724</v>
      </c>
      <c r="H3403" s="3928" t="s">
        <v>3568</v>
      </c>
      <c r="I3403" s="3928" t="s">
        <v>912</v>
      </c>
    </row>
    <row r="3404" spans="1:9" ht="11.25" customHeight="1">
      <c r="A3404" s="3928" t="s">
        <v>2258</v>
      </c>
      <c r="B3404" s="3928" t="s">
        <v>14</v>
      </c>
      <c r="C3404" s="3928" t="s">
        <v>5686</v>
      </c>
      <c r="D3404" s="3928" t="s">
        <v>5687</v>
      </c>
      <c r="E3404" s="3928" t="s">
        <v>5688</v>
      </c>
      <c r="F3404" s="3928" t="s">
        <v>2409</v>
      </c>
      <c r="G3404" s="3928" t="s">
        <v>5689</v>
      </c>
      <c r="H3404" s="3928" t="s">
        <v>24</v>
      </c>
      <c r="I3404" s="3928" t="s">
        <v>912</v>
      </c>
    </row>
    <row r="3405" spans="1:9" ht="11.25" customHeight="1">
      <c r="A3405" s="3928" t="s">
        <v>2258</v>
      </c>
      <c r="B3405" s="3928" t="s">
        <v>14</v>
      </c>
      <c r="C3405" s="3928" t="s">
        <v>5697</v>
      </c>
      <c r="D3405" s="3928" t="s">
        <v>5698</v>
      </c>
      <c r="E3405" s="3928" t="s">
        <v>5699</v>
      </c>
      <c r="F3405" s="3928" t="s">
        <v>2473</v>
      </c>
      <c r="G3405" s="3928" t="s">
        <v>24</v>
      </c>
      <c r="H3405" s="3928" t="s">
        <v>3068</v>
      </c>
      <c r="I3405" s="3928" t="s">
        <v>912</v>
      </c>
    </row>
    <row r="3406" spans="1:9" ht="11.25" customHeight="1">
      <c r="A3406" s="3928" t="s">
        <v>2258</v>
      </c>
      <c r="B3406" s="3928" t="s">
        <v>14</v>
      </c>
      <c r="C3406" s="3928" t="s">
        <v>7731</v>
      </c>
      <c r="D3406" s="3928" t="s">
        <v>7732</v>
      </c>
      <c r="E3406" s="3928" t="s">
        <v>7733</v>
      </c>
      <c r="F3406" s="3928" t="s">
        <v>2409</v>
      </c>
      <c r="G3406" s="3928" t="s">
        <v>4621</v>
      </c>
      <c r="H3406" s="3928" t="s">
        <v>24</v>
      </c>
      <c r="I3406" s="3928" t="s">
        <v>912</v>
      </c>
    </row>
    <row r="3407" spans="1:9" ht="11.25" customHeight="1">
      <c r="A3407" s="3928" t="s">
        <v>2258</v>
      </c>
      <c r="B3407" s="3928" t="s">
        <v>14</v>
      </c>
      <c r="C3407" s="3928" t="s">
        <v>7734</v>
      </c>
      <c r="D3407" s="3928" t="s">
        <v>7735</v>
      </c>
      <c r="E3407" s="3928" t="s">
        <v>7736</v>
      </c>
      <c r="F3407" s="3928" t="s">
        <v>2397</v>
      </c>
      <c r="G3407" s="3928" t="s">
        <v>7737</v>
      </c>
      <c r="H3407" s="3928" t="s">
        <v>24</v>
      </c>
      <c r="I3407" s="3928" t="s">
        <v>912</v>
      </c>
    </row>
    <row r="3408" spans="1:9" ht="11.25" customHeight="1">
      <c r="A3408" s="3928" t="s">
        <v>2258</v>
      </c>
      <c r="B3408" s="3928" t="s">
        <v>14</v>
      </c>
      <c r="C3408" s="3928" t="s">
        <v>7746</v>
      </c>
      <c r="D3408" s="3928" t="s">
        <v>7747</v>
      </c>
      <c r="E3408" s="3928" t="s">
        <v>7748</v>
      </c>
      <c r="F3408" s="3928" t="s">
        <v>2414</v>
      </c>
      <c r="G3408" s="3928" t="s">
        <v>2443</v>
      </c>
      <c r="H3408" s="3928" t="s">
        <v>24</v>
      </c>
      <c r="I3408" s="3928" t="s">
        <v>912</v>
      </c>
    </row>
    <row r="3409" spans="1:9" ht="11.25" customHeight="1">
      <c r="A3409" s="3928" t="s">
        <v>2258</v>
      </c>
      <c r="B3409" s="3928" t="s">
        <v>14</v>
      </c>
      <c r="C3409" s="3928" t="s">
        <v>8225</v>
      </c>
      <c r="D3409" s="3928" t="s">
        <v>8226</v>
      </c>
      <c r="E3409" s="3928" t="s">
        <v>8227</v>
      </c>
      <c r="F3409" s="3928" t="s">
        <v>2522</v>
      </c>
      <c r="G3409" s="3928" t="s">
        <v>24</v>
      </c>
      <c r="H3409" s="3928" t="s">
        <v>24</v>
      </c>
      <c r="I3409" s="3928" t="s">
        <v>912</v>
      </c>
    </row>
    <row r="3410" spans="1:9" ht="11.25" customHeight="1">
      <c r="A3410" s="3928" t="s">
        <v>2258</v>
      </c>
      <c r="B3410" s="3928" t="s">
        <v>14</v>
      </c>
      <c r="C3410" s="3928" t="s">
        <v>7752</v>
      </c>
      <c r="D3410" s="3928" t="s">
        <v>7753</v>
      </c>
      <c r="E3410" s="3928" t="s">
        <v>7754</v>
      </c>
      <c r="F3410" s="3928" t="s">
        <v>5657</v>
      </c>
      <c r="G3410" s="3928" t="s">
        <v>7755</v>
      </c>
      <c r="H3410" s="3928" t="s">
        <v>24</v>
      </c>
      <c r="I3410" s="3928" t="s">
        <v>912</v>
      </c>
    </row>
    <row r="3411" spans="1:9" ht="11.25" customHeight="1">
      <c r="A3411" s="3928" t="s">
        <v>2258</v>
      </c>
      <c r="B3411" s="3928" t="s">
        <v>14</v>
      </c>
      <c r="C3411" s="3928" t="s">
        <v>5704</v>
      </c>
      <c r="D3411" s="3928" t="s">
        <v>5705</v>
      </c>
      <c r="E3411" s="3928" t="s">
        <v>5706</v>
      </c>
      <c r="F3411" s="3928" t="s">
        <v>2473</v>
      </c>
      <c r="G3411" s="3928" t="s">
        <v>24</v>
      </c>
      <c r="H3411" s="3928" t="s">
        <v>24</v>
      </c>
      <c r="I3411" s="3928" t="s">
        <v>912</v>
      </c>
    </row>
    <row r="3412" spans="1:9" ht="11.25" customHeight="1">
      <c r="A3412" s="3928" t="s">
        <v>2258</v>
      </c>
      <c r="B3412" s="3928" t="s">
        <v>14</v>
      </c>
      <c r="C3412" s="3928" t="s">
        <v>5707</v>
      </c>
      <c r="D3412" s="3928" t="s">
        <v>5708</v>
      </c>
      <c r="E3412" s="3928" t="s">
        <v>5709</v>
      </c>
      <c r="F3412" s="3928" t="s">
        <v>2349</v>
      </c>
      <c r="G3412" s="3928" t="s">
        <v>24</v>
      </c>
      <c r="H3412" s="3928" t="s">
        <v>24</v>
      </c>
      <c r="I3412" s="3928" t="s">
        <v>912</v>
      </c>
    </row>
    <row r="3413" spans="1:9" ht="11.25" customHeight="1">
      <c r="A3413" s="3928" t="s">
        <v>2258</v>
      </c>
      <c r="B3413" s="3928" t="s">
        <v>14</v>
      </c>
      <c r="C3413" s="3928" t="s">
        <v>7762</v>
      </c>
      <c r="D3413" s="3928" t="s">
        <v>7763</v>
      </c>
      <c r="E3413" s="3928" t="s">
        <v>7764</v>
      </c>
      <c r="F3413" s="3928" t="s">
        <v>2796</v>
      </c>
      <c r="G3413" s="3928" t="s">
        <v>24</v>
      </c>
      <c r="H3413" s="3928" t="s">
        <v>24</v>
      </c>
      <c r="I3413" s="3928" t="s">
        <v>912</v>
      </c>
    </row>
    <row r="3414" spans="1:9" ht="11.25" customHeight="1">
      <c r="A3414" s="3928" t="s">
        <v>2258</v>
      </c>
      <c r="B3414" s="3928" t="s">
        <v>14</v>
      </c>
      <c r="C3414" s="3928" t="s">
        <v>7765</v>
      </c>
      <c r="D3414" s="3928" t="s">
        <v>7766</v>
      </c>
      <c r="E3414" s="3928" t="s">
        <v>7767</v>
      </c>
      <c r="F3414" s="3928" t="s">
        <v>2486</v>
      </c>
      <c r="G3414" s="3928" t="s">
        <v>7768</v>
      </c>
      <c r="H3414" s="3928" t="s">
        <v>24</v>
      </c>
      <c r="I3414" s="3928" t="s">
        <v>912</v>
      </c>
    </row>
    <row r="3415" spans="1:9" ht="11.25" customHeight="1">
      <c r="A3415" s="3928" t="s">
        <v>2258</v>
      </c>
      <c r="B3415" s="3928" t="s">
        <v>14</v>
      </c>
      <c r="C3415" s="3928" t="s">
        <v>7769</v>
      </c>
      <c r="D3415" s="3928" t="s">
        <v>5718</v>
      </c>
      <c r="E3415" s="3928" t="s">
        <v>5719</v>
      </c>
      <c r="F3415" s="3928" t="s">
        <v>3370</v>
      </c>
      <c r="G3415" s="3928" t="s">
        <v>24</v>
      </c>
      <c r="H3415" s="3928" t="s">
        <v>2263</v>
      </c>
      <c r="I3415" s="3928" t="s">
        <v>912</v>
      </c>
    </row>
    <row r="3416" spans="1:9" ht="11.25" customHeight="1">
      <c r="A3416" s="3928" t="s">
        <v>2258</v>
      </c>
      <c r="B3416" s="3928" t="s">
        <v>14</v>
      </c>
      <c r="C3416" s="3928" t="s">
        <v>5717</v>
      </c>
      <c r="D3416" s="3928" t="s">
        <v>5718</v>
      </c>
      <c r="E3416" s="3928" t="s">
        <v>5719</v>
      </c>
      <c r="F3416" s="3928" t="s">
        <v>2289</v>
      </c>
      <c r="G3416" s="3928" t="s">
        <v>5720</v>
      </c>
      <c r="H3416" s="3928" t="s">
        <v>24</v>
      </c>
      <c r="I3416" s="3928" t="s">
        <v>912</v>
      </c>
    </row>
    <row r="3417" spans="1:9" ht="11.25" customHeight="1">
      <c r="A3417" s="3928" t="s">
        <v>2258</v>
      </c>
      <c r="B3417" s="3928" t="s">
        <v>14</v>
      </c>
      <c r="C3417" s="3928" t="s">
        <v>7770</v>
      </c>
      <c r="D3417" s="3928" t="s">
        <v>7771</v>
      </c>
      <c r="E3417" s="3928" t="s">
        <v>7772</v>
      </c>
      <c r="F3417" s="3928" t="s">
        <v>2419</v>
      </c>
      <c r="G3417" s="3928" t="s">
        <v>24</v>
      </c>
      <c r="H3417" s="3928" t="s">
        <v>24</v>
      </c>
      <c r="I3417" s="3928" t="s">
        <v>912</v>
      </c>
    </row>
    <row r="3418" spans="1:9" ht="11.25" customHeight="1">
      <c r="A3418" s="3928" t="s">
        <v>2258</v>
      </c>
      <c r="B3418" s="3928" t="s">
        <v>14</v>
      </c>
      <c r="C3418" s="3928" t="s">
        <v>5728</v>
      </c>
      <c r="D3418" s="3928" t="s">
        <v>5729</v>
      </c>
      <c r="E3418" s="3928" t="s">
        <v>5730</v>
      </c>
      <c r="F3418" s="3928" t="s">
        <v>2289</v>
      </c>
      <c r="G3418" s="3928" t="s">
        <v>24</v>
      </c>
      <c r="H3418" s="3928" t="s">
        <v>2263</v>
      </c>
      <c r="I3418" s="3928" t="s">
        <v>912</v>
      </c>
    </row>
    <row r="3419" spans="1:9" ht="11.25" customHeight="1">
      <c r="A3419" s="3928" t="s">
        <v>2258</v>
      </c>
      <c r="B3419" s="3928" t="s">
        <v>14</v>
      </c>
      <c r="C3419" s="3928" t="s">
        <v>5739</v>
      </c>
      <c r="D3419" s="3928" t="s">
        <v>5740</v>
      </c>
      <c r="E3419" s="3928" t="s">
        <v>5741</v>
      </c>
      <c r="F3419" s="3928" t="s">
        <v>2397</v>
      </c>
      <c r="G3419" s="3928" t="s">
        <v>5742</v>
      </c>
      <c r="H3419" s="3928" t="s">
        <v>24</v>
      </c>
      <c r="I3419" s="3928" t="s">
        <v>912</v>
      </c>
    </row>
    <row r="3420" spans="1:9" ht="11.25" customHeight="1">
      <c r="A3420" s="3928" t="s">
        <v>2258</v>
      </c>
      <c r="B3420" s="3928" t="s">
        <v>14</v>
      </c>
      <c r="C3420" s="3928" t="s">
        <v>7773</v>
      </c>
      <c r="D3420" s="3928" t="s">
        <v>7774</v>
      </c>
      <c r="E3420" s="3928" t="s">
        <v>7775</v>
      </c>
      <c r="F3420" s="3928" t="s">
        <v>2414</v>
      </c>
      <c r="G3420" s="3928" t="s">
        <v>7776</v>
      </c>
      <c r="H3420" s="3928" t="s">
        <v>24</v>
      </c>
      <c r="I3420" s="3928" t="s">
        <v>912</v>
      </c>
    </row>
    <row r="3421" spans="1:9" ht="11.25" customHeight="1">
      <c r="A3421" s="3928" t="s">
        <v>2258</v>
      </c>
      <c r="B3421" s="3928" t="s">
        <v>14</v>
      </c>
      <c r="C3421" s="3928" t="s">
        <v>5746</v>
      </c>
      <c r="D3421" s="3928" t="s">
        <v>5747</v>
      </c>
      <c r="E3421" s="3928" t="s">
        <v>5748</v>
      </c>
      <c r="F3421" s="3928" t="s">
        <v>2701</v>
      </c>
      <c r="G3421" s="3928" t="s">
        <v>3735</v>
      </c>
      <c r="H3421" s="3928" t="s">
        <v>2263</v>
      </c>
      <c r="I3421" s="3928" t="s">
        <v>912</v>
      </c>
    </row>
    <row r="3422" spans="1:9" ht="11.25" customHeight="1">
      <c r="A3422" s="3928" t="s">
        <v>2258</v>
      </c>
      <c r="B3422" s="3928" t="s">
        <v>14</v>
      </c>
      <c r="C3422" s="3928" t="s">
        <v>5753</v>
      </c>
      <c r="D3422" s="3928" t="s">
        <v>5754</v>
      </c>
      <c r="E3422" s="3928" t="s">
        <v>5755</v>
      </c>
      <c r="F3422" s="3928" t="s">
        <v>2267</v>
      </c>
      <c r="G3422" s="3928" t="s">
        <v>24</v>
      </c>
      <c r="H3422" s="3928" t="s">
        <v>2263</v>
      </c>
      <c r="I3422" s="3928" t="s">
        <v>912</v>
      </c>
    </row>
    <row r="3423" spans="1:9" ht="11.25" customHeight="1">
      <c r="A3423" s="3928" t="s">
        <v>2258</v>
      </c>
      <c r="B3423" s="3928" t="s">
        <v>14</v>
      </c>
      <c r="C3423" s="3928" t="s">
        <v>5756</v>
      </c>
      <c r="D3423" s="3928" t="s">
        <v>5757</v>
      </c>
      <c r="E3423" s="3928" t="s">
        <v>5758</v>
      </c>
      <c r="F3423" s="3928" t="s">
        <v>2419</v>
      </c>
      <c r="G3423" s="3928" t="s">
        <v>24</v>
      </c>
      <c r="H3423" s="3928" t="s">
        <v>24</v>
      </c>
      <c r="I3423" s="3928" t="s">
        <v>912</v>
      </c>
    </row>
    <row r="3424" spans="1:9" ht="11.25" customHeight="1">
      <c r="A3424" s="3928" t="s">
        <v>2258</v>
      </c>
      <c r="B3424" s="3928" t="s">
        <v>14</v>
      </c>
      <c r="C3424" s="3928" t="s">
        <v>5759</v>
      </c>
      <c r="D3424" s="3928" t="s">
        <v>5760</v>
      </c>
      <c r="E3424" s="3928" t="s">
        <v>5761</v>
      </c>
      <c r="F3424" s="3928" t="s">
        <v>2469</v>
      </c>
      <c r="G3424" s="3928" t="s">
        <v>5762</v>
      </c>
      <c r="H3424" s="3928" t="s">
        <v>24</v>
      </c>
      <c r="I3424" s="3928" t="s">
        <v>912</v>
      </c>
    </row>
    <row r="3425" spans="1:9" ht="11.25" customHeight="1">
      <c r="A3425" s="3928" t="s">
        <v>2258</v>
      </c>
      <c r="B3425" s="3928" t="s">
        <v>14</v>
      </c>
      <c r="C3425" s="3928" t="s">
        <v>5763</v>
      </c>
      <c r="D3425" s="3928" t="s">
        <v>5764</v>
      </c>
      <c r="E3425" s="3928" t="s">
        <v>5765</v>
      </c>
      <c r="F3425" s="3928" t="s">
        <v>2419</v>
      </c>
      <c r="G3425" s="3928" t="s">
        <v>5766</v>
      </c>
      <c r="H3425" s="3928" t="s">
        <v>24</v>
      </c>
      <c r="I3425" s="3928" t="s">
        <v>912</v>
      </c>
    </row>
    <row r="3426" spans="1:9" ht="11.25" customHeight="1">
      <c r="A3426" s="3928" t="s">
        <v>2258</v>
      </c>
      <c r="B3426" s="3928" t="s">
        <v>14</v>
      </c>
      <c r="C3426" s="3928" t="s">
        <v>8228</v>
      </c>
      <c r="D3426" s="3928" t="s">
        <v>8229</v>
      </c>
      <c r="E3426" s="3928" t="s">
        <v>8230</v>
      </c>
      <c r="F3426" s="3928" t="s">
        <v>2304</v>
      </c>
      <c r="G3426" s="3928" t="s">
        <v>24</v>
      </c>
      <c r="H3426" s="3928" t="s">
        <v>8231</v>
      </c>
      <c r="I3426" s="3928" t="s">
        <v>912</v>
      </c>
    </row>
    <row r="3427" spans="1:9" ht="11.25" customHeight="1">
      <c r="A3427" s="3928" t="s">
        <v>2258</v>
      </c>
      <c r="B3427" s="3928" t="s">
        <v>14</v>
      </c>
      <c r="C3427" s="3928" t="s">
        <v>5769</v>
      </c>
      <c r="D3427" s="3928" t="s">
        <v>5770</v>
      </c>
      <c r="E3427" s="3928" t="s">
        <v>5771</v>
      </c>
      <c r="F3427" s="3928" t="s">
        <v>5772</v>
      </c>
      <c r="G3427" s="3928" t="s">
        <v>5773</v>
      </c>
      <c r="H3427" s="3928" t="s">
        <v>24</v>
      </c>
      <c r="I3427" s="3928" t="s">
        <v>912</v>
      </c>
    </row>
    <row r="3428" spans="1:9" ht="11.25" customHeight="1">
      <c r="A3428" s="3928" t="s">
        <v>2258</v>
      </c>
      <c r="B3428" s="3928" t="s">
        <v>14</v>
      </c>
      <c r="C3428" s="3928" t="s">
        <v>5778</v>
      </c>
      <c r="D3428" s="3928" t="s">
        <v>5779</v>
      </c>
      <c r="E3428" s="3928" t="s">
        <v>5776</v>
      </c>
      <c r="F3428" s="3928" t="s">
        <v>5780</v>
      </c>
      <c r="G3428" s="3928" t="s">
        <v>24</v>
      </c>
      <c r="H3428" s="3928" t="s">
        <v>24</v>
      </c>
      <c r="I3428" s="3928" t="s">
        <v>912</v>
      </c>
    </row>
    <row r="3429" spans="1:9" ht="11.25" customHeight="1">
      <c r="A3429" s="3928" t="s">
        <v>2258</v>
      </c>
      <c r="B3429" s="3928" t="s">
        <v>14</v>
      </c>
      <c r="C3429" s="3928" t="s">
        <v>5781</v>
      </c>
      <c r="D3429" s="3928" t="s">
        <v>5782</v>
      </c>
      <c r="E3429" s="3928" t="s">
        <v>5776</v>
      </c>
      <c r="F3429" s="3928" t="s">
        <v>5783</v>
      </c>
      <c r="G3429" s="3928" t="s">
        <v>24</v>
      </c>
      <c r="H3429" s="3928" t="s">
        <v>24</v>
      </c>
      <c r="I3429" s="3928" t="s">
        <v>912</v>
      </c>
    </row>
    <row r="3430" spans="1:9" ht="11.25" customHeight="1">
      <c r="A3430" s="3928" t="s">
        <v>2258</v>
      </c>
      <c r="B3430" s="3928" t="s">
        <v>14</v>
      </c>
      <c r="C3430" s="3928" t="s">
        <v>5786</v>
      </c>
      <c r="D3430" s="3928" t="s">
        <v>5787</v>
      </c>
      <c r="E3430" s="3928" t="s">
        <v>5788</v>
      </c>
      <c r="F3430" s="3928" t="s">
        <v>2479</v>
      </c>
      <c r="G3430" s="3928" t="s">
        <v>24</v>
      </c>
      <c r="H3430" s="3928" t="s">
        <v>24</v>
      </c>
      <c r="I3430" s="3928" t="s">
        <v>912</v>
      </c>
    </row>
    <row r="3431" spans="1:9" ht="11.25" customHeight="1">
      <c r="A3431" s="3928" t="s">
        <v>2258</v>
      </c>
      <c r="B3431" s="3928" t="s">
        <v>14</v>
      </c>
      <c r="C3431" s="3928" t="s">
        <v>5789</v>
      </c>
      <c r="D3431" s="3928" t="s">
        <v>5790</v>
      </c>
      <c r="E3431" s="3928" t="s">
        <v>5791</v>
      </c>
      <c r="F3431" s="3928" t="s">
        <v>4792</v>
      </c>
      <c r="G3431" s="3928" t="s">
        <v>5792</v>
      </c>
      <c r="H3431" s="3928" t="s">
        <v>24</v>
      </c>
      <c r="I3431" s="3928" t="s">
        <v>912</v>
      </c>
    </row>
    <row r="3432" spans="1:9" ht="11.25" customHeight="1">
      <c r="A3432" s="3928" t="s">
        <v>2258</v>
      </c>
      <c r="B3432" s="3928" t="s">
        <v>14</v>
      </c>
      <c r="C3432" s="3928" t="s">
        <v>5805</v>
      </c>
      <c r="D3432" s="3928" t="s">
        <v>5806</v>
      </c>
      <c r="E3432" s="3928" t="s">
        <v>2809</v>
      </c>
      <c r="F3432" s="3928" t="s">
        <v>5796</v>
      </c>
      <c r="G3432" s="3928" t="s">
        <v>24</v>
      </c>
      <c r="H3432" s="3928" t="s">
        <v>24</v>
      </c>
      <c r="I3432" s="3928" t="s">
        <v>912</v>
      </c>
    </row>
    <row r="3433" spans="1:9" ht="11.25" customHeight="1">
      <c r="A3433" s="3928" t="s">
        <v>2258</v>
      </c>
      <c r="B3433" s="3928" t="s">
        <v>14</v>
      </c>
      <c r="C3433" s="3928" t="s">
        <v>5811</v>
      </c>
      <c r="D3433" s="3928" t="s">
        <v>5812</v>
      </c>
      <c r="E3433" s="3928" t="s">
        <v>5813</v>
      </c>
      <c r="F3433" s="3928" t="s">
        <v>5814</v>
      </c>
      <c r="G3433" s="3928" t="s">
        <v>5815</v>
      </c>
      <c r="H3433" s="3928" t="s">
        <v>24</v>
      </c>
      <c r="I3433" s="3928" t="s">
        <v>912</v>
      </c>
    </row>
    <row r="3434" spans="1:9" ht="11.25" customHeight="1">
      <c r="A3434" s="3928" t="s">
        <v>2258</v>
      </c>
      <c r="B3434" s="3928" t="s">
        <v>14</v>
      </c>
      <c r="C3434" s="3928" t="s">
        <v>5816</v>
      </c>
      <c r="D3434" s="3928" t="s">
        <v>5817</v>
      </c>
      <c r="E3434" s="3928" t="s">
        <v>5818</v>
      </c>
      <c r="F3434" s="3928" t="s">
        <v>5819</v>
      </c>
      <c r="G3434" s="3928" t="s">
        <v>5820</v>
      </c>
      <c r="H3434" s="3928" t="s">
        <v>24</v>
      </c>
      <c r="I3434" s="3928" t="s">
        <v>912</v>
      </c>
    </row>
    <row r="3435" spans="1:9" ht="11.25" customHeight="1">
      <c r="A3435" s="3928" t="s">
        <v>2258</v>
      </c>
      <c r="B3435" s="3928" t="s">
        <v>14</v>
      </c>
      <c r="C3435" s="3928" t="s">
        <v>5830</v>
      </c>
      <c r="D3435" s="3928" t="s">
        <v>5831</v>
      </c>
      <c r="E3435" s="3928" t="s">
        <v>5832</v>
      </c>
      <c r="F3435" s="3928" t="s">
        <v>2567</v>
      </c>
      <c r="G3435" s="3928" t="s">
        <v>5833</v>
      </c>
      <c r="H3435" s="3928" t="s">
        <v>24</v>
      </c>
      <c r="I3435" s="3928" t="s">
        <v>912</v>
      </c>
    </row>
    <row r="3436" spans="1:9" ht="11.25" customHeight="1">
      <c r="A3436" s="3928" t="s">
        <v>2258</v>
      </c>
      <c r="B3436" s="3928" t="s">
        <v>14</v>
      </c>
      <c r="C3436" s="3928" t="s">
        <v>5834</v>
      </c>
      <c r="D3436" s="3928" t="s">
        <v>5835</v>
      </c>
      <c r="E3436" s="3928" t="s">
        <v>4020</v>
      </c>
      <c r="F3436" s="3928" t="s">
        <v>2513</v>
      </c>
      <c r="G3436" s="3928" t="s">
        <v>24</v>
      </c>
      <c r="H3436" s="3928" t="s">
        <v>24</v>
      </c>
      <c r="I3436" s="3928" t="s">
        <v>912</v>
      </c>
    </row>
    <row r="3437" spans="1:9" ht="11.25" customHeight="1">
      <c r="A3437" s="3928" t="s">
        <v>2258</v>
      </c>
      <c r="B3437" s="3928" t="s">
        <v>14</v>
      </c>
      <c r="C3437" s="3928" t="s">
        <v>5839</v>
      </c>
      <c r="D3437" s="3928" t="s">
        <v>5840</v>
      </c>
      <c r="E3437" s="3928" t="s">
        <v>5841</v>
      </c>
      <c r="F3437" s="3928" t="s">
        <v>5842</v>
      </c>
      <c r="G3437" s="3928" t="s">
        <v>24</v>
      </c>
      <c r="H3437" s="3928" t="s">
        <v>2263</v>
      </c>
      <c r="I3437" s="3928" t="s">
        <v>912</v>
      </c>
    </row>
    <row r="3438" spans="1:9" ht="11.25" customHeight="1">
      <c r="A3438" s="3928" t="s">
        <v>2258</v>
      </c>
      <c r="B3438" s="3928" t="s">
        <v>14</v>
      </c>
      <c r="C3438" s="3928" t="s">
        <v>5849</v>
      </c>
      <c r="D3438" s="3928" t="s">
        <v>5850</v>
      </c>
      <c r="E3438" s="3928" t="s">
        <v>5851</v>
      </c>
      <c r="F3438" s="3928" t="s">
        <v>2486</v>
      </c>
      <c r="G3438" s="3928" t="s">
        <v>5852</v>
      </c>
      <c r="H3438" s="3928" t="s">
        <v>24</v>
      </c>
      <c r="I3438" s="3928" t="s">
        <v>912</v>
      </c>
    </row>
    <row r="3439" spans="1:9" ht="11.25" customHeight="1">
      <c r="A3439" s="3928" t="s">
        <v>2258</v>
      </c>
      <c r="B3439" s="3928" t="s">
        <v>14</v>
      </c>
      <c r="C3439" s="3928" t="s">
        <v>5860</v>
      </c>
      <c r="D3439" s="3928" t="s">
        <v>5861</v>
      </c>
      <c r="E3439" s="3928" t="s">
        <v>5862</v>
      </c>
      <c r="F3439" s="3928" t="s">
        <v>4792</v>
      </c>
      <c r="G3439" s="3928" t="s">
        <v>5863</v>
      </c>
      <c r="H3439" s="3928" t="s">
        <v>24</v>
      </c>
      <c r="I3439" s="3928" t="s">
        <v>912</v>
      </c>
    </row>
    <row r="3440" spans="1:9" ht="11.25" customHeight="1">
      <c r="A3440" s="3928" t="s">
        <v>2258</v>
      </c>
      <c r="B3440" s="3928" t="s">
        <v>14</v>
      </c>
      <c r="C3440" s="3928" t="s">
        <v>5864</v>
      </c>
      <c r="D3440" s="3928" t="s">
        <v>5865</v>
      </c>
      <c r="E3440" s="3928" t="s">
        <v>5866</v>
      </c>
      <c r="F3440" s="3928" t="s">
        <v>5867</v>
      </c>
      <c r="G3440" s="3928" t="s">
        <v>24</v>
      </c>
      <c r="H3440" s="3928" t="s">
        <v>2781</v>
      </c>
      <c r="I3440" s="3928" t="s">
        <v>912</v>
      </c>
    </row>
    <row r="3441" spans="1:9" ht="11.25" customHeight="1">
      <c r="A3441" s="3928" t="s">
        <v>2258</v>
      </c>
      <c r="B3441" s="3928" t="s">
        <v>14</v>
      </c>
      <c r="C3441" s="3928" t="s">
        <v>7777</v>
      </c>
      <c r="D3441" s="3928" t="s">
        <v>7778</v>
      </c>
      <c r="E3441" s="3928" t="s">
        <v>3000</v>
      </c>
      <c r="F3441" s="3928" t="s">
        <v>7779</v>
      </c>
      <c r="G3441" s="3928" t="s">
        <v>24</v>
      </c>
      <c r="H3441" s="3928" t="s">
        <v>7780</v>
      </c>
      <c r="I3441" s="3928" t="s">
        <v>912</v>
      </c>
    </row>
    <row r="3442" spans="1:9" ht="11.25" customHeight="1">
      <c r="A3442" s="3928" t="s">
        <v>2258</v>
      </c>
      <c r="B3442" s="3928" t="s">
        <v>14</v>
      </c>
      <c r="C3442" s="3928" t="s">
        <v>5872</v>
      </c>
      <c r="D3442" s="3928" t="s">
        <v>5873</v>
      </c>
      <c r="E3442" s="3928" t="s">
        <v>5874</v>
      </c>
      <c r="F3442" s="3928" t="s">
        <v>2796</v>
      </c>
      <c r="G3442" s="3928" t="s">
        <v>24</v>
      </c>
      <c r="H3442" s="3928" t="s">
        <v>2263</v>
      </c>
      <c r="I3442" s="3928" t="s">
        <v>912</v>
      </c>
    </row>
    <row r="3443" spans="1:9" ht="11.25" customHeight="1">
      <c r="A3443" s="3928" t="s">
        <v>2258</v>
      </c>
      <c r="B3443" s="3928" t="s">
        <v>14</v>
      </c>
      <c r="C3443" s="3928" t="s">
        <v>8232</v>
      </c>
      <c r="D3443" s="3928" t="s">
        <v>8233</v>
      </c>
      <c r="E3443" s="3928" t="s">
        <v>5877</v>
      </c>
      <c r="F3443" s="3928" t="s">
        <v>2486</v>
      </c>
      <c r="G3443" s="3928" t="s">
        <v>24</v>
      </c>
      <c r="H3443" s="3928" t="s">
        <v>24</v>
      </c>
      <c r="I3443" s="3928" t="s">
        <v>912</v>
      </c>
    </row>
    <row r="3444" spans="1:9" ht="11.25" customHeight="1">
      <c r="A3444" s="3928" t="s">
        <v>2258</v>
      </c>
      <c r="B3444" s="3928" t="s">
        <v>14</v>
      </c>
      <c r="C3444" s="3928" t="s">
        <v>5875</v>
      </c>
      <c r="D3444" s="3928" t="s">
        <v>5876</v>
      </c>
      <c r="E3444" s="3928" t="s">
        <v>5877</v>
      </c>
      <c r="F3444" s="3928" t="s">
        <v>5878</v>
      </c>
      <c r="G3444" s="3928" t="s">
        <v>24</v>
      </c>
      <c r="H3444" s="3928" t="s">
        <v>24</v>
      </c>
      <c r="I3444" s="3928" t="s">
        <v>912</v>
      </c>
    </row>
    <row r="3445" spans="1:9" ht="11.25" customHeight="1">
      <c r="A3445" s="3928" t="s">
        <v>2258</v>
      </c>
      <c r="B3445" s="3928" t="s">
        <v>14</v>
      </c>
      <c r="C3445" s="3928" t="s">
        <v>8234</v>
      </c>
      <c r="D3445" s="3928" t="s">
        <v>8235</v>
      </c>
      <c r="E3445" s="3928" t="s">
        <v>8236</v>
      </c>
      <c r="F3445" s="3928" t="s">
        <v>2567</v>
      </c>
      <c r="G3445" s="3928" t="s">
        <v>8237</v>
      </c>
      <c r="H3445" s="3928" t="s">
        <v>24</v>
      </c>
      <c r="I3445" s="3928" t="s">
        <v>912</v>
      </c>
    </row>
    <row r="3446" spans="1:9" ht="11.25" customHeight="1">
      <c r="A3446" s="3928" t="s">
        <v>2258</v>
      </c>
      <c r="B3446" s="3928" t="s">
        <v>14</v>
      </c>
      <c r="C3446" s="3928" t="s">
        <v>5923</v>
      </c>
      <c r="D3446" s="3928" t="s">
        <v>5924</v>
      </c>
      <c r="E3446" s="3928" t="s">
        <v>5925</v>
      </c>
      <c r="F3446" s="3928" t="s">
        <v>2796</v>
      </c>
      <c r="G3446" s="3928" t="s">
        <v>24</v>
      </c>
      <c r="H3446" s="3928" t="s">
        <v>5926</v>
      </c>
      <c r="I3446" s="3928" t="s">
        <v>912</v>
      </c>
    </row>
    <row r="3447" spans="1:9" ht="11.25" customHeight="1">
      <c r="A3447" s="3928" t="s">
        <v>2258</v>
      </c>
      <c r="B3447" s="3928" t="s">
        <v>14</v>
      </c>
      <c r="C3447" s="3928" t="s">
        <v>6464</v>
      </c>
      <c r="D3447" s="3928" t="s">
        <v>6465</v>
      </c>
      <c r="E3447" s="3928" t="s">
        <v>6466</v>
      </c>
      <c r="F3447" s="3928" t="s">
        <v>2304</v>
      </c>
      <c r="G3447" s="3928" t="s">
        <v>24</v>
      </c>
      <c r="H3447" s="3928" t="s">
        <v>2263</v>
      </c>
      <c r="I3447" s="3928" t="s">
        <v>912</v>
      </c>
    </row>
    <row r="3448" spans="1:9" ht="11.25" customHeight="1">
      <c r="A3448" s="3928" t="s">
        <v>2258</v>
      </c>
      <c r="B3448" s="3928" t="s">
        <v>14</v>
      </c>
      <c r="C3448" s="3928" t="s">
        <v>7792</v>
      </c>
      <c r="D3448" s="3928" t="s">
        <v>7793</v>
      </c>
      <c r="E3448" s="3928" t="s">
        <v>7794</v>
      </c>
      <c r="F3448" s="3928" t="s">
        <v>2486</v>
      </c>
      <c r="G3448" s="3928" t="s">
        <v>24</v>
      </c>
      <c r="H3448" s="3928" t="s">
        <v>7795</v>
      </c>
      <c r="I3448" s="3928" t="s">
        <v>912</v>
      </c>
    </row>
    <row r="3449" spans="1:9" ht="11.25" customHeight="1">
      <c r="A3449" s="3928" t="s">
        <v>2258</v>
      </c>
      <c r="B3449" s="3928" t="s">
        <v>14</v>
      </c>
      <c r="C3449" s="3928" t="s">
        <v>5946</v>
      </c>
      <c r="D3449" s="3928" t="s">
        <v>5947</v>
      </c>
      <c r="E3449" s="3928" t="s">
        <v>5948</v>
      </c>
      <c r="F3449" s="3928" t="s">
        <v>2469</v>
      </c>
      <c r="G3449" s="3928" t="s">
        <v>24</v>
      </c>
      <c r="H3449" s="3928" t="s">
        <v>5949</v>
      </c>
      <c r="I3449" s="3928" t="s">
        <v>912</v>
      </c>
    </row>
    <row r="3450" spans="1:9" ht="11.25" customHeight="1">
      <c r="A3450" s="3928" t="s">
        <v>2258</v>
      </c>
      <c r="B3450" s="3928" t="s">
        <v>14</v>
      </c>
      <c r="C3450" s="3928" t="s">
        <v>5950</v>
      </c>
      <c r="D3450" s="3928" t="s">
        <v>5951</v>
      </c>
      <c r="E3450" s="3928" t="s">
        <v>5952</v>
      </c>
      <c r="F3450" s="3928" t="s">
        <v>2289</v>
      </c>
      <c r="G3450" s="3928" t="s">
        <v>5953</v>
      </c>
      <c r="H3450" s="3928" t="s">
        <v>24</v>
      </c>
      <c r="I3450" s="3928" t="s">
        <v>912</v>
      </c>
    </row>
    <row r="3451" spans="1:9" ht="11.25" customHeight="1">
      <c r="A3451" s="3928" t="s">
        <v>2258</v>
      </c>
      <c r="B3451" s="3928" t="s">
        <v>14</v>
      </c>
      <c r="C3451" s="3928" t="s">
        <v>5954</v>
      </c>
      <c r="D3451" s="3928" t="s">
        <v>5955</v>
      </c>
      <c r="E3451" s="3928" t="s">
        <v>5956</v>
      </c>
      <c r="F3451" s="3928" t="s">
        <v>2344</v>
      </c>
      <c r="G3451" s="3928" t="s">
        <v>24</v>
      </c>
      <c r="H3451" s="3928" t="s">
        <v>5957</v>
      </c>
      <c r="I3451" s="3928" t="s">
        <v>912</v>
      </c>
    </row>
    <row r="3452" spans="1:9" ht="11.25" customHeight="1">
      <c r="A3452" s="3928" t="s">
        <v>2258</v>
      </c>
      <c r="B3452" s="3928" t="s">
        <v>14</v>
      </c>
      <c r="C3452" s="3928" t="s">
        <v>5968</v>
      </c>
      <c r="D3452" s="3928" t="s">
        <v>5969</v>
      </c>
      <c r="E3452" s="3928" t="s">
        <v>5970</v>
      </c>
      <c r="F3452" s="3928" t="s">
        <v>2414</v>
      </c>
      <c r="G3452" s="3928" t="s">
        <v>24</v>
      </c>
      <c r="H3452" s="3928" t="s">
        <v>24</v>
      </c>
      <c r="I3452" s="3928" t="s">
        <v>912</v>
      </c>
    </row>
    <row r="3453" spans="1:9" ht="11.25" customHeight="1">
      <c r="A3453" s="3928" t="s">
        <v>2258</v>
      </c>
      <c r="B3453" s="3928" t="s">
        <v>14</v>
      </c>
      <c r="C3453" s="3928" t="s">
        <v>5977</v>
      </c>
      <c r="D3453" s="3928" t="s">
        <v>5978</v>
      </c>
      <c r="E3453" s="3928" t="s">
        <v>5979</v>
      </c>
      <c r="F3453" s="3928" t="s">
        <v>2535</v>
      </c>
      <c r="G3453" s="3928" t="s">
        <v>24</v>
      </c>
      <c r="H3453" s="3928" t="s">
        <v>24</v>
      </c>
      <c r="I3453" s="3928" t="s">
        <v>912</v>
      </c>
    </row>
    <row r="3454" spans="1:9" ht="11.25" customHeight="1">
      <c r="A3454" s="3928" t="s">
        <v>2258</v>
      </c>
      <c r="B3454" s="3928" t="s">
        <v>14</v>
      </c>
      <c r="C3454" s="3928" t="s">
        <v>5983</v>
      </c>
      <c r="D3454" s="3928" t="s">
        <v>5984</v>
      </c>
      <c r="E3454" s="3928" t="s">
        <v>5985</v>
      </c>
      <c r="F3454" s="3928" t="s">
        <v>2397</v>
      </c>
      <c r="G3454" s="3928" t="s">
        <v>24</v>
      </c>
      <c r="H3454" s="3928" t="s">
        <v>24</v>
      </c>
      <c r="I3454" s="3928" t="s">
        <v>912</v>
      </c>
    </row>
    <row r="3455" spans="1:9" ht="11.25" customHeight="1">
      <c r="A3455" s="3928" t="s">
        <v>2258</v>
      </c>
      <c r="B3455" s="3928" t="s">
        <v>14</v>
      </c>
      <c r="C3455" s="3928" t="s">
        <v>5991</v>
      </c>
      <c r="D3455" s="3928" t="s">
        <v>5992</v>
      </c>
      <c r="E3455" s="3928" t="s">
        <v>5993</v>
      </c>
      <c r="F3455" s="3928" t="s">
        <v>2393</v>
      </c>
      <c r="G3455" s="3928" t="s">
        <v>5994</v>
      </c>
      <c r="H3455" s="3928" t="s">
        <v>24</v>
      </c>
      <c r="I3455" s="3928" t="s">
        <v>912</v>
      </c>
    </row>
    <row r="3456" spans="1:9" ht="11.25" customHeight="1">
      <c r="A3456" s="3928" t="s">
        <v>2258</v>
      </c>
      <c r="B3456" s="3928" t="s">
        <v>14</v>
      </c>
      <c r="C3456" s="3928" t="s">
        <v>5995</v>
      </c>
      <c r="D3456" s="3928" t="s">
        <v>5996</v>
      </c>
      <c r="E3456" s="3928" t="s">
        <v>5997</v>
      </c>
      <c r="F3456" s="3928" t="s">
        <v>2409</v>
      </c>
      <c r="G3456" s="3928" t="s">
        <v>24</v>
      </c>
      <c r="H3456" s="3928" t="s">
        <v>24</v>
      </c>
      <c r="I3456" s="3928" t="s">
        <v>912</v>
      </c>
    </row>
    <row r="3457" spans="1:9" ht="11.25" customHeight="1">
      <c r="A3457" s="3928" t="s">
        <v>2258</v>
      </c>
      <c r="B3457" s="3928" t="s">
        <v>14</v>
      </c>
      <c r="C3457" s="3928" t="s">
        <v>5998</v>
      </c>
      <c r="D3457" s="3928" t="s">
        <v>5999</v>
      </c>
      <c r="E3457" s="3928" t="s">
        <v>6000</v>
      </c>
      <c r="F3457" s="3928" t="s">
        <v>2419</v>
      </c>
      <c r="G3457" s="3928" t="s">
        <v>6001</v>
      </c>
      <c r="H3457" s="3928" t="s">
        <v>24</v>
      </c>
      <c r="I3457" s="3928" t="s">
        <v>912</v>
      </c>
    </row>
    <row r="3458" spans="1:9" ht="11.25" customHeight="1">
      <c r="A3458" s="3928" t="s">
        <v>2258</v>
      </c>
      <c r="B3458" s="3928" t="s">
        <v>14</v>
      </c>
      <c r="C3458" s="3928" t="s">
        <v>6002</v>
      </c>
      <c r="D3458" s="3928" t="s">
        <v>6003</v>
      </c>
      <c r="E3458" s="3928" t="s">
        <v>6004</v>
      </c>
      <c r="F3458" s="3928" t="s">
        <v>2262</v>
      </c>
      <c r="G3458" s="3928" t="s">
        <v>6005</v>
      </c>
      <c r="H3458" s="3928" t="s">
        <v>24</v>
      </c>
      <c r="I3458" s="3928" t="s">
        <v>912</v>
      </c>
    </row>
    <row r="3459" spans="1:9" ht="11.25" customHeight="1">
      <c r="A3459" s="3928" t="s">
        <v>2258</v>
      </c>
      <c r="B3459" s="3928" t="s">
        <v>14</v>
      </c>
      <c r="C3459" s="3928" t="s">
        <v>6006</v>
      </c>
      <c r="D3459" s="3928" t="s">
        <v>6007</v>
      </c>
      <c r="E3459" s="3928" t="s">
        <v>6008</v>
      </c>
      <c r="F3459" s="3928" t="s">
        <v>2675</v>
      </c>
      <c r="G3459" s="3928" t="s">
        <v>24</v>
      </c>
      <c r="H3459" s="3928" t="s">
        <v>24</v>
      </c>
      <c r="I3459" s="3928" t="s">
        <v>912</v>
      </c>
    </row>
    <row r="3460" spans="1:9" ht="11.25" customHeight="1">
      <c r="A3460" s="3928" t="s">
        <v>2258</v>
      </c>
      <c r="B3460" s="3928" t="s">
        <v>14</v>
      </c>
      <c r="C3460" s="3928" t="s">
        <v>6013</v>
      </c>
      <c r="D3460" s="3928" t="s">
        <v>6014</v>
      </c>
      <c r="E3460" s="3928" t="s">
        <v>6015</v>
      </c>
      <c r="F3460" s="3928" t="s">
        <v>49</v>
      </c>
      <c r="G3460" s="3928" t="s">
        <v>24</v>
      </c>
      <c r="H3460" s="3928" t="s">
        <v>6016</v>
      </c>
      <c r="I3460" s="3928" t="s">
        <v>912</v>
      </c>
    </row>
    <row r="3461" spans="1:9" ht="11.25" customHeight="1">
      <c r="A3461" s="3928" t="s">
        <v>2258</v>
      </c>
      <c r="B3461" s="3928" t="s">
        <v>14</v>
      </c>
      <c r="C3461" s="3928" t="s">
        <v>6017</v>
      </c>
      <c r="D3461" s="3928" t="s">
        <v>6014</v>
      </c>
      <c r="E3461" s="3928" t="s">
        <v>6015</v>
      </c>
      <c r="F3461" s="3928" t="s">
        <v>49</v>
      </c>
      <c r="G3461" s="3928" t="s">
        <v>6018</v>
      </c>
      <c r="H3461" s="3928" t="s">
        <v>24</v>
      </c>
      <c r="I3461" s="3928" t="s">
        <v>912</v>
      </c>
    </row>
    <row r="3462" spans="1:9" ht="11.25" customHeight="1">
      <c r="A3462" s="3928" t="s">
        <v>2258</v>
      </c>
      <c r="B3462" s="3928" t="s">
        <v>14</v>
      </c>
      <c r="C3462" s="3928" t="s">
        <v>6022</v>
      </c>
      <c r="D3462" s="3928" t="s">
        <v>6023</v>
      </c>
      <c r="E3462" s="3928" t="s">
        <v>6024</v>
      </c>
      <c r="F3462" s="3928" t="s">
        <v>3370</v>
      </c>
      <c r="G3462" s="3928" t="s">
        <v>24</v>
      </c>
      <c r="H3462" s="3928" t="s">
        <v>24</v>
      </c>
      <c r="I3462" s="3928" t="s">
        <v>912</v>
      </c>
    </row>
    <row r="3463" spans="1:9" ht="11.25" customHeight="1">
      <c r="A3463" s="3928" t="s">
        <v>2258</v>
      </c>
      <c r="B3463" s="3928" t="s">
        <v>14</v>
      </c>
      <c r="C3463" s="3928" t="s">
        <v>6025</v>
      </c>
      <c r="D3463" s="3928" t="s">
        <v>6026</v>
      </c>
      <c r="E3463" s="3928" t="s">
        <v>6027</v>
      </c>
      <c r="F3463" s="3928" t="s">
        <v>6028</v>
      </c>
      <c r="G3463" s="3928" t="s">
        <v>6029</v>
      </c>
      <c r="H3463" s="3928" t="s">
        <v>24</v>
      </c>
      <c r="I3463" s="3928" t="s">
        <v>912</v>
      </c>
    </row>
    <row r="3464" spans="1:9" ht="11.25" customHeight="1">
      <c r="A3464" s="3928" t="s">
        <v>2258</v>
      </c>
      <c r="B3464" s="3928" t="s">
        <v>14</v>
      </c>
      <c r="C3464" s="3928" t="s">
        <v>6034</v>
      </c>
      <c r="D3464" s="3928" t="s">
        <v>6035</v>
      </c>
      <c r="E3464" s="3928" t="s">
        <v>6036</v>
      </c>
      <c r="F3464" s="3928" t="s">
        <v>2419</v>
      </c>
      <c r="G3464" s="3928" t="s">
        <v>24</v>
      </c>
      <c r="H3464" s="3928" t="s">
        <v>24</v>
      </c>
      <c r="I3464" s="3928" t="s">
        <v>912</v>
      </c>
    </row>
    <row r="3465" spans="1:9" ht="11.25" customHeight="1">
      <c r="A3465" s="3928" t="s">
        <v>2258</v>
      </c>
      <c r="B3465" s="3928" t="s">
        <v>14</v>
      </c>
      <c r="C3465" s="3928" t="s">
        <v>6040</v>
      </c>
      <c r="D3465" s="3928" t="s">
        <v>6041</v>
      </c>
      <c r="E3465" s="3928" t="s">
        <v>3893</v>
      </c>
      <c r="F3465" s="3928" t="s">
        <v>2624</v>
      </c>
      <c r="G3465" s="3928" t="s">
        <v>24</v>
      </c>
      <c r="H3465" s="3928" t="s">
        <v>6042</v>
      </c>
      <c r="I3465" s="3928" t="s">
        <v>912</v>
      </c>
    </row>
    <row r="3466" spans="1:9" ht="11.25" customHeight="1">
      <c r="A3466" s="3928" t="s">
        <v>2258</v>
      </c>
      <c r="B3466" s="3928" t="s">
        <v>14</v>
      </c>
      <c r="C3466" s="3928" t="s">
        <v>7814</v>
      </c>
      <c r="D3466" s="3928" t="s">
        <v>7815</v>
      </c>
      <c r="E3466" s="3928" t="s">
        <v>7816</v>
      </c>
      <c r="F3466" s="3928" t="s">
        <v>3023</v>
      </c>
      <c r="G3466" s="3928" t="s">
        <v>5485</v>
      </c>
      <c r="H3466" s="3928" t="s">
        <v>24</v>
      </c>
      <c r="I3466" s="3928" t="s">
        <v>912</v>
      </c>
    </row>
    <row r="3467" spans="1:9" ht="11.25" customHeight="1">
      <c r="A3467" s="3928" t="s">
        <v>2258</v>
      </c>
      <c r="B3467" s="3928" t="s">
        <v>14</v>
      </c>
      <c r="C3467" s="3928" t="s">
        <v>6046</v>
      </c>
      <c r="D3467" s="3928" t="s">
        <v>6047</v>
      </c>
      <c r="E3467" s="3928" t="s">
        <v>6048</v>
      </c>
      <c r="F3467" s="3928" t="s">
        <v>2344</v>
      </c>
      <c r="G3467" s="3928" t="s">
        <v>6049</v>
      </c>
      <c r="H3467" s="3928" t="s">
        <v>24</v>
      </c>
      <c r="I3467" s="3928" t="s">
        <v>912</v>
      </c>
    </row>
    <row r="3468" spans="1:9" ht="11.25" customHeight="1">
      <c r="A3468" s="3928" t="s">
        <v>2258</v>
      </c>
      <c r="B3468" s="3928" t="s">
        <v>14</v>
      </c>
      <c r="C3468" s="3928" t="s">
        <v>6050</v>
      </c>
      <c r="D3468" s="3928" t="s">
        <v>6051</v>
      </c>
      <c r="E3468" s="3928" t="s">
        <v>6052</v>
      </c>
      <c r="F3468" s="3928" t="s">
        <v>2486</v>
      </c>
      <c r="G3468" s="3928" t="s">
        <v>6053</v>
      </c>
      <c r="H3468" s="3928" t="s">
        <v>24</v>
      </c>
      <c r="I3468" s="3928" t="s">
        <v>912</v>
      </c>
    </row>
    <row r="3469" spans="1:9" ht="11.25" customHeight="1">
      <c r="A3469" s="3928" t="s">
        <v>2258</v>
      </c>
      <c r="B3469" s="3928" t="s">
        <v>14</v>
      </c>
      <c r="C3469" s="3928" t="s">
        <v>6054</v>
      </c>
      <c r="D3469" s="3928" t="s">
        <v>6055</v>
      </c>
      <c r="E3469" s="3928" t="s">
        <v>6056</v>
      </c>
      <c r="F3469" s="3928" t="s">
        <v>3353</v>
      </c>
      <c r="G3469" s="3928" t="s">
        <v>24</v>
      </c>
      <c r="H3469" s="3928" t="s">
        <v>2475</v>
      </c>
      <c r="I3469" s="3928" t="s">
        <v>912</v>
      </c>
    </row>
    <row r="3470" spans="1:9" ht="11.25" customHeight="1">
      <c r="A3470" s="3928" t="s">
        <v>2258</v>
      </c>
      <c r="B3470" s="3928" t="s">
        <v>14</v>
      </c>
      <c r="C3470" s="3928" t="s">
        <v>6057</v>
      </c>
      <c r="D3470" s="3928" t="s">
        <v>6058</v>
      </c>
      <c r="E3470" s="3928" t="s">
        <v>6059</v>
      </c>
      <c r="F3470" s="3928" t="s">
        <v>2675</v>
      </c>
      <c r="G3470" s="3928" t="s">
        <v>24</v>
      </c>
      <c r="H3470" s="3928" t="s">
        <v>24</v>
      </c>
      <c r="I3470" s="3928" t="s">
        <v>912</v>
      </c>
    </row>
    <row r="3471" spans="1:9" ht="11.25" customHeight="1">
      <c r="A3471" s="3928" t="s">
        <v>2258</v>
      </c>
      <c r="B3471" s="3928" t="s">
        <v>14</v>
      </c>
      <c r="C3471" s="3928" t="s">
        <v>6063</v>
      </c>
      <c r="D3471" s="3928" t="s">
        <v>6064</v>
      </c>
      <c r="E3471" s="3928" t="s">
        <v>6065</v>
      </c>
      <c r="F3471" s="3928" t="s">
        <v>2304</v>
      </c>
      <c r="G3471" s="3928" t="s">
        <v>24</v>
      </c>
      <c r="H3471" s="3928" t="s">
        <v>24</v>
      </c>
      <c r="I3471" s="3928" t="s">
        <v>912</v>
      </c>
    </row>
    <row r="3472" spans="1:9" ht="11.25" customHeight="1">
      <c r="A3472" s="3928" t="s">
        <v>2258</v>
      </c>
      <c r="B3472" s="3928" t="s">
        <v>14</v>
      </c>
      <c r="C3472" s="3928" t="s">
        <v>6066</v>
      </c>
      <c r="D3472" s="3928" t="s">
        <v>6067</v>
      </c>
      <c r="E3472" s="3928" t="s">
        <v>6068</v>
      </c>
      <c r="F3472" s="3928" t="s">
        <v>2419</v>
      </c>
      <c r="G3472" s="3928" t="s">
        <v>6069</v>
      </c>
      <c r="H3472" s="3928" t="s">
        <v>24</v>
      </c>
      <c r="I3472" s="3928" t="s">
        <v>912</v>
      </c>
    </row>
    <row r="3473" spans="1:9" ht="11.25" customHeight="1">
      <c r="A3473" s="3928" t="s">
        <v>2258</v>
      </c>
      <c r="B3473" s="3928" t="s">
        <v>14</v>
      </c>
      <c r="C3473" s="3928" t="s">
        <v>6070</v>
      </c>
      <c r="D3473" s="3928" t="s">
        <v>6071</v>
      </c>
      <c r="E3473" s="3928" t="s">
        <v>6072</v>
      </c>
      <c r="F3473" s="3928" t="s">
        <v>2701</v>
      </c>
      <c r="G3473" s="3928" t="s">
        <v>24</v>
      </c>
      <c r="H3473" s="3928" t="s">
        <v>24</v>
      </c>
      <c r="I3473" s="3928" t="s">
        <v>912</v>
      </c>
    </row>
    <row r="3474" spans="1:9" ht="11.25" customHeight="1">
      <c r="A3474" s="3928" t="s">
        <v>2258</v>
      </c>
      <c r="B3474" s="3928" t="s">
        <v>14</v>
      </c>
      <c r="C3474" s="3928" t="s">
        <v>6073</v>
      </c>
      <c r="D3474" s="3928" t="s">
        <v>6074</v>
      </c>
      <c r="E3474" s="3928" t="s">
        <v>6075</v>
      </c>
      <c r="F3474" s="3928" t="s">
        <v>2309</v>
      </c>
      <c r="G3474" s="3928" t="s">
        <v>24</v>
      </c>
      <c r="H3474" s="3928" t="s">
        <v>24</v>
      </c>
      <c r="I3474" s="3928" t="s">
        <v>912</v>
      </c>
    </row>
    <row r="3475" spans="1:9" ht="11.25" customHeight="1">
      <c r="A3475" s="3928" t="s">
        <v>2258</v>
      </c>
      <c r="B3475" s="3928" t="s">
        <v>14</v>
      </c>
      <c r="C3475" s="3928" t="s">
        <v>7821</v>
      </c>
      <c r="D3475" s="3928" t="s">
        <v>7822</v>
      </c>
      <c r="E3475" s="3928" t="s">
        <v>7823</v>
      </c>
      <c r="F3475" s="3928" t="s">
        <v>3086</v>
      </c>
      <c r="G3475" s="3928" t="s">
        <v>7824</v>
      </c>
      <c r="H3475" s="3928" t="s">
        <v>24</v>
      </c>
      <c r="I3475" s="3928" t="s">
        <v>912</v>
      </c>
    </row>
    <row r="3476" spans="1:9" ht="11.25" customHeight="1">
      <c r="A3476" s="3928" t="s">
        <v>2258</v>
      </c>
      <c r="B3476" s="3928" t="s">
        <v>14</v>
      </c>
      <c r="C3476" s="3928" t="s">
        <v>6076</v>
      </c>
      <c r="D3476" s="3928" t="s">
        <v>6077</v>
      </c>
      <c r="E3476" s="3928" t="s">
        <v>6078</v>
      </c>
      <c r="F3476" s="3928" t="s">
        <v>2289</v>
      </c>
      <c r="G3476" s="3928" t="s">
        <v>24</v>
      </c>
      <c r="H3476" s="3928" t="s">
        <v>24</v>
      </c>
      <c r="I3476" s="3928" t="s">
        <v>912</v>
      </c>
    </row>
    <row r="3477" spans="1:9" ht="11.25" customHeight="1">
      <c r="A3477" s="3928" t="s">
        <v>2258</v>
      </c>
      <c r="B3477" s="3928" t="s">
        <v>14</v>
      </c>
      <c r="C3477" s="3928" t="s">
        <v>7825</v>
      </c>
      <c r="D3477" s="3928" t="s">
        <v>7826</v>
      </c>
      <c r="E3477" s="3928" t="s">
        <v>7827</v>
      </c>
      <c r="F3477" s="3928" t="s">
        <v>2469</v>
      </c>
      <c r="G3477" s="3928" t="s">
        <v>24</v>
      </c>
      <c r="H3477" s="3928" t="s">
        <v>24</v>
      </c>
      <c r="I3477" s="3928" t="s">
        <v>912</v>
      </c>
    </row>
    <row r="3478" spans="1:9" ht="11.25" customHeight="1">
      <c r="A3478" s="3928" t="s">
        <v>2258</v>
      </c>
      <c r="B3478" s="3928" t="s">
        <v>14</v>
      </c>
      <c r="C3478" s="3928" t="s">
        <v>6082</v>
      </c>
      <c r="D3478" s="3928" t="s">
        <v>6083</v>
      </c>
      <c r="E3478" s="3928" t="s">
        <v>6084</v>
      </c>
      <c r="F3478" s="3928" t="s">
        <v>2965</v>
      </c>
      <c r="G3478" s="3928" t="s">
        <v>24</v>
      </c>
      <c r="H3478" s="3928" t="s">
        <v>24</v>
      </c>
      <c r="I3478" s="3928" t="s">
        <v>912</v>
      </c>
    </row>
    <row r="3479" spans="1:9" ht="11.25" customHeight="1">
      <c r="A3479" s="3928" t="s">
        <v>2258</v>
      </c>
      <c r="B3479" s="3928" t="s">
        <v>14</v>
      </c>
      <c r="C3479" s="3928" t="s">
        <v>6092</v>
      </c>
      <c r="D3479" s="3928" t="s">
        <v>6093</v>
      </c>
      <c r="E3479" s="3928" t="s">
        <v>6094</v>
      </c>
      <c r="F3479" s="3928" t="s">
        <v>2535</v>
      </c>
      <c r="G3479" s="3928" t="s">
        <v>24</v>
      </c>
      <c r="H3479" s="3928" t="s">
        <v>2263</v>
      </c>
      <c r="I3479" s="3928" t="s">
        <v>912</v>
      </c>
    </row>
    <row r="3480" spans="1:9" ht="11.25" customHeight="1">
      <c r="A3480" s="3928" t="s">
        <v>2258</v>
      </c>
      <c r="B3480" s="3928" t="s">
        <v>14</v>
      </c>
      <c r="C3480" s="3928" t="s">
        <v>7828</v>
      </c>
      <c r="D3480" s="3928" t="s">
        <v>7829</v>
      </c>
      <c r="E3480" s="3928" t="s">
        <v>7830</v>
      </c>
      <c r="F3480" s="3928" t="s">
        <v>2289</v>
      </c>
      <c r="G3480" s="3928" t="s">
        <v>24</v>
      </c>
      <c r="H3480" s="3928" t="s">
        <v>24</v>
      </c>
      <c r="I3480" s="3928" t="s">
        <v>912</v>
      </c>
    </row>
    <row r="3481" spans="1:9" ht="11.25" customHeight="1">
      <c r="A3481" s="3928" t="s">
        <v>2258</v>
      </c>
      <c r="B3481" s="3928" t="s">
        <v>14</v>
      </c>
      <c r="C3481" s="3928" t="s">
        <v>6107</v>
      </c>
      <c r="D3481" s="3928" t="s">
        <v>6108</v>
      </c>
      <c r="E3481" s="3928" t="s">
        <v>6109</v>
      </c>
      <c r="F3481" s="3928" t="s">
        <v>2567</v>
      </c>
      <c r="G3481" s="3928" t="s">
        <v>24</v>
      </c>
      <c r="H3481" s="3928" t="s">
        <v>2263</v>
      </c>
      <c r="I3481" s="3928" t="s">
        <v>912</v>
      </c>
    </row>
    <row r="3482" spans="1:9" ht="11.25" customHeight="1">
      <c r="A3482" s="3928" t="s">
        <v>2258</v>
      </c>
      <c r="B3482" s="3928" t="s">
        <v>14</v>
      </c>
      <c r="C3482" s="3928" t="s">
        <v>7831</v>
      </c>
      <c r="D3482" s="3928" t="s">
        <v>7832</v>
      </c>
      <c r="E3482" s="3928" t="s">
        <v>6000</v>
      </c>
      <c r="F3482" s="3928" t="s">
        <v>7833</v>
      </c>
      <c r="G3482" s="3928" t="s">
        <v>24</v>
      </c>
      <c r="H3482" s="3928" t="s">
        <v>24</v>
      </c>
      <c r="I3482" s="3928" t="s">
        <v>912</v>
      </c>
    </row>
    <row r="3483" spans="1:9" ht="11.25" customHeight="1">
      <c r="A3483" s="3928" t="s">
        <v>2258</v>
      </c>
      <c r="B3483" s="3928" t="s">
        <v>14</v>
      </c>
      <c r="C3483" s="3928" t="s">
        <v>7834</v>
      </c>
      <c r="D3483" s="3928" t="s">
        <v>7835</v>
      </c>
      <c r="E3483" s="3928" t="s">
        <v>7836</v>
      </c>
      <c r="F3483" s="3928" t="s">
        <v>2289</v>
      </c>
      <c r="G3483" s="3928" t="s">
        <v>24</v>
      </c>
      <c r="H3483" s="3928" t="s">
        <v>24</v>
      </c>
      <c r="I3483" s="3928" t="s">
        <v>912</v>
      </c>
    </row>
    <row r="3484" spans="1:9" ht="11.25" customHeight="1">
      <c r="A3484" s="3928" t="s">
        <v>2258</v>
      </c>
      <c r="B3484" s="3928" t="s">
        <v>14</v>
      </c>
      <c r="C3484" s="3928" t="s">
        <v>6114</v>
      </c>
      <c r="D3484" s="3928" t="s">
        <v>6115</v>
      </c>
      <c r="E3484" s="3928" t="s">
        <v>6116</v>
      </c>
      <c r="F3484" s="3928" t="s">
        <v>2294</v>
      </c>
      <c r="G3484" s="3928" t="s">
        <v>24</v>
      </c>
      <c r="H3484" s="3928" t="s">
        <v>24</v>
      </c>
      <c r="I3484" s="3928" t="s">
        <v>912</v>
      </c>
    </row>
    <row r="3485" spans="1:9" ht="11.25" customHeight="1">
      <c r="A3485" s="3928" t="s">
        <v>2258</v>
      </c>
      <c r="B3485" s="3928" t="s">
        <v>14</v>
      </c>
      <c r="C3485" s="3928" t="s">
        <v>7837</v>
      </c>
      <c r="D3485" s="3928" t="s">
        <v>7838</v>
      </c>
      <c r="E3485" s="3928" t="s">
        <v>7839</v>
      </c>
      <c r="F3485" s="3928" t="s">
        <v>7840</v>
      </c>
      <c r="G3485" s="3928" t="s">
        <v>24</v>
      </c>
      <c r="H3485" s="3928" t="s">
        <v>2848</v>
      </c>
      <c r="I3485" s="3928" t="s">
        <v>912</v>
      </c>
    </row>
    <row r="3486" spans="1:9" ht="11.25" customHeight="1">
      <c r="A3486" s="3928" t="s">
        <v>2258</v>
      </c>
      <c r="B3486" s="3928" t="s">
        <v>14</v>
      </c>
      <c r="C3486" s="3928" t="s">
        <v>6123</v>
      </c>
      <c r="D3486" s="3928" t="s">
        <v>6124</v>
      </c>
      <c r="E3486" s="3928" t="s">
        <v>6125</v>
      </c>
      <c r="F3486" s="3928" t="s">
        <v>2294</v>
      </c>
      <c r="G3486" s="3928" t="s">
        <v>24</v>
      </c>
      <c r="H3486" s="3928" t="s">
        <v>2263</v>
      </c>
      <c r="I3486" s="3928" t="s">
        <v>912</v>
      </c>
    </row>
    <row r="3487" spans="1:9" ht="11.25" customHeight="1">
      <c r="A3487" s="3928" t="s">
        <v>2258</v>
      </c>
      <c r="B3487" s="3928" t="s">
        <v>14</v>
      </c>
      <c r="C3487" s="3928" t="s">
        <v>7841</v>
      </c>
      <c r="D3487" s="3928" t="s">
        <v>7842</v>
      </c>
      <c r="E3487" s="3928" t="s">
        <v>7843</v>
      </c>
      <c r="F3487" s="3928" t="s">
        <v>5848</v>
      </c>
      <c r="G3487" s="3928" t="s">
        <v>24</v>
      </c>
      <c r="H3487" s="3928" t="s">
        <v>24</v>
      </c>
      <c r="I3487" s="3928" t="s">
        <v>912</v>
      </c>
    </row>
    <row r="3488" spans="1:9" ht="11.25" customHeight="1">
      <c r="A3488" s="3928" t="s">
        <v>2258</v>
      </c>
      <c r="B3488" s="3928" t="s">
        <v>14</v>
      </c>
      <c r="C3488" s="3928" t="s">
        <v>6129</v>
      </c>
      <c r="D3488" s="3928" t="s">
        <v>6130</v>
      </c>
      <c r="E3488" s="3928" t="s">
        <v>6131</v>
      </c>
      <c r="F3488" s="3928" t="s">
        <v>2289</v>
      </c>
      <c r="G3488" s="3928" t="s">
        <v>24</v>
      </c>
      <c r="H3488" s="3928" t="s">
        <v>2263</v>
      </c>
      <c r="I3488" s="3928" t="s">
        <v>912</v>
      </c>
    </row>
    <row r="3489" spans="1:9" ht="11.25" customHeight="1">
      <c r="A3489" s="3928" t="s">
        <v>2258</v>
      </c>
      <c r="B3489" s="3928" t="s">
        <v>14</v>
      </c>
      <c r="C3489" s="3928" t="s">
        <v>7844</v>
      </c>
      <c r="D3489" s="3928" t="s">
        <v>7845</v>
      </c>
      <c r="E3489" s="3928" t="s">
        <v>7846</v>
      </c>
      <c r="F3489" s="3928" t="s">
        <v>2304</v>
      </c>
      <c r="G3489" s="3928" t="s">
        <v>24</v>
      </c>
      <c r="H3489" s="3928" t="s">
        <v>2263</v>
      </c>
      <c r="I3489" s="3928" t="s">
        <v>912</v>
      </c>
    </row>
    <row r="3490" spans="1:9" ht="11.25" customHeight="1">
      <c r="A3490" s="3928" t="s">
        <v>2258</v>
      </c>
      <c r="B3490" s="3928" t="s">
        <v>14</v>
      </c>
      <c r="C3490" s="3928" t="s">
        <v>6144</v>
      </c>
      <c r="D3490" s="3928" t="s">
        <v>6145</v>
      </c>
      <c r="E3490" s="3928" t="s">
        <v>6146</v>
      </c>
      <c r="F3490" s="3928" t="s">
        <v>2262</v>
      </c>
      <c r="G3490" s="3928" t="s">
        <v>24</v>
      </c>
      <c r="H3490" s="3928" t="s">
        <v>6147</v>
      </c>
      <c r="I3490" s="3928" t="s">
        <v>912</v>
      </c>
    </row>
    <row r="3491" spans="1:9" ht="11.25" customHeight="1">
      <c r="A3491" s="3928" t="s">
        <v>2258</v>
      </c>
      <c r="B3491" s="3928" t="s">
        <v>14</v>
      </c>
      <c r="C3491" s="3928" t="s">
        <v>8238</v>
      </c>
      <c r="D3491" s="3928" t="s">
        <v>8239</v>
      </c>
      <c r="E3491" s="3928" t="s">
        <v>8240</v>
      </c>
      <c r="F3491" s="3928" t="s">
        <v>3833</v>
      </c>
      <c r="G3491" s="3928" t="s">
        <v>24</v>
      </c>
      <c r="H3491" s="3928" t="s">
        <v>24</v>
      </c>
      <c r="I3491" s="3928" t="s">
        <v>912</v>
      </c>
    </row>
    <row r="3492" spans="1:9" ht="11.25" customHeight="1">
      <c r="A3492" s="3928" t="s">
        <v>2258</v>
      </c>
      <c r="B3492" s="3928" t="s">
        <v>14</v>
      </c>
      <c r="C3492" s="3928" t="s">
        <v>7847</v>
      </c>
      <c r="D3492" s="3928" t="s">
        <v>7848</v>
      </c>
      <c r="E3492" s="3928" t="s">
        <v>7849</v>
      </c>
      <c r="F3492" s="3928" t="s">
        <v>7850</v>
      </c>
      <c r="G3492" s="3928" t="s">
        <v>24</v>
      </c>
      <c r="H3492" s="3928" t="s">
        <v>24</v>
      </c>
      <c r="I3492" s="3928" t="s">
        <v>912</v>
      </c>
    </row>
    <row r="3493" spans="1:9" ht="11.25" customHeight="1">
      <c r="A3493" s="3928" t="s">
        <v>2258</v>
      </c>
      <c r="B3493" s="3928" t="s">
        <v>14</v>
      </c>
      <c r="C3493" s="3928" t="s">
        <v>6148</v>
      </c>
      <c r="D3493" s="3928" t="s">
        <v>6149</v>
      </c>
      <c r="E3493" s="3928" t="s">
        <v>6150</v>
      </c>
      <c r="F3493" s="3928" t="s">
        <v>2486</v>
      </c>
      <c r="G3493" s="3928" t="s">
        <v>24</v>
      </c>
      <c r="H3493" s="3928" t="s">
        <v>24</v>
      </c>
      <c r="I3493" s="3928" t="s">
        <v>912</v>
      </c>
    </row>
    <row r="3494" spans="1:9" ht="11.25" customHeight="1">
      <c r="A3494" s="3928" t="s">
        <v>2258</v>
      </c>
      <c r="B3494" s="3928" t="s">
        <v>14</v>
      </c>
      <c r="C3494" s="3928" t="s">
        <v>6151</v>
      </c>
      <c r="D3494" s="3928" t="s">
        <v>6152</v>
      </c>
      <c r="E3494" s="3928" t="s">
        <v>6153</v>
      </c>
      <c r="F3494" s="3928" t="s">
        <v>4428</v>
      </c>
      <c r="G3494" s="3928" t="s">
        <v>24</v>
      </c>
      <c r="H3494" s="3928" t="s">
        <v>2945</v>
      </c>
      <c r="I3494" s="3928" t="s">
        <v>912</v>
      </c>
    </row>
    <row r="3495" spans="1:9" ht="11.25" customHeight="1">
      <c r="A3495" s="3928" t="s">
        <v>2258</v>
      </c>
      <c r="B3495" s="3928" t="s">
        <v>14</v>
      </c>
      <c r="C3495" s="3928" t="s">
        <v>7851</v>
      </c>
      <c r="D3495" s="3928" t="s">
        <v>7852</v>
      </c>
      <c r="E3495" s="3928" t="s">
        <v>7853</v>
      </c>
      <c r="F3495" s="3928" t="s">
        <v>2393</v>
      </c>
      <c r="G3495" s="3928" t="s">
        <v>24</v>
      </c>
      <c r="H3495" s="3928" t="s">
        <v>24</v>
      </c>
      <c r="I3495" s="3928" t="s">
        <v>912</v>
      </c>
    </row>
    <row r="3496" spans="1:9" ht="11.25" customHeight="1">
      <c r="A3496" s="3928" t="s">
        <v>2258</v>
      </c>
      <c r="B3496" s="3928" t="s">
        <v>14</v>
      </c>
      <c r="C3496" s="3928" t="s">
        <v>6154</v>
      </c>
      <c r="D3496" s="3928" t="s">
        <v>6155</v>
      </c>
      <c r="E3496" s="3928" t="s">
        <v>6146</v>
      </c>
      <c r="F3496" s="3928" t="s">
        <v>6156</v>
      </c>
      <c r="G3496" s="3928" t="s">
        <v>24</v>
      </c>
      <c r="H3496" s="3928" t="s">
        <v>24</v>
      </c>
      <c r="I3496" s="3928" t="s">
        <v>912</v>
      </c>
    </row>
    <row r="3497" spans="1:9" ht="11.25" customHeight="1">
      <c r="A3497" s="3928" t="s">
        <v>2258</v>
      </c>
      <c r="B3497" s="3928" t="s">
        <v>14</v>
      </c>
      <c r="C3497" s="3928" t="s">
        <v>8241</v>
      </c>
      <c r="D3497" s="3928" t="s">
        <v>8242</v>
      </c>
      <c r="E3497" s="3928" t="s">
        <v>8243</v>
      </c>
      <c r="F3497" s="3928" t="s">
        <v>2304</v>
      </c>
      <c r="G3497" s="3928" t="s">
        <v>24</v>
      </c>
      <c r="H3497" s="3928" t="s">
        <v>2848</v>
      </c>
      <c r="I3497" s="3928" t="s">
        <v>912</v>
      </c>
    </row>
    <row r="3498" spans="1:9" ht="11.25" customHeight="1">
      <c r="A3498" s="3928" t="s">
        <v>2258</v>
      </c>
      <c r="B3498" s="3928" t="s">
        <v>14</v>
      </c>
      <c r="C3498" s="3928" t="s">
        <v>6163</v>
      </c>
      <c r="D3498" s="3928" t="s">
        <v>6164</v>
      </c>
      <c r="E3498" s="3928" t="s">
        <v>6165</v>
      </c>
      <c r="F3498" s="3928" t="s">
        <v>2393</v>
      </c>
      <c r="G3498" s="3928" t="s">
        <v>6166</v>
      </c>
      <c r="H3498" s="3928" t="s">
        <v>24</v>
      </c>
      <c r="I3498" s="3928" t="s">
        <v>912</v>
      </c>
    </row>
    <row r="3499" spans="1:9" ht="11.25" customHeight="1">
      <c r="A3499" s="3928" t="s">
        <v>2258</v>
      </c>
      <c r="B3499" s="3928" t="s">
        <v>14</v>
      </c>
      <c r="C3499" s="3928" t="s">
        <v>6167</v>
      </c>
      <c r="D3499" s="3928" t="s">
        <v>6168</v>
      </c>
      <c r="E3499" s="3928" t="s">
        <v>6169</v>
      </c>
      <c r="F3499" s="3928" t="s">
        <v>2513</v>
      </c>
      <c r="G3499" s="3928" t="s">
        <v>24</v>
      </c>
      <c r="H3499" s="3928" t="s">
        <v>6170</v>
      </c>
      <c r="I3499" s="3928" t="s">
        <v>912</v>
      </c>
    </row>
    <row r="3500" spans="1:9" ht="11.25" customHeight="1">
      <c r="A3500" s="3928" t="s">
        <v>2258</v>
      </c>
      <c r="B3500" s="3928" t="s">
        <v>14</v>
      </c>
      <c r="C3500" s="3928" t="s">
        <v>6467</v>
      </c>
      <c r="D3500" s="3928" t="s">
        <v>6468</v>
      </c>
      <c r="E3500" s="3928" t="s">
        <v>3720</v>
      </c>
      <c r="F3500" s="3928" t="s">
        <v>6469</v>
      </c>
      <c r="G3500" s="3928" t="s">
        <v>24</v>
      </c>
      <c r="H3500" s="3928" t="s">
        <v>6470</v>
      </c>
      <c r="I3500" s="3928" t="s">
        <v>912</v>
      </c>
    </row>
    <row r="3501" spans="1:9" ht="11.25" customHeight="1">
      <c r="A3501" s="3928" t="s">
        <v>2258</v>
      </c>
      <c r="B3501" s="3928" t="s">
        <v>14</v>
      </c>
      <c r="C3501" s="3928" t="s">
        <v>6181</v>
      </c>
      <c r="D3501" s="3928" t="s">
        <v>6182</v>
      </c>
      <c r="E3501" s="3928" t="s">
        <v>6183</v>
      </c>
      <c r="F3501" s="3928" t="s">
        <v>6184</v>
      </c>
      <c r="G3501" s="3928" t="s">
        <v>24</v>
      </c>
      <c r="H3501" s="3928" t="s">
        <v>24</v>
      </c>
      <c r="I3501" s="3928" t="s">
        <v>912</v>
      </c>
    </row>
    <row r="3502" spans="1:9" ht="11.25" customHeight="1">
      <c r="A3502" s="3928" t="s">
        <v>2258</v>
      </c>
      <c r="B3502" s="3928" t="s">
        <v>14</v>
      </c>
      <c r="C3502" s="3928" t="s">
        <v>7863</v>
      </c>
      <c r="D3502" s="3928" t="s">
        <v>7864</v>
      </c>
      <c r="E3502" s="3928" t="s">
        <v>6492</v>
      </c>
      <c r="F3502" s="3928" t="s">
        <v>7865</v>
      </c>
      <c r="G3502" s="3928" t="s">
        <v>24</v>
      </c>
      <c r="H3502" s="3928" t="s">
        <v>3168</v>
      </c>
      <c r="I3502" s="3928" t="s">
        <v>912</v>
      </c>
    </row>
    <row r="3503" spans="1:9" ht="11.25" customHeight="1">
      <c r="A3503" s="3928" t="s">
        <v>2258</v>
      </c>
      <c r="B3503" s="3928" t="s">
        <v>14</v>
      </c>
      <c r="C3503" s="3928" t="s">
        <v>6194</v>
      </c>
      <c r="D3503" s="3928" t="s">
        <v>6195</v>
      </c>
      <c r="E3503" s="3928" t="s">
        <v>6196</v>
      </c>
      <c r="F3503" s="3928" t="s">
        <v>2473</v>
      </c>
      <c r="G3503" s="3928" t="s">
        <v>24</v>
      </c>
      <c r="H3503" s="3928" t="s">
        <v>6197</v>
      </c>
      <c r="I3503" s="3928" t="s">
        <v>912</v>
      </c>
    </row>
    <row r="3504" spans="1:9" ht="11.25" customHeight="1">
      <c r="A3504" s="3928" t="s">
        <v>2258</v>
      </c>
      <c r="B3504" s="3928" t="s">
        <v>14</v>
      </c>
      <c r="C3504" s="3928" t="s">
        <v>6198</v>
      </c>
      <c r="D3504" s="3928" t="s">
        <v>6199</v>
      </c>
      <c r="E3504" s="3928" t="s">
        <v>6200</v>
      </c>
      <c r="F3504" s="3928" t="s">
        <v>2469</v>
      </c>
      <c r="G3504" s="3928" t="s">
        <v>24</v>
      </c>
      <c r="H3504" s="3928" t="s">
        <v>6201</v>
      </c>
      <c r="I3504" s="3928" t="s">
        <v>912</v>
      </c>
    </row>
    <row r="3505" spans="1:9" ht="11.25" customHeight="1">
      <c r="A3505" s="3928" t="s">
        <v>2258</v>
      </c>
      <c r="B3505" s="3928" t="s">
        <v>14</v>
      </c>
      <c r="C3505" s="3928" t="s">
        <v>7866</v>
      </c>
      <c r="D3505" s="3928" t="s">
        <v>7867</v>
      </c>
      <c r="E3505" s="3928" t="s">
        <v>7868</v>
      </c>
      <c r="F3505" s="3928" t="s">
        <v>3023</v>
      </c>
      <c r="G3505" s="3928" t="s">
        <v>7869</v>
      </c>
      <c r="H3505" s="3928" t="s">
        <v>5485</v>
      </c>
      <c r="I3505" s="3928" t="s">
        <v>912</v>
      </c>
    </row>
    <row r="3506" spans="1:9" ht="11.25" customHeight="1">
      <c r="A3506" s="3928" t="s">
        <v>2258</v>
      </c>
      <c r="B3506" s="3928" t="s">
        <v>14</v>
      </c>
      <c r="C3506" s="3928" t="s">
        <v>8244</v>
      </c>
      <c r="D3506" s="3928" t="s">
        <v>8245</v>
      </c>
      <c r="E3506" s="3928" t="s">
        <v>8246</v>
      </c>
      <c r="F3506" s="3928" t="s">
        <v>2429</v>
      </c>
      <c r="G3506" s="3928" t="s">
        <v>8247</v>
      </c>
      <c r="H3506" s="3928" t="s">
        <v>24</v>
      </c>
      <c r="I3506" s="3928" t="s">
        <v>912</v>
      </c>
    </row>
    <row r="3507" spans="1:9" ht="11.25" customHeight="1">
      <c r="A3507" s="3928" t="s">
        <v>2258</v>
      </c>
      <c r="B3507" s="3928" t="s">
        <v>14</v>
      </c>
      <c r="C3507" s="3928" t="s">
        <v>7870</v>
      </c>
      <c r="D3507" s="3928" t="s">
        <v>7871</v>
      </c>
      <c r="E3507" s="3928" t="s">
        <v>7872</v>
      </c>
      <c r="F3507" s="3928" t="s">
        <v>4792</v>
      </c>
      <c r="G3507" s="3928" t="s">
        <v>24</v>
      </c>
      <c r="H3507" s="3928" t="s">
        <v>2945</v>
      </c>
      <c r="I3507" s="3928" t="s">
        <v>912</v>
      </c>
    </row>
    <row r="3508" spans="1:9" ht="11.25" customHeight="1">
      <c r="A3508" s="3928" t="s">
        <v>2258</v>
      </c>
      <c r="B3508" s="3928" t="s">
        <v>14</v>
      </c>
      <c r="C3508" s="3928" t="s">
        <v>7873</v>
      </c>
      <c r="D3508" s="3928" t="s">
        <v>7874</v>
      </c>
      <c r="E3508" s="3928" t="s">
        <v>3095</v>
      </c>
      <c r="F3508" s="3928" t="s">
        <v>7875</v>
      </c>
      <c r="G3508" s="3928" t="s">
        <v>6225</v>
      </c>
      <c r="H3508" s="3928" t="s">
        <v>2945</v>
      </c>
      <c r="I3508" s="3928" t="s">
        <v>912</v>
      </c>
    </row>
    <row r="3509" spans="1:9" ht="11.25" customHeight="1">
      <c r="A3509" s="3928" t="s">
        <v>2258</v>
      </c>
      <c r="B3509" s="3928" t="s">
        <v>14</v>
      </c>
      <c r="C3509" s="3928" t="s">
        <v>7881</v>
      </c>
      <c r="D3509" s="3928" t="s">
        <v>7882</v>
      </c>
      <c r="E3509" s="3928" t="s">
        <v>7883</v>
      </c>
      <c r="F3509" s="3928" t="s">
        <v>2513</v>
      </c>
      <c r="G3509" s="3928" t="s">
        <v>7884</v>
      </c>
      <c r="H3509" s="3928" t="s">
        <v>6501</v>
      </c>
      <c r="I3509" s="3928" t="s">
        <v>912</v>
      </c>
    </row>
    <row r="3510" spans="1:9" ht="11.25" customHeight="1">
      <c r="A3510" s="3928" t="s">
        <v>2258</v>
      </c>
      <c r="B3510" s="3928" t="s">
        <v>14</v>
      </c>
      <c r="C3510" s="3928" t="s">
        <v>6209</v>
      </c>
      <c r="D3510" s="3928" t="s">
        <v>6210</v>
      </c>
      <c r="E3510" s="3928" t="s">
        <v>6211</v>
      </c>
      <c r="F3510" s="3928" t="s">
        <v>2359</v>
      </c>
      <c r="G3510" s="3928" t="s">
        <v>24</v>
      </c>
      <c r="H3510" s="3928" t="s">
        <v>24</v>
      </c>
      <c r="I3510" s="3928" t="s">
        <v>912</v>
      </c>
    </row>
    <row r="3511" spans="1:9" ht="11.25" customHeight="1">
      <c r="A3511" s="3928" t="s">
        <v>2258</v>
      </c>
      <c r="B3511" s="3928" t="s">
        <v>14</v>
      </c>
      <c r="C3511" s="3928" t="s">
        <v>6212</v>
      </c>
      <c r="D3511" s="3928" t="s">
        <v>6213</v>
      </c>
      <c r="E3511" s="3928" t="s">
        <v>6214</v>
      </c>
      <c r="F3511" s="3928" t="s">
        <v>2675</v>
      </c>
      <c r="G3511" s="3928" t="s">
        <v>24</v>
      </c>
      <c r="H3511" s="3928" t="s">
        <v>24</v>
      </c>
      <c r="I3511" s="3928" t="s">
        <v>912</v>
      </c>
    </row>
    <row r="3512" spans="1:9" ht="11.25" customHeight="1">
      <c r="A3512" s="3928" t="s">
        <v>2258</v>
      </c>
      <c r="B3512" s="3928" t="s">
        <v>14</v>
      </c>
      <c r="C3512" s="3928" t="s">
        <v>6215</v>
      </c>
      <c r="D3512" s="3928" t="s">
        <v>6216</v>
      </c>
      <c r="E3512" s="3928" t="s">
        <v>6217</v>
      </c>
      <c r="F3512" s="3928" t="s">
        <v>2965</v>
      </c>
      <c r="G3512" s="3928" t="s">
        <v>24</v>
      </c>
      <c r="H3512" s="3928" t="s">
        <v>24</v>
      </c>
      <c r="I3512" s="3928" t="s">
        <v>912</v>
      </c>
    </row>
    <row r="3513" spans="1:9" ht="11.25" customHeight="1">
      <c r="A3513" s="3928" t="s">
        <v>2258</v>
      </c>
      <c r="B3513" s="3928" t="s">
        <v>14</v>
      </c>
      <c r="C3513" s="3928" t="s">
        <v>6218</v>
      </c>
      <c r="D3513" s="3928" t="s">
        <v>6219</v>
      </c>
      <c r="E3513" s="3928" t="s">
        <v>6220</v>
      </c>
      <c r="F3513" s="3928" t="s">
        <v>2486</v>
      </c>
      <c r="G3513" s="3928" t="s">
        <v>6221</v>
      </c>
      <c r="H3513" s="3928" t="s">
        <v>24</v>
      </c>
      <c r="I3513" s="3928" t="s">
        <v>912</v>
      </c>
    </row>
    <row r="3514" spans="1:9" ht="11.25" customHeight="1">
      <c r="A3514" s="3928" t="s">
        <v>2258</v>
      </c>
      <c r="B3514" s="3928" t="s">
        <v>14</v>
      </c>
      <c r="C3514" s="3928" t="s">
        <v>6226</v>
      </c>
      <c r="D3514" s="3928" t="s">
        <v>6227</v>
      </c>
      <c r="E3514" s="3928" t="s">
        <v>6228</v>
      </c>
      <c r="F3514" s="3928" t="s">
        <v>2309</v>
      </c>
      <c r="G3514" s="3928" t="s">
        <v>24</v>
      </c>
      <c r="H3514" s="3928" t="s">
        <v>24</v>
      </c>
      <c r="I3514" s="3928" t="s">
        <v>912</v>
      </c>
    </row>
    <row r="3515" spans="1:9" ht="11.25" customHeight="1">
      <c r="A3515" s="3928" t="s">
        <v>2258</v>
      </c>
      <c r="B3515" s="3928" t="s">
        <v>14</v>
      </c>
      <c r="C3515" s="3928" t="s">
        <v>6229</v>
      </c>
      <c r="D3515" s="3928" t="s">
        <v>6230</v>
      </c>
      <c r="E3515" s="3928" t="s">
        <v>6231</v>
      </c>
      <c r="F3515" s="3928" t="s">
        <v>2587</v>
      </c>
      <c r="G3515" s="3928" t="s">
        <v>24</v>
      </c>
      <c r="H3515" s="3928" t="s">
        <v>2263</v>
      </c>
      <c r="I3515" s="3928" t="s">
        <v>912</v>
      </c>
    </row>
    <row r="3516" spans="1:9" ht="11.25" customHeight="1">
      <c r="A3516" s="3928" t="s">
        <v>2258</v>
      </c>
      <c r="B3516" s="3928" t="s">
        <v>14</v>
      </c>
      <c r="C3516" s="3928" t="s">
        <v>6232</v>
      </c>
      <c r="D3516" s="3928" t="s">
        <v>6233</v>
      </c>
      <c r="E3516" s="3928" t="s">
        <v>6234</v>
      </c>
      <c r="F3516" s="3928" t="s">
        <v>2469</v>
      </c>
      <c r="G3516" s="3928" t="s">
        <v>24</v>
      </c>
      <c r="H3516" s="3928" t="s">
        <v>24</v>
      </c>
      <c r="I3516" s="3928" t="s">
        <v>912</v>
      </c>
    </row>
    <row r="3517" spans="1:9" ht="11.25" customHeight="1">
      <c r="A3517" s="3928" t="s">
        <v>2258</v>
      </c>
      <c r="B3517" s="3928" t="s">
        <v>14</v>
      </c>
      <c r="C3517" s="3928" t="s">
        <v>7885</v>
      </c>
      <c r="D3517" s="3928" t="s">
        <v>7886</v>
      </c>
      <c r="E3517" s="3928" t="s">
        <v>7887</v>
      </c>
      <c r="F3517" s="3928" t="s">
        <v>49</v>
      </c>
      <c r="G3517" s="3928" t="s">
        <v>7888</v>
      </c>
      <c r="H3517" s="3928" t="s">
        <v>2772</v>
      </c>
      <c r="I3517" s="3928" t="s">
        <v>912</v>
      </c>
    </row>
    <row r="3518" spans="1:9" ht="11.25" customHeight="1">
      <c r="A3518" s="3928" t="s">
        <v>2258</v>
      </c>
      <c r="B3518" s="3928" t="s">
        <v>14</v>
      </c>
      <c r="C3518" s="3928" t="s">
        <v>6235</v>
      </c>
      <c r="D3518" s="3928" t="s">
        <v>6236</v>
      </c>
      <c r="E3518" s="3928" t="s">
        <v>6237</v>
      </c>
      <c r="F3518" s="3928" t="s">
        <v>2419</v>
      </c>
      <c r="G3518" s="3928" t="s">
        <v>6238</v>
      </c>
      <c r="H3518" s="3928" t="s">
        <v>24</v>
      </c>
      <c r="I3518" s="3928" t="s">
        <v>912</v>
      </c>
    </row>
    <row r="3519" spans="1:9" ht="11.25" customHeight="1">
      <c r="A3519" s="3928" t="s">
        <v>2258</v>
      </c>
      <c r="B3519" s="3928" t="s">
        <v>14</v>
      </c>
      <c r="C3519" s="3928" t="s">
        <v>6241</v>
      </c>
      <c r="D3519" s="3928" t="s">
        <v>6242</v>
      </c>
      <c r="E3519" s="3928" t="s">
        <v>6243</v>
      </c>
      <c r="F3519" s="3928" t="s">
        <v>6244</v>
      </c>
      <c r="G3519" s="3928" t="s">
        <v>24</v>
      </c>
      <c r="H3519" s="3928" t="s">
        <v>2263</v>
      </c>
      <c r="I3519" s="3928" t="s">
        <v>912</v>
      </c>
    </row>
    <row r="3520" spans="1:9" ht="11.25" customHeight="1">
      <c r="A3520" s="3928" t="s">
        <v>2258</v>
      </c>
      <c r="B3520" s="3928" t="s">
        <v>14</v>
      </c>
      <c r="C3520" s="3928" t="s">
        <v>6245</v>
      </c>
      <c r="D3520" s="3928" t="s">
        <v>6242</v>
      </c>
      <c r="E3520" s="3928" t="s">
        <v>6243</v>
      </c>
      <c r="F3520" s="3928" t="s">
        <v>2393</v>
      </c>
      <c r="G3520" s="3928" t="s">
        <v>6246</v>
      </c>
      <c r="H3520" s="3928" t="s">
        <v>24</v>
      </c>
      <c r="I3520" s="3928" t="s">
        <v>912</v>
      </c>
    </row>
    <row r="3521" spans="1:9" ht="11.25" customHeight="1">
      <c r="A3521" s="3928" t="s">
        <v>2258</v>
      </c>
      <c r="B3521" s="3928" t="s">
        <v>14</v>
      </c>
      <c r="C3521" s="3928" t="s">
        <v>6247</v>
      </c>
      <c r="D3521" s="3928" t="s">
        <v>6248</v>
      </c>
      <c r="E3521" s="3928" t="s">
        <v>6153</v>
      </c>
      <c r="F3521" s="3928" t="s">
        <v>6249</v>
      </c>
      <c r="G3521" s="3928" t="s">
        <v>24</v>
      </c>
      <c r="H3521" s="3928" t="s">
        <v>2263</v>
      </c>
      <c r="I3521" s="3928" t="s">
        <v>912</v>
      </c>
    </row>
    <row r="3522" spans="1:9" ht="11.25" customHeight="1">
      <c r="A3522" s="3928" t="s">
        <v>2258</v>
      </c>
      <c r="B3522" s="3928" t="s">
        <v>14</v>
      </c>
      <c r="C3522" s="3928" t="s">
        <v>7889</v>
      </c>
      <c r="D3522" s="3928" t="s">
        <v>7890</v>
      </c>
      <c r="E3522" s="3928" t="s">
        <v>6586</v>
      </c>
      <c r="F3522" s="3928" t="s">
        <v>7891</v>
      </c>
      <c r="G3522" s="3928" t="s">
        <v>24</v>
      </c>
      <c r="H3522" s="3928" t="s">
        <v>7892</v>
      </c>
      <c r="I3522" s="3928" t="s">
        <v>912</v>
      </c>
    </row>
    <row r="3523" spans="1:9" ht="11.25" customHeight="1">
      <c r="A3523" s="3928" t="s">
        <v>2258</v>
      </c>
      <c r="B3523" s="3928" t="s">
        <v>14</v>
      </c>
      <c r="C3523" s="3928" t="s">
        <v>6263</v>
      </c>
      <c r="D3523" s="3928" t="s">
        <v>6264</v>
      </c>
      <c r="E3523" s="3928" t="s">
        <v>6265</v>
      </c>
      <c r="F3523" s="3928" t="s">
        <v>6266</v>
      </c>
      <c r="G3523" s="3928" t="s">
        <v>6267</v>
      </c>
      <c r="H3523" s="3928" t="s">
        <v>24</v>
      </c>
      <c r="I3523" s="3928" t="s">
        <v>912</v>
      </c>
    </row>
    <row r="3524" spans="1:9" ht="11.25" customHeight="1">
      <c r="A3524" s="3928" t="s">
        <v>2258</v>
      </c>
      <c r="B3524" s="3928" t="s">
        <v>14</v>
      </c>
      <c r="C3524" s="3928" t="s">
        <v>6271</v>
      </c>
      <c r="D3524" s="3928" t="s">
        <v>6272</v>
      </c>
      <c r="E3524" s="3928" t="s">
        <v>6273</v>
      </c>
      <c r="F3524" s="3928" t="s">
        <v>6274</v>
      </c>
      <c r="G3524" s="3928" t="s">
        <v>6275</v>
      </c>
      <c r="H3524" s="3928" t="s">
        <v>24</v>
      </c>
      <c r="I3524" s="3928" t="s">
        <v>912</v>
      </c>
    </row>
    <row r="3525" spans="1:9" ht="11.25" customHeight="1">
      <c r="A3525" s="3928" t="s">
        <v>2258</v>
      </c>
      <c r="B3525" s="3928" t="s">
        <v>14</v>
      </c>
      <c r="C3525" s="3928" t="s">
        <v>6276</v>
      </c>
      <c r="D3525" s="3928" t="s">
        <v>6277</v>
      </c>
      <c r="E3525" s="3928" t="s">
        <v>6278</v>
      </c>
      <c r="F3525" s="3928" t="s">
        <v>6279</v>
      </c>
      <c r="G3525" s="3928" t="s">
        <v>6280</v>
      </c>
      <c r="H3525" s="3928" t="s">
        <v>24</v>
      </c>
      <c r="I3525" s="3928" t="s">
        <v>912</v>
      </c>
    </row>
    <row r="3526" spans="1:9" ht="11.25" customHeight="1">
      <c r="A3526" s="3928" t="s">
        <v>2258</v>
      </c>
      <c r="B3526" s="3928" t="s">
        <v>14</v>
      </c>
      <c r="C3526" s="3928" t="s">
        <v>8248</v>
      </c>
      <c r="D3526" s="3928" t="s">
        <v>8249</v>
      </c>
      <c r="E3526" s="3928" t="s">
        <v>3095</v>
      </c>
      <c r="F3526" s="3928" t="s">
        <v>8250</v>
      </c>
      <c r="G3526" s="3928" t="s">
        <v>8251</v>
      </c>
      <c r="H3526" s="3928" t="s">
        <v>24</v>
      </c>
      <c r="I3526" s="3928" t="s">
        <v>912</v>
      </c>
    </row>
    <row r="3527" spans="1:9" ht="11.25" customHeight="1">
      <c r="A3527" s="3928" t="s">
        <v>2258</v>
      </c>
      <c r="B3527" s="3928" t="s">
        <v>14</v>
      </c>
      <c r="C3527" s="3928" t="s">
        <v>7898</v>
      </c>
      <c r="D3527" s="3928" t="s">
        <v>7899</v>
      </c>
      <c r="E3527" s="3928" t="s">
        <v>3095</v>
      </c>
      <c r="F3527" s="3928" t="s">
        <v>7900</v>
      </c>
      <c r="G3527" s="3928" t="s">
        <v>3096</v>
      </c>
      <c r="H3527" s="3928" t="s">
        <v>24</v>
      </c>
      <c r="I3527" s="3928" t="s">
        <v>912</v>
      </c>
    </row>
    <row r="3528" spans="1:9" ht="11.25" customHeight="1">
      <c r="A3528" s="3928" t="s">
        <v>2258</v>
      </c>
      <c r="B3528" s="3928" t="s">
        <v>14</v>
      </c>
      <c r="C3528" s="3928" t="s">
        <v>7901</v>
      </c>
      <c r="D3528" s="3928" t="s">
        <v>7902</v>
      </c>
      <c r="E3528" s="3928" t="s">
        <v>7903</v>
      </c>
      <c r="F3528" s="3928" t="s">
        <v>2701</v>
      </c>
      <c r="G3528" s="3928" t="s">
        <v>24</v>
      </c>
      <c r="H3528" s="3928" t="s">
        <v>2263</v>
      </c>
      <c r="I3528" s="3928" t="s">
        <v>912</v>
      </c>
    </row>
    <row r="3529" spans="1:9" ht="11.25" customHeight="1">
      <c r="A3529" s="3928" t="s">
        <v>2258</v>
      </c>
      <c r="B3529" s="3928" t="s">
        <v>14</v>
      </c>
      <c r="C3529" s="3928" t="s">
        <v>7907</v>
      </c>
      <c r="D3529" s="3928" t="s">
        <v>7908</v>
      </c>
      <c r="E3529" s="3928" t="s">
        <v>2821</v>
      </c>
      <c r="F3529" s="3928" t="s">
        <v>5937</v>
      </c>
      <c r="G3529" s="3928" t="s">
        <v>24</v>
      </c>
      <c r="H3529" s="3928" t="s">
        <v>24</v>
      </c>
      <c r="I3529" s="3928" t="s">
        <v>912</v>
      </c>
    </row>
    <row r="3530" spans="1:9" ht="11.25" customHeight="1">
      <c r="A3530" s="3928" t="s">
        <v>2258</v>
      </c>
      <c r="B3530" s="3928" t="s">
        <v>14</v>
      </c>
      <c r="C3530" s="3928" t="s">
        <v>7909</v>
      </c>
      <c r="D3530" s="3928" t="s">
        <v>7910</v>
      </c>
      <c r="E3530" s="3928" t="s">
        <v>5851</v>
      </c>
      <c r="F3530" s="3928" t="s">
        <v>7911</v>
      </c>
      <c r="G3530" s="3928" t="s">
        <v>24</v>
      </c>
      <c r="H3530" s="3928" t="s">
        <v>24</v>
      </c>
      <c r="I3530" s="3928" t="s">
        <v>912</v>
      </c>
    </row>
    <row r="3531" spans="1:9" ht="11.25" customHeight="1">
      <c r="A3531" s="3928" t="s">
        <v>2258</v>
      </c>
      <c r="B3531" s="3928" t="s">
        <v>14</v>
      </c>
      <c r="C3531" s="3928" t="s">
        <v>7912</v>
      </c>
      <c r="D3531" s="3928" t="s">
        <v>7913</v>
      </c>
      <c r="E3531" s="3928" t="s">
        <v>7115</v>
      </c>
      <c r="F3531" s="3928" t="s">
        <v>7914</v>
      </c>
      <c r="G3531" s="3928" t="s">
        <v>24</v>
      </c>
      <c r="H3531" s="3928" t="s">
        <v>24</v>
      </c>
      <c r="I3531" s="3928" t="s">
        <v>912</v>
      </c>
    </row>
    <row r="3532" spans="1:9" ht="11.25" customHeight="1">
      <c r="A3532" s="3928" t="s">
        <v>2258</v>
      </c>
      <c r="B3532" s="3928" t="s">
        <v>14</v>
      </c>
      <c r="C3532" s="3928" t="s">
        <v>6294</v>
      </c>
      <c r="D3532" s="3928" t="s">
        <v>6295</v>
      </c>
      <c r="E3532" s="3928" t="s">
        <v>6296</v>
      </c>
      <c r="F3532" s="3928" t="s">
        <v>2397</v>
      </c>
      <c r="G3532" s="3928" t="s">
        <v>24</v>
      </c>
      <c r="H3532" s="3928" t="s">
        <v>24</v>
      </c>
      <c r="I3532" s="3928" t="s">
        <v>912</v>
      </c>
    </row>
    <row r="3533" spans="1:9" ht="11.25" customHeight="1">
      <c r="A3533" s="3928" t="s">
        <v>2258</v>
      </c>
      <c r="B3533" s="3928" t="s">
        <v>14</v>
      </c>
      <c r="C3533" s="3928" t="s">
        <v>6300</v>
      </c>
      <c r="D3533" s="3928" t="s">
        <v>6301</v>
      </c>
      <c r="E3533" s="3928" t="s">
        <v>5771</v>
      </c>
      <c r="F3533" s="3928" t="s">
        <v>6302</v>
      </c>
      <c r="G3533" s="3928" t="s">
        <v>24</v>
      </c>
      <c r="H3533" s="3928" t="s">
        <v>24</v>
      </c>
      <c r="I3533" s="3928" t="s">
        <v>912</v>
      </c>
    </row>
    <row r="3534" spans="1:9" ht="11.25" customHeight="1">
      <c r="A3534" s="3928" t="s">
        <v>2258</v>
      </c>
      <c r="B3534" s="3928" t="s">
        <v>14</v>
      </c>
      <c r="C3534" s="3928" t="s">
        <v>6303</v>
      </c>
      <c r="D3534" s="3928" t="s">
        <v>6304</v>
      </c>
      <c r="E3534" s="3928" t="s">
        <v>6305</v>
      </c>
      <c r="F3534" s="3928" t="s">
        <v>6306</v>
      </c>
      <c r="G3534" s="3928" t="s">
        <v>6307</v>
      </c>
      <c r="H3534" s="3928" t="s">
        <v>24</v>
      </c>
      <c r="I3534" s="3928" t="s">
        <v>912</v>
      </c>
    </row>
    <row r="3535" spans="1:9" ht="11.25" customHeight="1">
      <c r="A3535" s="3928" t="s">
        <v>2258</v>
      </c>
      <c r="B3535" s="3928" t="s">
        <v>14</v>
      </c>
      <c r="C3535" s="3928" t="s">
        <v>6311</v>
      </c>
      <c r="D3535" s="3928" t="s">
        <v>6312</v>
      </c>
      <c r="E3535" s="3928" t="s">
        <v>6313</v>
      </c>
      <c r="F3535" s="3928" t="s">
        <v>2796</v>
      </c>
      <c r="G3535" s="3928" t="s">
        <v>6314</v>
      </c>
      <c r="H3535" s="3928" t="s">
        <v>24</v>
      </c>
      <c r="I3535" s="3928" t="s">
        <v>912</v>
      </c>
    </row>
    <row r="3536" spans="1:9" ht="11.25" customHeight="1">
      <c r="A3536" s="3928" t="s">
        <v>2258</v>
      </c>
      <c r="B3536" s="3928" t="s">
        <v>14</v>
      </c>
      <c r="C3536" s="3928" t="s">
        <v>6315</v>
      </c>
      <c r="D3536" s="3928" t="s">
        <v>6316</v>
      </c>
      <c r="E3536" s="3928" t="s">
        <v>5246</v>
      </c>
      <c r="F3536" s="3928" t="s">
        <v>6317</v>
      </c>
      <c r="G3536" s="3928" t="s">
        <v>24</v>
      </c>
      <c r="H3536" s="3928" t="s">
        <v>24</v>
      </c>
      <c r="I3536" s="3928" t="s">
        <v>912</v>
      </c>
    </row>
    <row r="3537" spans="1:9" ht="11.25" customHeight="1">
      <c r="A3537" s="3928" t="s">
        <v>2258</v>
      </c>
      <c r="B3537" s="3928" t="s">
        <v>14</v>
      </c>
      <c r="C3537" s="3928" t="s">
        <v>7924</v>
      </c>
      <c r="D3537" s="3928" t="s">
        <v>7925</v>
      </c>
      <c r="E3537" s="3928" t="s">
        <v>3855</v>
      </c>
      <c r="F3537" s="3928" t="s">
        <v>7926</v>
      </c>
      <c r="G3537" s="3928" t="s">
        <v>7927</v>
      </c>
      <c r="H3537" s="3928" t="s">
        <v>2263</v>
      </c>
      <c r="I3537" s="3928" t="s">
        <v>912</v>
      </c>
    </row>
    <row r="3538" spans="1:9" ht="11.25" customHeight="1">
      <c r="A3538" s="3928" t="s">
        <v>2258</v>
      </c>
      <c r="B3538" s="3928" t="s">
        <v>14</v>
      </c>
      <c r="C3538" s="3928" t="s">
        <v>7928</v>
      </c>
      <c r="D3538" s="3928" t="s">
        <v>7929</v>
      </c>
      <c r="E3538" s="3928" t="s">
        <v>3855</v>
      </c>
      <c r="F3538" s="3928" t="s">
        <v>7900</v>
      </c>
      <c r="G3538" s="3928" t="s">
        <v>24</v>
      </c>
      <c r="H3538" s="3928" t="s">
        <v>2263</v>
      </c>
      <c r="I3538" s="3928" t="s">
        <v>912</v>
      </c>
    </row>
    <row r="3539" spans="1:9" ht="11.25" customHeight="1">
      <c r="A3539" s="3928" t="s">
        <v>2258</v>
      </c>
      <c r="B3539" s="3928" t="s">
        <v>14</v>
      </c>
      <c r="C3539" s="3928" t="s">
        <v>6326</v>
      </c>
      <c r="D3539" s="3928" t="s">
        <v>6327</v>
      </c>
      <c r="E3539" s="3928" t="s">
        <v>5851</v>
      </c>
      <c r="F3539" s="3928" t="s">
        <v>6328</v>
      </c>
      <c r="G3539" s="3928" t="s">
        <v>24</v>
      </c>
      <c r="H3539" s="3928" t="s">
        <v>24</v>
      </c>
      <c r="I3539" s="3928" t="s">
        <v>912</v>
      </c>
    </row>
    <row r="3540" spans="1:9" ht="11.25" customHeight="1">
      <c r="A3540" s="3928" t="s">
        <v>2258</v>
      </c>
      <c r="B3540" s="3928" t="s">
        <v>14</v>
      </c>
      <c r="C3540" s="3928" t="s">
        <v>8252</v>
      </c>
      <c r="D3540" s="3928" t="s">
        <v>8253</v>
      </c>
      <c r="E3540" s="3928" t="s">
        <v>8254</v>
      </c>
      <c r="F3540" s="3928" t="s">
        <v>2304</v>
      </c>
      <c r="G3540" s="3928" t="s">
        <v>24</v>
      </c>
      <c r="H3540" s="3928" t="s">
        <v>24</v>
      </c>
      <c r="I3540" s="3928" t="s">
        <v>1621</v>
      </c>
    </row>
    <row r="3541" spans="1:9" ht="11.25" customHeight="1">
      <c r="A3541" s="3928" t="s">
        <v>2258</v>
      </c>
      <c r="B3541" s="3928" t="s">
        <v>14</v>
      </c>
      <c r="C3541" s="3928" t="s">
        <v>8255</v>
      </c>
      <c r="D3541" s="3928" t="s">
        <v>8256</v>
      </c>
      <c r="E3541" s="3928" t="s">
        <v>8257</v>
      </c>
      <c r="F3541" s="3928" t="s">
        <v>2796</v>
      </c>
      <c r="G3541" s="3928" t="s">
        <v>8258</v>
      </c>
      <c r="H3541" s="3928" t="s">
        <v>24</v>
      </c>
      <c r="I3541" s="3928" t="s">
        <v>1621</v>
      </c>
    </row>
    <row r="3542" spans="1:9" ht="11.25" customHeight="1">
      <c r="A3542" s="3928" t="s">
        <v>2258</v>
      </c>
      <c r="B3542" s="3928" t="s">
        <v>14</v>
      </c>
      <c r="C3542" s="3928" t="s">
        <v>8259</v>
      </c>
      <c r="D3542" s="3928" t="s">
        <v>8260</v>
      </c>
      <c r="E3542" s="3928" t="s">
        <v>8261</v>
      </c>
      <c r="F3542" s="3928" t="s">
        <v>664</v>
      </c>
      <c r="G3542" s="3928" t="s">
        <v>24</v>
      </c>
      <c r="H3542" s="3928" t="s">
        <v>24</v>
      </c>
      <c r="I3542" s="3928" t="s">
        <v>1621</v>
      </c>
    </row>
    <row r="3543" spans="1:9" ht="11.25" customHeight="1">
      <c r="A3543" s="3928" t="s">
        <v>2258</v>
      </c>
      <c r="B3543" s="3928" t="s">
        <v>14</v>
      </c>
      <c r="C3543" s="3928" t="s">
        <v>8262</v>
      </c>
      <c r="D3543" s="3928" t="s">
        <v>8263</v>
      </c>
      <c r="E3543" s="3928" t="s">
        <v>8264</v>
      </c>
      <c r="F3543" s="3928" t="s">
        <v>664</v>
      </c>
      <c r="G3543" s="3928" t="s">
        <v>24</v>
      </c>
      <c r="H3543" s="3928" t="s">
        <v>24</v>
      </c>
      <c r="I3543" s="3928" t="s">
        <v>1621</v>
      </c>
    </row>
    <row r="3544" spans="1:9" ht="11.25" customHeight="1">
      <c r="A3544" s="3928" t="s">
        <v>2258</v>
      </c>
      <c r="B3544" s="3928" t="s">
        <v>14</v>
      </c>
      <c r="C3544" s="3928" t="s">
        <v>24</v>
      </c>
      <c r="D3544" s="3928" t="s">
        <v>3338</v>
      </c>
      <c r="E3544" s="3928" t="s">
        <v>3339</v>
      </c>
      <c r="F3544" s="3928" t="s">
        <v>2294</v>
      </c>
      <c r="G3544" s="3928" t="s">
        <v>24</v>
      </c>
      <c r="H3544" s="3928" t="s">
        <v>24</v>
      </c>
      <c r="I3544" s="3928" t="s">
        <v>1621</v>
      </c>
    </row>
    <row r="3545" spans="1:9" ht="11.25" customHeight="1">
      <c r="A3545" s="3928" t="s">
        <v>2258</v>
      </c>
      <c r="B3545" s="3928" t="s">
        <v>14</v>
      </c>
      <c r="C3545" s="3928" t="s">
        <v>8265</v>
      </c>
      <c r="D3545" s="3928" t="s">
        <v>8266</v>
      </c>
      <c r="E3545" s="3928" t="s">
        <v>8267</v>
      </c>
      <c r="F3545" s="3928" t="s">
        <v>3509</v>
      </c>
      <c r="G3545" s="3928" t="s">
        <v>24</v>
      </c>
      <c r="H3545" s="3928" t="s">
        <v>24</v>
      </c>
      <c r="I3545" s="3928" t="s">
        <v>1621</v>
      </c>
    </row>
    <row r="3546" spans="1:9" ht="11.25" customHeight="1">
      <c r="A3546" s="3928" t="s">
        <v>2258</v>
      </c>
      <c r="B3546" s="3928" t="s">
        <v>14</v>
      </c>
      <c r="C3546" s="3928" t="s">
        <v>8268</v>
      </c>
      <c r="D3546" s="3928" t="s">
        <v>8269</v>
      </c>
      <c r="E3546" s="3928" t="s">
        <v>8270</v>
      </c>
      <c r="F3546" s="3928" t="s">
        <v>3532</v>
      </c>
      <c r="G3546" s="3928" t="s">
        <v>8271</v>
      </c>
      <c r="H3546" s="3928" t="s">
        <v>24</v>
      </c>
      <c r="I3546" s="3928" t="s">
        <v>1621</v>
      </c>
    </row>
    <row r="3547" spans="1:9" ht="11.25" customHeight="1">
      <c r="A3547" s="3928" t="s">
        <v>2258</v>
      </c>
      <c r="B3547" s="3928" t="s">
        <v>14</v>
      </c>
      <c r="C3547" s="3928" t="s">
        <v>8272</v>
      </c>
      <c r="D3547" s="3928" t="s">
        <v>8273</v>
      </c>
      <c r="E3547" s="3928" t="s">
        <v>8274</v>
      </c>
      <c r="F3547" s="3928" t="s">
        <v>2464</v>
      </c>
      <c r="G3547" s="3928" t="s">
        <v>24</v>
      </c>
      <c r="H3547" s="3928" t="s">
        <v>8275</v>
      </c>
      <c r="I3547" s="3928" t="s">
        <v>1621</v>
      </c>
    </row>
    <row r="3548" spans="1:9" ht="11.25" customHeight="1">
      <c r="A3548" s="3928" t="s">
        <v>2258</v>
      </c>
      <c r="B3548" s="3928" t="s">
        <v>14</v>
      </c>
      <c r="C3548" s="3928" t="s">
        <v>8276</v>
      </c>
      <c r="D3548" s="3928" t="s">
        <v>8277</v>
      </c>
      <c r="E3548" s="3928" t="s">
        <v>8278</v>
      </c>
      <c r="F3548" s="3928" t="s">
        <v>2299</v>
      </c>
      <c r="G3548" s="3928" t="s">
        <v>24</v>
      </c>
      <c r="H3548" s="3928" t="s">
        <v>24</v>
      </c>
      <c r="I3548" s="3928" t="s">
        <v>1621</v>
      </c>
    </row>
    <row r="3549" spans="1:9" ht="11.25" customHeight="1">
      <c r="A3549" s="3928" t="s">
        <v>2258</v>
      </c>
      <c r="B3549" s="3928" t="s">
        <v>14</v>
      </c>
      <c r="C3549" s="3928" t="s">
        <v>8279</v>
      </c>
      <c r="D3549" s="3928" t="s">
        <v>8280</v>
      </c>
      <c r="E3549" s="3928" t="s">
        <v>8281</v>
      </c>
      <c r="F3549" s="3928" t="s">
        <v>2567</v>
      </c>
      <c r="G3549" s="3928" t="s">
        <v>24</v>
      </c>
      <c r="H3549" s="3928" t="s">
        <v>8282</v>
      </c>
      <c r="I3549" s="3928" t="s">
        <v>1621</v>
      </c>
    </row>
    <row r="3550" spans="1:9" ht="11.25" customHeight="1">
      <c r="A3550" s="3928" t="s">
        <v>2258</v>
      </c>
      <c r="B3550" s="3928" t="s">
        <v>14</v>
      </c>
      <c r="C3550" s="3928" t="s">
        <v>8283</v>
      </c>
      <c r="D3550" s="3928" t="s">
        <v>8284</v>
      </c>
      <c r="E3550" s="3928" t="s">
        <v>8285</v>
      </c>
      <c r="F3550" s="3928" t="s">
        <v>2535</v>
      </c>
      <c r="G3550" s="3928" t="s">
        <v>24</v>
      </c>
      <c r="H3550" s="3928" t="s">
        <v>2314</v>
      </c>
      <c r="I3550" s="3928" t="s">
        <v>1621</v>
      </c>
    </row>
    <row r="3551" spans="1:9" ht="11.25" customHeight="1">
      <c r="A3551" s="3928" t="s">
        <v>2258</v>
      </c>
      <c r="B3551" s="3928" t="s">
        <v>14</v>
      </c>
      <c r="C3551" s="3928" t="s">
        <v>8286</v>
      </c>
      <c r="D3551" s="3928" t="s">
        <v>8287</v>
      </c>
      <c r="E3551" s="3928" t="s">
        <v>8288</v>
      </c>
      <c r="F3551" s="3928" t="s">
        <v>2325</v>
      </c>
      <c r="G3551" s="3928" t="s">
        <v>8289</v>
      </c>
      <c r="H3551" s="3928" t="s">
        <v>8290</v>
      </c>
      <c r="I3551" s="3928" t="s">
        <v>1621</v>
      </c>
    </row>
    <row r="3552" spans="1:9" ht="11.25" customHeight="1">
      <c r="A3552" s="3928" t="s">
        <v>2258</v>
      </c>
      <c r="B3552" s="3928" t="s">
        <v>14</v>
      </c>
      <c r="C3552" s="3928" t="s">
        <v>8291</v>
      </c>
      <c r="D3552" s="3928" t="s">
        <v>8292</v>
      </c>
      <c r="E3552" s="3928" t="s">
        <v>8293</v>
      </c>
      <c r="F3552" s="3928" t="s">
        <v>2796</v>
      </c>
      <c r="G3552" s="3928" t="s">
        <v>24</v>
      </c>
      <c r="H3552" s="3928" t="s">
        <v>2263</v>
      </c>
      <c r="I3552" s="3928" t="s">
        <v>1621</v>
      </c>
    </row>
    <row r="3553" spans="1:9" ht="11.25" customHeight="1">
      <c r="A3553" s="3928" t="s">
        <v>2258</v>
      </c>
      <c r="B3553" s="3928" t="s">
        <v>14</v>
      </c>
      <c r="C3553" s="3928" t="s">
        <v>8294</v>
      </c>
      <c r="D3553" s="3928" t="s">
        <v>8295</v>
      </c>
      <c r="E3553" s="3928" t="s">
        <v>8296</v>
      </c>
      <c r="F3553" s="3928" t="s">
        <v>3310</v>
      </c>
      <c r="G3553" s="3928" t="s">
        <v>24</v>
      </c>
      <c r="H3553" s="3928" t="s">
        <v>24</v>
      </c>
      <c r="I3553" s="3928" t="s">
        <v>1621</v>
      </c>
    </row>
    <row r="3554" spans="1:9" ht="11.25" customHeight="1">
      <c r="A3554" s="3928" t="s">
        <v>2258</v>
      </c>
      <c r="B3554" s="3928" t="s">
        <v>14</v>
      </c>
      <c r="C3554" s="3928" t="s">
        <v>8297</v>
      </c>
      <c r="D3554" s="3928" t="s">
        <v>8298</v>
      </c>
      <c r="E3554" s="3928" t="s">
        <v>8299</v>
      </c>
      <c r="F3554" s="3928" t="s">
        <v>2802</v>
      </c>
      <c r="G3554" s="3928" t="s">
        <v>8300</v>
      </c>
      <c r="H3554" s="3928" t="s">
        <v>24</v>
      </c>
      <c r="I3554" s="3928" t="s">
        <v>1621</v>
      </c>
    </row>
    <row r="3555" spans="1:9" ht="11.25" customHeight="1">
      <c r="A3555" s="3928" t="s">
        <v>2258</v>
      </c>
      <c r="B3555" s="3928" t="s">
        <v>14</v>
      </c>
      <c r="C3555" s="3928" t="s">
        <v>8301</v>
      </c>
      <c r="D3555" s="3928" t="s">
        <v>8302</v>
      </c>
      <c r="E3555" s="3928" t="s">
        <v>8303</v>
      </c>
      <c r="F3555" s="3928" t="s">
        <v>5186</v>
      </c>
      <c r="G3555" s="3928" t="s">
        <v>8304</v>
      </c>
      <c r="H3555" s="3928" t="s">
        <v>24</v>
      </c>
      <c r="I3555" s="3928" t="s">
        <v>1621</v>
      </c>
    </row>
    <row r="3556" spans="1:9" ht="11.25" customHeight="1">
      <c r="A3556" s="3928" t="s">
        <v>2258</v>
      </c>
      <c r="B3556" s="3928" t="s">
        <v>14</v>
      </c>
      <c r="C3556" s="3928" t="s">
        <v>8305</v>
      </c>
      <c r="D3556" s="3928" t="s">
        <v>8306</v>
      </c>
      <c r="E3556" s="3928" t="s">
        <v>8307</v>
      </c>
      <c r="F3556" s="3928" t="s">
        <v>2344</v>
      </c>
      <c r="G3556" s="3928" t="s">
        <v>8308</v>
      </c>
      <c r="H3556" s="3928" t="s">
        <v>24</v>
      </c>
      <c r="I3556" s="3928" t="s">
        <v>1621</v>
      </c>
    </row>
    <row r="3557" spans="1:9" ht="11.25" customHeight="1">
      <c r="A3557" s="3928" t="s">
        <v>2258</v>
      </c>
      <c r="B3557" s="3928" t="s">
        <v>14</v>
      </c>
      <c r="C3557" s="3928" t="s">
        <v>8309</v>
      </c>
      <c r="D3557" s="3928" t="s">
        <v>8310</v>
      </c>
      <c r="E3557" s="3928" t="s">
        <v>8311</v>
      </c>
      <c r="F3557" s="3928" t="s">
        <v>2359</v>
      </c>
      <c r="G3557" s="3928" t="s">
        <v>8312</v>
      </c>
      <c r="H3557" s="3928" t="s">
        <v>24</v>
      </c>
      <c r="I3557" s="3928" t="s">
        <v>1621</v>
      </c>
    </row>
    <row r="3558" spans="1:9" ht="11.25" customHeight="1">
      <c r="A3558" s="3928" t="s">
        <v>2258</v>
      </c>
      <c r="B3558" s="3928" t="s">
        <v>14</v>
      </c>
      <c r="C3558" s="3928" t="s">
        <v>8313</v>
      </c>
      <c r="D3558" s="3928" t="s">
        <v>8314</v>
      </c>
      <c r="E3558" s="3928" t="s">
        <v>8315</v>
      </c>
      <c r="F3558" s="3928" t="s">
        <v>2294</v>
      </c>
      <c r="G3558" s="3928" t="s">
        <v>8316</v>
      </c>
      <c r="H3558" s="3928" t="s">
        <v>24</v>
      </c>
      <c r="I3558" s="3928" t="s">
        <v>1621</v>
      </c>
    </row>
    <row r="3559" spans="1:9" ht="11.25" customHeight="1">
      <c r="A3559" s="3928" t="s">
        <v>2258</v>
      </c>
      <c r="B3559" s="3928" t="s">
        <v>14</v>
      </c>
      <c r="C3559" s="3928" t="s">
        <v>8317</v>
      </c>
      <c r="D3559" s="3928" t="s">
        <v>8318</v>
      </c>
      <c r="E3559" s="3928" t="s">
        <v>8319</v>
      </c>
      <c r="F3559" s="3928" t="s">
        <v>8320</v>
      </c>
      <c r="G3559" s="3928" t="s">
        <v>24</v>
      </c>
      <c r="H3559" s="3928" t="s">
        <v>24</v>
      </c>
      <c r="I3559" s="3928" t="s">
        <v>1621</v>
      </c>
    </row>
    <row r="3560" spans="1:9" ht="11.25" customHeight="1">
      <c r="A3560" s="3928" t="s">
        <v>2258</v>
      </c>
      <c r="B3560" s="3928" t="s">
        <v>14</v>
      </c>
      <c r="C3560" s="3928" t="s">
        <v>8321</v>
      </c>
      <c r="D3560" s="3928" t="s">
        <v>8322</v>
      </c>
      <c r="E3560" s="3928" t="s">
        <v>8323</v>
      </c>
      <c r="F3560" s="3928" t="s">
        <v>3509</v>
      </c>
      <c r="G3560" s="3928" t="s">
        <v>24</v>
      </c>
      <c r="H3560" s="3928" t="s">
        <v>24</v>
      </c>
      <c r="I3560" s="3928" t="s">
        <v>1621</v>
      </c>
    </row>
    <row r="3561" spans="1:9" ht="11.25" customHeight="1">
      <c r="A3561" s="3928" t="s">
        <v>2258</v>
      </c>
      <c r="B3561" s="3928" t="s">
        <v>14</v>
      </c>
      <c r="C3561" s="3928" t="s">
        <v>8324</v>
      </c>
      <c r="D3561" s="3928" t="s">
        <v>8325</v>
      </c>
      <c r="E3561" s="3928" t="s">
        <v>8326</v>
      </c>
      <c r="F3561" s="3928" t="s">
        <v>3509</v>
      </c>
      <c r="G3561" s="3928" t="s">
        <v>24</v>
      </c>
      <c r="H3561" s="3928" t="s">
        <v>24</v>
      </c>
      <c r="I3561" s="3928" t="s">
        <v>1621</v>
      </c>
    </row>
    <row r="3562" spans="1:9" ht="11.25" customHeight="1">
      <c r="A3562" s="3928" t="s">
        <v>2258</v>
      </c>
      <c r="B3562" s="3928" t="s">
        <v>14</v>
      </c>
      <c r="C3562" s="3928" t="s">
        <v>8327</v>
      </c>
      <c r="D3562" s="3928" t="s">
        <v>8328</v>
      </c>
      <c r="E3562" s="3928" t="s">
        <v>8329</v>
      </c>
      <c r="F3562" s="3928" t="s">
        <v>49</v>
      </c>
      <c r="G3562" s="3928" t="s">
        <v>8330</v>
      </c>
      <c r="H3562" s="3928" t="s">
        <v>24</v>
      </c>
      <c r="I3562" s="3928" t="s">
        <v>1621</v>
      </c>
    </row>
    <row r="3563" spans="1:9" ht="11.25" customHeight="1">
      <c r="A3563" s="3928" t="s">
        <v>2258</v>
      </c>
      <c r="B3563" s="3928" t="s">
        <v>14</v>
      </c>
      <c r="C3563" s="3928" t="s">
        <v>8331</v>
      </c>
      <c r="D3563" s="3928" t="s">
        <v>8332</v>
      </c>
      <c r="E3563" s="3928" t="s">
        <v>8333</v>
      </c>
      <c r="F3563" s="3928" t="s">
        <v>2419</v>
      </c>
      <c r="G3563" s="3928" t="s">
        <v>8334</v>
      </c>
      <c r="H3563" s="3928" t="s">
        <v>24</v>
      </c>
      <c r="I3563" s="3928" t="s">
        <v>1621</v>
      </c>
    </row>
    <row r="3564" spans="1:9" ht="11.25" customHeight="1">
      <c r="A3564" s="3928" t="s">
        <v>2258</v>
      </c>
      <c r="B3564" s="3928" t="s">
        <v>14</v>
      </c>
      <c r="C3564" s="3928" t="s">
        <v>8335</v>
      </c>
      <c r="D3564" s="3928" t="s">
        <v>8336</v>
      </c>
      <c r="E3564" s="3928" t="s">
        <v>8337</v>
      </c>
      <c r="F3564" s="3928" t="s">
        <v>2473</v>
      </c>
      <c r="G3564" s="3928" t="s">
        <v>8338</v>
      </c>
      <c r="H3564" s="3928" t="s">
        <v>24</v>
      </c>
      <c r="I3564" s="3928" t="s">
        <v>1621</v>
      </c>
    </row>
    <row r="3565" spans="1:9" ht="11.25" customHeight="1">
      <c r="A3565" s="3928" t="s">
        <v>2258</v>
      </c>
      <c r="B3565" s="3928" t="s">
        <v>14</v>
      </c>
      <c r="C3565" s="3928" t="s">
        <v>8339</v>
      </c>
      <c r="D3565" s="3928" t="s">
        <v>8340</v>
      </c>
      <c r="E3565" s="3928" t="s">
        <v>8341</v>
      </c>
      <c r="F3565" s="3928" t="s">
        <v>2409</v>
      </c>
      <c r="G3565" s="3928" t="s">
        <v>8342</v>
      </c>
      <c r="H3565" s="3928" t="s">
        <v>24</v>
      </c>
      <c r="I3565" s="3928" t="s">
        <v>1621</v>
      </c>
    </row>
    <row r="3566" spans="1:9" ht="11.25" customHeight="1">
      <c r="A3566" s="3928" t="s">
        <v>2258</v>
      </c>
      <c r="B3566" s="3928" t="s">
        <v>14</v>
      </c>
      <c r="C3566" s="3928" t="s">
        <v>8343</v>
      </c>
      <c r="D3566" s="3928" t="s">
        <v>8344</v>
      </c>
      <c r="E3566" s="3928" t="s">
        <v>8345</v>
      </c>
      <c r="F3566" s="3928" t="s">
        <v>2817</v>
      </c>
      <c r="G3566" s="3928" t="s">
        <v>24</v>
      </c>
      <c r="H3566" s="3928" t="s">
        <v>24</v>
      </c>
      <c r="I3566" s="3928" t="s">
        <v>1621</v>
      </c>
    </row>
    <row r="3567" spans="1:9" ht="11.25" customHeight="1">
      <c r="A3567" s="3928" t="s">
        <v>2258</v>
      </c>
      <c r="B3567" s="3928" t="s">
        <v>14</v>
      </c>
      <c r="C3567" s="3928" t="s">
        <v>8346</v>
      </c>
      <c r="D3567" s="3928" t="s">
        <v>8347</v>
      </c>
      <c r="E3567" s="3928" t="s">
        <v>8348</v>
      </c>
      <c r="F3567" s="3928" t="s">
        <v>2780</v>
      </c>
      <c r="G3567" s="3928" t="s">
        <v>8349</v>
      </c>
      <c r="H3567" s="3928" t="s">
        <v>2475</v>
      </c>
      <c r="I3567" s="3928" t="s">
        <v>1621</v>
      </c>
    </row>
    <row r="3568" spans="1:9" ht="11.25" customHeight="1">
      <c r="A3568" s="3928" t="s">
        <v>2258</v>
      </c>
      <c r="B3568" s="3928" t="s">
        <v>14</v>
      </c>
      <c r="C3568" s="3928" t="s">
        <v>8350</v>
      </c>
      <c r="D3568" s="3928" t="s">
        <v>8351</v>
      </c>
      <c r="E3568" s="3928" t="s">
        <v>8352</v>
      </c>
      <c r="F3568" s="3928" t="s">
        <v>5186</v>
      </c>
      <c r="G3568" s="3928" t="s">
        <v>24</v>
      </c>
      <c r="H3568" s="3928" t="s">
        <v>24</v>
      </c>
      <c r="I3568" s="3928" t="s">
        <v>1621</v>
      </c>
    </row>
    <row r="3569" spans="1:9" ht="11.25" customHeight="1">
      <c r="A3569" s="3928" t="s">
        <v>2258</v>
      </c>
      <c r="B3569" s="3928" t="s">
        <v>14</v>
      </c>
      <c r="C3569" s="3928" t="s">
        <v>8353</v>
      </c>
      <c r="D3569" s="3928" t="s">
        <v>8354</v>
      </c>
      <c r="E3569" s="3928" t="s">
        <v>8355</v>
      </c>
      <c r="F3569" s="3928" t="s">
        <v>2424</v>
      </c>
      <c r="G3569" s="3928" t="s">
        <v>8356</v>
      </c>
      <c r="H3569" s="3928" t="s">
        <v>24</v>
      </c>
      <c r="I3569" s="3928" t="s">
        <v>1621</v>
      </c>
    </row>
    <row r="3570" spans="1:9" ht="11.25" customHeight="1">
      <c r="A3570" s="3928" t="s">
        <v>2258</v>
      </c>
      <c r="B3570" s="3928" t="s">
        <v>14</v>
      </c>
      <c r="C3570" s="3928" t="s">
        <v>8357</v>
      </c>
      <c r="D3570" s="3928" t="s">
        <v>8358</v>
      </c>
      <c r="E3570" s="3928" t="s">
        <v>8359</v>
      </c>
      <c r="F3570" s="3928" t="s">
        <v>2486</v>
      </c>
      <c r="G3570" s="3928" t="s">
        <v>24</v>
      </c>
      <c r="H3570" s="3928" t="s">
        <v>24</v>
      </c>
      <c r="I3570" s="3928" t="s">
        <v>1621</v>
      </c>
    </row>
    <row r="3571" spans="1:9" ht="11.25" customHeight="1">
      <c r="A3571" s="3928" t="s">
        <v>2258</v>
      </c>
      <c r="B3571" s="3928" t="s">
        <v>14</v>
      </c>
      <c r="C3571" s="3928" t="s">
        <v>8360</v>
      </c>
      <c r="D3571" s="3928" t="s">
        <v>8361</v>
      </c>
      <c r="E3571" s="3928" t="s">
        <v>8362</v>
      </c>
      <c r="F3571" s="3928" t="s">
        <v>2451</v>
      </c>
      <c r="G3571" s="3928" t="s">
        <v>24</v>
      </c>
      <c r="H3571" s="3928" t="s">
        <v>24</v>
      </c>
      <c r="I3571" s="3928" t="s">
        <v>1621</v>
      </c>
    </row>
    <row r="3572" spans="1:9" ht="11.25" customHeight="1">
      <c r="A3572" s="3928" t="s">
        <v>2258</v>
      </c>
      <c r="B3572" s="3928" t="s">
        <v>14</v>
      </c>
      <c r="C3572" s="3928" t="s">
        <v>8363</v>
      </c>
      <c r="D3572" s="3928" t="s">
        <v>8364</v>
      </c>
      <c r="E3572" s="3928" t="s">
        <v>8365</v>
      </c>
      <c r="F3572" s="3928" t="s">
        <v>2419</v>
      </c>
      <c r="G3572" s="3928" t="s">
        <v>8366</v>
      </c>
      <c r="H3572" s="3928" t="s">
        <v>24</v>
      </c>
      <c r="I3572" s="3928" t="s">
        <v>1621</v>
      </c>
    </row>
    <row r="3573" spans="1:9" ht="11.25" customHeight="1">
      <c r="A3573" s="3928" t="s">
        <v>2258</v>
      </c>
      <c r="B3573" s="3928" t="s">
        <v>14</v>
      </c>
      <c r="C3573" s="3928" t="s">
        <v>8367</v>
      </c>
      <c r="D3573" s="3928" t="s">
        <v>8368</v>
      </c>
      <c r="E3573" s="3928" t="s">
        <v>8369</v>
      </c>
      <c r="F3573" s="3928" t="s">
        <v>3509</v>
      </c>
      <c r="G3573" s="3928" t="s">
        <v>8370</v>
      </c>
      <c r="H3573" s="3928" t="s">
        <v>24</v>
      </c>
      <c r="I3573" s="3928" t="s">
        <v>1621</v>
      </c>
    </row>
    <row r="3574" spans="1:9" ht="11.25" customHeight="1">
      <c r="A3574" s="3928" t="s">
        <v>2258</v>
      </c>
      <c r="B3574" s="3928" t="s">
        <v>14</v>
      </c>
      <c r="C3574" s="3928" t="s">
        <v>8371</v>
      </c>
      <c r="D3574" s="3928" t="s">
        <v>8372</v>
      </c>
      <c r="E3574" s="3928" t="s">
        <v>8373</v>
      </c>
      <c r="F3574" s="3928" t="s">
        <v>3310</v>
      </c>
      <c r="G3574" s="3928" t="s">
        <v>8374</v>
      </c>
      <c r="H3574" s="3928" t="s">
        <v>24</v>
      </c>
      <c r="I3574" s="3928" t="s">
        <v>1621</v>
      </c>
    </row>
    <row r="3575" spans="1:9" ht="11.25" customHeight="1">
      <c r="A3575" s="3928" t="s">
        <v>2258</v>
      </c>
      <c r="B3575" s="3928" t="s">
        <v>14</v>
      </c>
      <c r="C3575" s="3928" t="s">
        <v>8375</v>
      </c>
      <c r="D3575" s="3928" t="s">
        <v>8376</v>
      </c>
      <c r="E3575" s="3928" t="s">
        <v>8377</v>
      </c>
      <c r="F3575" s="3928" t="s">
        <v>5310</v>
      </c>
      <c r="G3575" s="3928" t="s">
        <v>8378</v>
      </c>
      <c r="H3575" s="3928" t="s">
        <v>24</v>
      </c>
      <c r="I3575" s="3928" t="s">
        <v>1621</v>
      </c>
    </row>
    <row r="3576" spans="1:9" ht="11.25" customHeight="1">
      <c r="A3576" s="3928" t="s">
        <v>2258</v>
      </c>
      <c r="B3576" s="3928" t="s">
        <v>14</v>
      </c>
      <c r="C3576" s="3928" t="s">
        <v>8379</v>
      </c>
      <c r="D3576" s="3928" t="s">
        <v>8380</v>
      </c>
      <c r="E3576" s="3928" t="s">
        <v>8381</v>
      </c>
      <c r="F3576" s="3928" t="s">
        <v>2535</v>
      </c>
      <c r="G3576" s="3928" t="s">
        <v>8382</v>
      </c>
      <c r="H3576" s="3928" t="s">
        <v>24</v>
      </c>
      <c r="I3576" s="3928" t="s">
        <v>1621</v>
      </c>
    </row>
    <row r="3577" spans="1:9" ht="11.25" customHeight="1">
      <c r="A3577" s="3928" t="s">
        <v>2258</v>
      </c>
      <c r="B3577" s="3928" t="s">
        <v>14</v>
      </c>
      <c r="C3577" s="3928" t="s">
        <v>8383</v>
      </c>
      <c r="D3577" s="3928" t="s">
        <v>8384</v>
      </c>
      <c r="E3577" s="3928" t="s">
        <v>8385</v>
      </c>
      <c r="F3577" s="3928" t="s">
        <v>4522</v>
      </c>
      <c r="G3577" s="3928" t="s">
        <v>8386</v>
      </c>
      <c r="H3577" s="3928" t="s">
        <v>24</v>
      </c>
      <c r="I3577" s="3928" t="s">
        <v>1621</v>
      </c>
    </row>
    <row r="3578" spans="1:9" ht="11.25" customHeight="1">
      <c r="A3578" s="3928" t="s">
        <v>2258</v>
      </c>
      <c r="B3578" s="3928" t="s">
        <v>14</v>
      </c>
      <c r="C3578" s="3928" t="s">
        <v>8387</v>
      </c>
      <c r="D3578" s="3928" t="s">
        <v>8388</v>
      </c>
      <c r="E3578" s="3928" t="s">
        <v>8389</v>
      </c>
      <c r="F3578" s="3928" t="s">
        <v>2299</v>
      </c>
      <c r="G3578" s="3928" t="s">
        <v>8390</v>
      </c>
      <c r="H3578" s="3928" t="s">
        <v>24</v>
      </c>
      <c r="I3578" s="3928" t="s">
        <v>1621</v>
      </c>
    </row>
    <row r="3579" spans="1:9" ht="11.25" customHeight="1">
      <c r="A3579" s="3928" t="s">
        <v>2258</v>
      </c>
      <c r="B3579" s="3928" t="s">
        <v>14</v>
      </c>
      <c r="C3579" s="3928" t="s">
        <v>8391</v>
      </c>
      <c r="D3579" s="3928" t="s">
        <v>8392</v>
      </c>
      <c r="E3579" s="3928" t="s">
        <v>8393</v>
      </c>
      <c r="F3579" s="3928" t="s">
        <v>2349</v>
      </c>
      <c r="G3579" s="3928" t="s">
        <v>8394</v>
      </c>
      <c r="H3579" s="3928" t="s">
        <v>24</v>
      </c>
      <c r="I3579" s="3928" t="s">
        <v>1621</v>
      </c>
    </row>
    <row r="3580" spans="1:9" ht="11.25" customHeight="1">
      <c r="A3580" s="3928" t="s">
        <v>2258</v>
      </c>
      <c r="B3580" s="3928" t="s">
        <v>14</v>
      </c>
      <c r="C3580" s="3928" t="s">
        <v>8395</v>
      </c>
      <c r="D3580" s="3928" t="s">
        <v>8396</v>
      </c>
      <c r="E3580" s="3928" t="s">
        <v>8397</v>
      </c>
      <c r="F3580" s="3928" t="s">
        <v>2289</v>
      </c>
      <c r="G3580" s="3928" t="s">
        <v>8398</v>
      </c>
      <c r="H3580" s="3928" t="s">
        <v>24</v>
      </c>
      <c r="I3580" s="3928" t="s">
        <v>1621</v>
      </c>
    </row>
    <row r="3581" spans="1:9" ht="11.25" customHeight="1">
      <c r="A3581" s="3928" t="s">
        <v>2258</v>
      </c>
      <c r="B3581" s="3928" t="s">
        <v>14</v>
      </c>
      <c r="C3581" s="3928" t="s">
        <v>4940</v>
      </c>
      <c r="D3581" s="3928" t="s">
        <v>4941</v>
      </c>
      <c r="E3581" s="3928" t="s">
        <v>4942</v>
      </c>
      <c r="F3581" s="3928" t="s">
        <v>2796</v>
      </c>
      <c r="G3581" s="3928" t="s">
        <v>4943</v>
      </c>
      <c r="H3581" s="3928" t="s">
        <v>24</v>
      </c>
      <c r="I3581" s="3928" t="s">
        <v>1621</v>
      </c>
    </row>
    <row r="3582" spans="1:9" ht="11.25" customHeight="1">
      <c r="A3582" s="3928" t="s">
        <v>2258</v>
      </c>
      <c r="B3582" s="3928" t="s">
        <v>14</v>
      </c>
      <c r="C3582" s="3928" t="s">
        <v>8399</v>
      </c>
      <c r="D3582" s="3928" t="s">
        <v>8400</v>
      </c>
      <c r="E3582" s="3928" t="s">
        <v>8401</v>
      </c>
      <c r="F3582" s="3928" t="s">
        <v>2424</v>
      </c>
      <c r="G3582" s="3928" t="s">
        <v>24</v>
      </c>
      <c r="H3582" s="3928" t="s">
        <v>24</v>
      </c>
      <c r="I3582" s="3928" t="s">
        <v>1621</v>
      </c>
    </row>
    <row r="3583" spans="1:9" ht="11.25" customHeight="1">
      <c r="A3583" s="3928" t="s">
        <v>2258</v>
      </c>
      <c r="B3583" s="3928" t="s">
        <v>14</v>
      </c>
      <c r="C3583" s="3928" t="s">
        <v>8402</v>
      </c>
      <c r="D3583" s="3928" t="s">
        <v>8403</v>
      </c>
      <c r="E3583" s="3928" t="s">
        <v>8404</v>
      </c>
      <c r="F3583" s="3928" t="s">
        <v>2405</v>
      </c>
      <c r="G3583" s="3928" t="s">
        <v>8405</v>
      </c>
      <c r="H3583" s="3928" t="s">
        <v>24</v>
      </c>
      <c r="I3583" s="3928" t="s">
        <v>1621</v>
      </c>
    </row>
    <row r="3584" spans="1:9" ht="11.25" customHeight="1">
      <c r="A3584" s="3928" t="s">
        <v>2258</v>
      </c>
      <c r="B3584" s="3928" t="s">
        <v>14</v>
      </c>
      <c r="C3584" s="3928" t="s">
        <v>8406</v>
      </c>
      <c r="D3584" s="3928" t="s">
        <v>8407</v>
      </c>
      <c r="E3584" s="3928" t="s">
        <v>8408</v>
      </c>
      <c r="F3584" s="3928" t="s">
        <v>2409</v>
      </c>
      <c r="G3584" s="3928" t="s">
        <v>8409</v>
      </c>
      <c r="H3584" s="3928" t="s">
        <v>24</v>
      </c>
      <c r="I3584" s="3928" t="s">
        <v>1621</v>
      </c>
    </row>
    <row r="3585" spans="1:9" ht="11.25" customHeight="1">
      <c r="A3585" s="3928" t="s">
        <v>2258</v>
      </c>
      <c r="B3585" s="3928" t="s">
        <v>14</v>
      </c>
      <c r="C3585" s="3928" t="s">
        <v>8410</v>
      </c>
      <c r="D3585" s="3928" t="s">
        <v>8411</v>
      </c>
      <c r="E3585" s="3928" t="s">
        <v>8412</v>
      </c>
      <c r="F3585" s="3928" t="s">
        <v>2642</v>
      </c>
      <c r="G3585" s="3928" t="s">
        <v>24</v>
      </c>
      <c r="H3585" s="3928" t="s">
        <v>24</v>
      </c>
      <c r="I3585" s="3928" t="s">
        <v>1621</v>
      </c>
    </row>
    <row r="3586" spans="1:9" ht="11.25" customHeight="1">
      <c r="A3586" s="3928" t="s">
        <v>2258</v>
      </c>
      <c r="B3586" s="3928" t="s">
        <v>14</v>
      </c>
      <c r="C3586" s="3928" t="s">
        <v>8413</v>
      </c>
      <c r="D3586" s="3928" t="s">
        <v>8414</v>
      </c>
      <c r="E3586" s="3928" t="s">
        <v>8415</v>
      </c>
      <c r="F3586" s="3928" t="s">
        <v>3833</v>
      </c>
      <c r="G3586" s="3928" t="s">
        <v>8416</v>
      </c>
      <c r="H3586" s="3928" t="s">
        <v>24</v>
      </c>
      <c r="I3586" s="3928" t="s">
        <v>1621</v>
      </c>
    </row>
    <row r="3587" spans="1:9" ht="11.25" customHeight="1">
      <c r="A3587" s="3928" t="s">
        <v>2258</v>
      </c>
      <c r="B3587" s="3928" t="s">
        <v>14</v>
      </c>
      <c r="C3587" s="3928" t="s">
        <v>8417</v>
      </c>
      <c r="D3587" s="3928" t="s">
        <v>8418</v>
      </c>
      <c r="E3587" s="3928" t="s">
        <v>8419</v>
      </c>
      <c r="F3587" s="3928" t="s">
        <v>8420</v>
      </c>
      <c r="G3587" s="3928" t="s">
        <v>8421</v>
      </c>
      <c r="H3587" s="3928" t="s">
        <v>24</v>
      </c>
      <c r="I3587" s="3928" t="s">
        <v>1621</v>
      </c>
    </row>
    <row r="3588" spans="1:9" ht="11.25" customHeight="1">
      <c r="A3588" s="3928" t="s">
        <v>2258</v>
      </c>
      <c r="B3588" s="3928" t="s">
        <v>14</v>
      </c>
      <c r="C3588" s="3928" t="s">
        <v>8422</v>
      </c>
      <c r="D3588" s="3928" t="s">
        <v>8423</v>
      </c>
      <c r="E3588" s="3928" t="s">
        <v>8424</v>
      </c>
      <c r="F3588" s="3928" t="s">
        <v>2675</v>
      </c>
      <c r="G3588" s="3928" t="s">
        <v>24</v>
      </c>
      <c r="H3588" s="3928" t="s">
        <v>24</v>
      </c>
      <c r="I3588" s="3928" t="s">
        <v>1621</v>
      </c>
    </row>
    <row r="3589" spans="1:9" ht="11.25" customHeight="1">
      <c r="A3589" s="3928" t="s">
        <v>2258</v>
      </c>
      <c r="B3589" s="3928" t="s">
        <v>14</v>
      </c>
      <c r="C3589" s="3928" t="s">
        <v>8425</v>
      </c>
      <c r="D3589" s="3928" t="s">
        <v>8426</v>
      </c>
      <c r="E3589" s="3928" t="s">
        <v>8427</v>
      </c>
      <c r="F3589" s="3928" t="s">
        <v>2414</v>
      </c>
      <c r="G3589" s="3928" t="s">
        <v>8428</v>
      </c>
      <c r="H3589" s="3928" t="s">
        <v>24</v>
      </c>
      <c r="I3589" s="3928" t="s">
        <v>1621</v>
      </c>
    </row>
    <row r="3590" spans="1:9" ht="11.25" customHeight="1">
      <c r="A3590" s="3928" t="s">
        <v>2258</v>
      </c>
      <c r="B3590" s="3928" t="s">
        <v>14</v>
      </c>
      <c r="C3590" s="3928" t="s">
        <v>8429</v>
      </c>
      <c r="D3590" s="3928" t="s">
        <v>8430</v>
      </c>
      <c r="E3590" s="3928" t="s">
        <v>8431</v>
      </c>
      <c r="F3590" s="3928" t="s">
        <v>2780</v>
      </c>
      <c r="G3590" s="3928" t="s">
        <v>3797</v>
      </c>
      <c r="H3590" s="3928" t="s">
        <v>24</v>
      </c>
      <c r="I3590" s="3928" t="s">
        <v>1621</v>
      </c>
    </row>
    <row r="3591" spans="1:9" ht="11.25" customHeight="1">
      <c r="A3591" s="3928" t="s">
        <v>2258</v>
      </c>
      <c r="B3591" s="3928" t="s">
        <v>14</v>
      </c>
      <c r="C3591" s="3928" t="s">
        <v>8432</v>
      </c>
      <c r="D3591" s="3928" t="s">
        <v>8433</v>
      </c>
      <c r="E3591" s="3928" t="s">
        <v>8434</v>
      </c>
      <c r="F3591" s="3928" t="s">
        <v>2438</v>
      </c>
      <c r="G3591" s="3928" t="s">
        <v>24</v>
      </c>
      <c r="H3591" s="3928" t="s">
        <v>24</v>
      </c>
      <c r="I3591" s="3928" t="s">
        <v>1621</v>
      </c>
    </row>
    <row r="3592" spans="1:9" ht="11.25" customHeight="1">
      <c r="A3592" s="3928" t="s">
        <v>2258</v>
      </c>
      <c r="B3592" s="3928" t="s">
        <v>14</v>
      </c>
      <c r="C3592" s="3928" t="s">
        <v>8435</v>
      </c>
      <c r="D3592" s="3928" t="s">
        <v>8436</v>
      </c>
      <c r="E3592" s="3928" t="s">
        <v>8437</v>
      </c>
      <c r="F3592" s="3928" t="s">
        <v>4792</v>
      </c>
      <c r="G3592" s="3928" t="s">
        <v>24</v>
      </c>
      <c r="H3592" s="3928" t="s">
        <v>24</v>
      </c>
      <c r="I3592" s="3928" t="s">
        <v>1621</v>
      </c>
    </row>
    <row r="3593" spans="1:9" ht="11.25" customHeight="1">
      <c r="A3593" s="3928" t="s">
        <v>2258</v>
      </c>
      <c r="B3593" s="3928" t="s">
        <v>14</v>
      </c>
      <c r="C3593" s="3928" t="s">
        <v>8438</v>
      </c>
      <c r="D3593" s="3928" t="s">
        <v>8439</v>
      </c>
      <c r="E3593" s="3928" t="s">
        <v>8440</v>
      </c>
      <c r="F3593" s="3928" t="s">
        <v>2294</v>
      </c>
      <c r="G3593" s="3928" t="s">
        <v>24</v>
      </c>
      <c r="H3593" s="3928" t="s">
        <v>24</v>
      </c>
      <c r="I3593" s="3928" t="s">
        <v>1621</v>
      </c>
    </row>
    <row r="3594" spans="1:9" ht="11.25" customHeight="1">
      <c r="A3594" s="3928" t="s">
        <v>2258</v>
      </c>
      <c r="B3594" s="3928" t="s">
        <v>14</v>
      </c>
      <c r="C3594" s="3928" t="s">
        <v>8441</v>
      </c>
      <c r="D3594" s="3928" t="s">
        <v>8442</v>
      </c>
      <c r="E3594" s="3928" t="s">
        <v>8443</v>
      </c>
      <c r="F3594" s="3928" t="s">
        <v>2802</v>
      </c>
      <c r="G3594" s="3928" t="s">
        <v>8444</v>
      </c>
      <c r="H3594" s="3928" t="s">
        <v>24</v>
      </c>
      <c r="I3594" s="3928" t="s">
        <v>1621</v>
      </c>
    </row>
    <row r="3595" spans="1:9" ht="11.25" customHeight="1">
      <c r="A3595" s="3928" t="s">
        <v>2258</v>
      </c>
      <c r="B3595" s="3928" t="s">
        <v>14</v>
      </c>
      <c r="C3595" s="3928" t="s">
        <v>8445</v>
      </c>
      <c r="D3595" s="3928" t="s">
        <v>8446</v>
      </c>
      <c r="E3595" s="3928" t="s">
        <v>8447</v>
      </c>
      <c r="F3595" s="3928" t="s">
        <v>2354</v>
      </c>
      <c r="G3595" s="3928" t="s">
        <v>8448</v>
      </c>
      <c r="H3595" s="3928" t="s">
        <v>24</v>
      </c>
      <c r="I3595" s="3928" t="s">
        <v>1621</v>
      </c>
    </row>
    <row r="3596" spans="1:9" ht="11.25" customHeight="1">
      <c r="A3596" s="3928" t="s">
        <v>2258</v>
      </c>
      <c r="B3596" s="3928" t="s">
        <v>14</v>
      </c>
      <c r="C3596" s="3928" t="s">
        <v>8449</v>
      </c>
      <c r="D3596" s="3928" t="s">
        <v>8450</v>
      </c>
      <c r="E3596" s="3928" t="s">
        <v>8451</v>
      </c>
      <c r="F3596" s="3928" t="s">
        <v>5310</v>
      </c>
      <c r="G3596" s="3928" t="s">
        <v>8452</v>
      </c>
      <c r="H3596" s="3928" t="s">
        <v>24</v>
      </c>
      <c r="I3596" s="3928" t="s">
        <v>1621</v>
      </c>
    </row>
    <row r="3597" spans="1:9" ht="11.25" customHeight="1">
      <c r="A3597" s="3928" t="s">
        <v>2258</v>
      </c>
      <c r="B3597" s="3928" t="s">
        <v>14</v>
      </c>
      <c r="C3597" s="3928" t="s">
        <v>8453</v>
      </c>
      <c r="D3597" s="3928" t="s">
        <v>8454</v>
      </c>
      <c r="E3597" s="3928" t="s">
        <v>8455</v>
      </c>
      <c r="F3597" s="3928" t="s">
        <v>2289</v>
      </c>
      <c r="G3597" s="3928" t="s">
        <v>8456</v>
      </c>
      <c r="H3597" s="3928" t="s">
        <v>24</v>
      </c>
      <c r="I3597" s="3928" t="s">
        <v>1621</v>
      </c>
    </row>
    <row r="3598" spans="1:9" ht="11.25" customHeight="1">
      <c r="A3598" s="3928" t="s">
        <v>2258</v>
      </c>
      <c r="B3598" s="3928" t="s">
        <v>14</v>
      </c>
      <c r="C3598" s="3928" t="s">
        <v>8457</v>
      </c>
      <c r="D3598" s="3928" t="s">
        <v>8458</v>
      </c>
      <c r="E3598" s="3928" t="s">
        <v>8459</v>
      </c>
      <c r="F3598" s="3928" t="s">
        <v>2304</v>
      </c>
      <c r="G3598" s="3928" t="s">
        <v>8460</v>
      </c>
      <c r="H3598" s="3928" t="s">
        <v>24</v>
      </c>
      <c r="I3598" s="3928" t="s">
        <v>1621</v>
      </c>
    </row>
    <row r="3599" spans="1:9" ht="11.25" customHeight="1">
      <c r="A3599" s="3928" t="s">
        <v>2258</v>
      </c>
      <c r="B3599" s="3928" t="s">
        <v>14</v>
      </c>
      <c r="C3599" s="3928" t="s">
        <v>8461</v>
      </c>
      <c r="D3599" s="3928" t="s">
        <v>8462</v>
      </c>
      <c r="E3599" s="3928" t="s">
        <v>8463</v>
      </c>
      <c r="F3599" s="3928" t="s">
        <v>3086</v>
      </c>
      <c r="G3599" s="3928" t="s">
        <v>8464</v>
      </c>
      <c r="H3599" s="3928" t="s">
        <v>24</v>
      </c>
      <c r="I3599" s="3928" t="s">
        <v>1621</v>
      </c>
    </row>
    <row r="3600" spans="1:9" ht="11.25" customHeight="1">
      <c r="A3600" s="3928" t="s">
        <v>2258</v>
      </c>
      <c r="B3600" s="3928" t="s">
        <v>14</v>
      </c>
      <c r="C3600" s="3928" t="s">
        <v>8465</v>
      </c>
      <c r="D3600" s="3928" t="s">
        <v>8466</v>
      </c>
      <c r="E3600" s="3928" t="s">
        <v>8467</v>
      </c>
      <c r="F3600" s="3928" t="s">
        <v>2638</v>
      </c>
      <c r="G3600" s="3928" t="s">
        <v>24</v>
      </c>
      <c r="H3600" s="3928" t="s">
        <v>24</v>
      </c>
      <c r="I3600" s="3928" t="s">
        <v>1621</v>
      </c>
    </row>
    <row r="3601" spans="1:9" ht="11.25" customHeight="1">
      <c r="A3601" s="3928" t="s">
        <v>2258</v>
      </c>
      <c r="B3601" s="3928" t="s">
        <v>14</v>
      </c>
      <c r="C3601" s="3928" t="s">
        <v>8468</v>
      </c>
      <c r="D3601" s="3928" t="s">
        <v>8469</v>
      </c>
      <c r="E3601" s="3928" t="s">
        <v>8470</v>
      </c>
      <c r="F3601" s="3928" t="s">
        <v>2414</v>
      </c>
      <c r="G3601" s="3928" t="s">
        <v>8471</v>
      </c>
      <c r="H3601" s="3928" t="s">
        <v>24</v>
      </c>
      <c r="I3601" s="3928" t="s">
        <v>1621</v>
      </c>
    </row>
    <row r="3602" spans="1:9" ht="11.25" customHeight="1">
      <c r="A3602" s="3928" t="s">
        <v>2258</v>
      </c>
      <c r="B3602" s="3928" t="s">
        <v>14</v>
      </c>
      <c r="C3602" s="3928" t="s">
        <v>8472</v>
      </c>
      <c r="D3602" s="3928" t="s">
        <v>8473</v>
      </c>
      <c r="E3602" s="3928" t="s">
        <v>8474</v>
      </c>
      <c r="F3602" s="3928" t="s">
        <v>2309</v>
      </c>
      <c r="G3602" s="3928" t="s">
        <v>8475</v>
      </c>
      <c r="H3602" s="3928" t="s">
        <v>24</v>
      </c>
      <c r="I3602" s="3928" t="s">
        <v>1621</v>
      </c>
    </row>
    <row r="3603" spans="1:9" ht="11.25" customHeight="1">
      <c r="A3603" s="3928" t="s">
        <v>2258</v>
      </c>
      <c r="B3603" s="3928" t="s">
        <v>14</v>
      </c>
      <c r="C3603" s="3928" t="s">
        <v>8476</v>
      </c>
      <c r="D3603" s="3928" t="s">
        <v>8473</v>
      </c>
      <c r="E3603" s="3928" t="s">
        <v>8477</v>
      </c>
      <c r="F3603" s="3928" t="s">
        <v>2638</v>
      </c>
      <c r="G3603" s="3928" t="s">
        <v>24</v>
      </c>
      <c r="H3603" s="3928" t="s">
        <v>24</v>
      </c>
      <c r="I3603" s="3928" t="s">
        <v>1621</v>
      </c>
    </row>
    <row r="3604" spans="1:9" ht="11.25" customHeight="1">
      <c r="A3604" s="3928" t="s">
        <v>2258</v>
      </c>
      <c r="B3604" s="3928" t="s">
        <v>14</v>
      </c>
      <c r="C3604" s="3928" t="s">
        <v>8478</v>
      </c>
      <c r="D3604" s="3928" t="s">
        <v>8479</v>
      </c>
      <c r="E3604" s="3928" t="s">
        <v>8480</v>
      </c>
      <c r="F3604" s="3928" t="s">
        <v>2473</v>
      </c>
      <c r="G3604" s="3928" t="s">
        <v>8481</v>
      </c>
      <c r="H3604" s="3928" t="s">
        <v>24</v>
      </c>
      <c r="I3604" s="3928" t="s">
        <v>1621</v>
      </c>
    </row>
    <row r="3605" spans="1:9" ht="11.25" customHeight="1">
      <c r="A3605" s="3928" t="s">
        <v>2258</v>
      </c>
      <c r="B3605" s="3928" t="s">
        <v>14</v>
      </c>
      <c r="C3605" s="3928" t="s">
        <v>7643</v>
      </c>
      <c r="D3605" s="3928" t="s">
        <v>7644</v>
      </c>
      <c r="E3605" s="3928" t="s">
        <v>7645</v>
      </c>
      <c r="F3605" s="3928" t="s">
        <v>49</v>
      </c>
      <c r="G3605" s="3928" t="s">
        <v>24</v>
      </c>
      <c r="H3605" s="3928" t="s">
        <v>24</v>
      </c>
      <c r="I3605" s="3928" t="s">
        <v>1621</v>
      </c>
    </row>
    <row r="3606" spans="1:9" ht="11.25" customHeight="1">
      <c r="A3606" s="3928" t="s">
        <v>2258</v>
      </c>
      <c r="B3606" s="3928" t="s">
        <v>14</v>
      </c>
      <c r="C3606" s="3928" t="s">
        <v>8482</v>
      </c>
      <c r="D3606" s="3928" t="s">
        <v>8483</v>
      </c>
      <c r="E3606" s="3928" t="s">
        <v>8484</v>
      </c>
      <c r="F3606" s="3928" t="s">
        <v>2344</v>
      </c>
      <c r="G3606" s="3928" t="s">
        <v>4828</v>
      </c>
      <c r="H3606" s="3928" t="s">
        <v>24</v>
      </c>
      <c r="I3606" s="3928" t="s">
        <v>1621</v>
      </c>
    </row>
    <row r="3607" spans="1:9" ht="11.25" customHeight="1">
      <c r="A3607" s="3928" t="s">
        <v>2258</v>
      </c>
      <c r="B3607" s="3928" t="s">
        <v>14</v>
      </c>
      <c r="C3607" s="3928" t="s">
        <v>8485</v>
      </c>
      <c r="D3607" s="3928" t="s">
        <v>8486</v>
      </c>
      <c r="E3607" s="3928" t="s">
        <v>8487</v>
      </c>
      <c r="F3607" s="3928" t="s">
        <v>2397</v>
      </c>
      <c r="G3607" s="3928" t="s">
        <v>24</v>
      </c>
      <c r="H3607" s="3928" t="s">
        <v>2263</v>
      </c>
      <c r="I3607" s="3928" t="s">
        <v>1621</v>
      </c>
    </row>
    <row r="3608" spans="1:9" ht="11.25" customHeight="1">
      <c r="A3608" s="3928" t="s">
        <v>2258</v>
      </c>
      <c r="B3608" s="3928" t="s">
        <v>14</v>
      </c>
      <c r="C3608" s="3928" t="s">
        <v>8488</v>
      </c>
      <c r="D3608" s="3928" t="s">
        <v>8489</v>
      </c>
      <c r="E3608" s="3928" t="s">
        <v>8490</v>
      </c>
      <c r="F3608" s="3928" t="s">
        <v>3310</v>
      </c>
      <c r="G3608" s="3928" t="s">
        <v>24</v>
      </c>
      <c r="H3608" s="3928" t="s">
        <v>24</v>
      </c>
      <c r="I3608" s="3928" t="s">
        <v>1621</v>
      </c>
    </row>
    <row r="3609" spans="1:9" ht="11.25" customHeight="1">
      <c r="A3609" s="3928" t="s">
        <v>2258</v>
      </c>
      <c r="B3609" s="3928" t="s">
        <v>14</v>
      </c>
      <c r="C3609" s="3928" t="s">
        <v>8491</v>
      </c>
      <c r="D3609" s="3928" t="s">
        <v>8492</v>
      </c>
      <c r="E3609" s="3928" t="s">
        <v>8493</v>
      </c>
      <c r="F3609" s="3928" t="s">
        <v>2486</v>
      </c>
      <c r="G3609" s="3928" t="s">
        <v>8494</v>
      </c>
      <c r="H3609" s="3928" t="s">
        <v>24</v>
      </c>
      <c r="I3609" s="3928" t="s">
        <v>1621</v>
      </c>
    </row>
    <row r="3610" spans="1:9" ht="11.25" customHeight="1">
      <c r="A3610" s="3928" t="s">
        <v>2258</v>
      </c>
      <c r="B3610" s="3928" t="s">
        <v>14</v>
      </c>
      <c r="C3610" s="3928" t="s">
        <v>8495</v>
      </c>
      <c r="D3610" s="3928" t="s">
        <v>8496</v>
      </c>
      <c r="E3610" s="3928" t="s">
        <v>8497</v>
      </c>
      <c r="F3610" s="3928" t="s">
        <v>2375</v>
      </c>
      <c r="G3610" s="3928" t="s">
        <v>24</v>
      </c>
      <c r="H3610" s="3928" t="s">
        <v>24</v>
      </c>
      <c r="I3610" s="3928" t="s">
        <v>1621</v>
      </c>
    </row>
    <row r="3611" spans="1:9" ht="11.25" customHeight="1">
      <c r="A3611" s="3928" t="s">
        <v>2258</v>
      </c>
      <c r="B3611" s="3928" t="s">
        <v>14</v>
      </c>
      <c r="C3611" s="3928" t="s">
        <v>8498</v>
      </c>
      <c r="D3611" s="3928" t="s">
        <v>8499</v>
      </c>
      <c r="E3611" s="3928" t="s">
        <v>8500</v>
      </c>
      <c r="F3611" s="3928" t="s">
        <v>2438</v>
      </c>
      <c r="G3611" s="3928" t="s">
        <v>8501</v>
      </c>
      <c r="H3611" s="3928" t="s">
        <v>24</v>
      </c>
      <c r="I3611" s="3928" t="s">
        <v>1621</v>
      </c>
    </row>
    <row r="3612" spans="1:9" ht="11.25" customHeight="1">
      <c r="A3612" s="3928" t="s">
        <v>2258</v>
      </c>
      <c r="B3612" s="3928" t="s">
        <v>14</v>
      </c>
      <c r="C3612" s="3928" t="s">
        <v>8502</v>
      </c>
      <c r="D3612" s="3928" t="s">
        <v>8503</v>
      </c>
      <c r="E3612" s="3928" t="s">
        <v>8504</v>
      </c>
      <c r="F3612" s="3928" t="s">
        <v>3353</v>
      </c>
      <c r="G3612" s="3928" t="s">
        <v>24</v>
      </c>
      <c r="H3612" s="3928" t="s">
        <v>24</v>
      </c>
      <c r="I3612" s="3928" t="s">
        <v>1621</v>
      </c>
    </row>
    <row r="3613" spans="1:9" ht="11.25" customHeight="1">
      <c r="A3613" s="3928" t="s">
        <v>2258</v>
      </c>
      <c r="B3613" s="3928" t="s">
        <v>14</v>
      </c>
      <c r="C3613" s="3928" t="s">
        <v>8505</v>
      </c>
      <c r="D3613" s="3928" t="s">
        <v>8506</v>
      </c>
      <c r="E3613" s="3928" t="s">
        <v>8507</v>
      </c>
      <c r="F3613" s="3928" t="s">
        <v>2397</v>
      </c>
      <c r="G3613" s="3928" t="s">
        <v>24</v>
      </c>
      <c r="H3613" s="3928" t="s">
        <v>8508</v>
      </c>
      <c r="I3613" s="3928" t="s">
        <v>1621</v>
      </c>
    </row>
    <row r="3614" spans="1:9" ht="11.25" customHeight="1">
      <c r="A3614" s="3928" t="s">
        <v>2258</v>
      </c>
      <c r="B3614" s="3928" t="s">
        <v>14</v>
      </c>
      <c r="C3614" s="3928" t="s">
        <v>8509</v>
      </c>
      <c r="D3614" s="3928" t="s">
        <v>8510</v>
      </c>
      <c r="E3614" s="3928" t="s">
        <v>8511</v>
      </c>
      <c r="F3614" s="3928" t="s">
        <v>2349</v>
      </c>
      <c r="G3614" s="3928" t="s">
        <v>8512</v>
      </c>
      <c r="H3614" s="3928" t="s">
        <v>24</v>
      </c>
      <c r="I3614" s="3928" t="s">
        <v>1621</v>
      </c>
    </row>
    <row r="3615" spans="1:9" ht="11.25" customHeight="1">
      <c r="A3615" s="3928" t="s">
        <v>2258</v>
      </c>
      <c r="B3615" s="3928" t="s">
        <v>14</v>
      </c>
      <c r="C3615" s="3928" t="s">
        <v>8513</v>
      </c>
      <c r="D3615" s="3928" t="s">
        <v>8514</v>
      </c>
      <c r="E3615" s="3928" t="s">
        <v>8515</v>
      </c>
      <c r="F3615" s="3928" t="s">
        <v>3310</v>
      </c>
      <c r="G3615" s="3928" t="s">
        <v>8516</v>
      </c>
      <c r="H3615" s="3928" t="s">
        <v>24</v>
      </c>
      <c r="I3615" s="3928" t="s">
        <v>1621</v>
      </c>
    </row>
    <row r="3616" spans="1:9" ht="11.25" customHeight="1">
      <c r="A3616" s="3928" t="s">
        <v>2258</v>
      </c>
      <c r="B3616" s="3928" t="s">
        <v>14</v>
      </c>
      <c r="C3616" s="3928" t="s">
        <v>8517</v>
      </c>
      <c r="D3616" s="3928" t="s">
        <v>8518</v>
      </c>
      <c r="E3616" s="3928" t="s">
        <v>8519</v>
      </c>
      <c r="F3616" s="3928" t="s">
        <v>2289</v>
      </c>
      <c r="G3616" s="3928" t="s">
        <v>24</v>
      </c>
      <c r="H3616" s="3928" t="s">
        <v>24</v>
      </c>
      <c r="I3616" s="3928" t="s">
        <v>1621</v>
      </c>
    </row>
    <row r="3617" spans="1:9" ht="11.25" customHeight="1">
      <c r="A3617" s="3928" t="s">
        <v>2258</v>
      </c>
      <c r="B3617" s="3928" t="s">
        <v>14</v>
      </c>
      <c r="C3617" s="3928" t="s">
        <v>8520</v>
      </c>
      <c r="D3617" s="3928" t="s">
        <v>8521</v>
      </c>
      <c r="E3617" s="3928" t="s">
        <v>8522</v>
      </c>
      <c r="F3617" s="3928" t="s">
        <v>5442</v>
      </c>
      <c r="G3617" s="3928" t="s">
        <v>24</v>
      </c>
      <c r="H3617" s="3928" t="s">
        <v>24</v>
      </c>
      <c r="I3617" s="3928" t="s">
        <v>1621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cols>
    <col min="1" max="1" width="9.140625" style="5186"/>
  </cols>
  <sheetData>
    <row r="1" spans="1:7" ht="11.25" customHeight="1">
      <c r="A1" s="289" t="s">
        <v>8523</v>
      </c>
      <c r="B1" s="3" t="s">
        <v>8524</v>
      </c>
      <c r="C1" s="3" t="s">
        <v>8525</v>
      </c>
      <c r="D1" s="3" t="s">
        <v>8526</v>
      </c>
      <c r="E1" s="2" t="s">
        <v>8527</v>
      </c>
      <c r="F1" s="2" t="s">
        <v>8528</v>
      </c>
      <c r="G1" s="2" t="s">
        <v>8529</v>
      </c>
    </row>
    <row r="2" spans="1:7" ht="11.25" customHeight="1">
      <c r="A2" s="289" t="s">
        <v>14</v>
      </c>
      <c r="B2" t="s">
        <v>8530</v>
      </c>
      <c r="C2" t="s">
        <v>8531</v>
      </c>
      <c r="D2" t="s">
        <v>8530</v>
      </c>
      <c r="E2" t="s">
        <v>8531</v>
      </c>
      <c r="F2" t="s">
        <v>8532</v>
      </c>
      <c r="G2" t="s">
        <v>129</v>
      </c>
    </row>
    <row r="3" spans="1:7" ht="11.25" customHeight="1">
      <c r="A3" s="289" t="s">
        <v>14</v>
      </c>
      <c r="B3" t="s">
        <v>8533</v>
      </c>
      <c r="C3" t="s">
        <v>8534</v>
      </c>
      <c r="D3" t="s">
        <v>8533</v>
      </c>
      <c r="E3" t="s">
        <v>8534</v>
      </c>
      <c r="F3" t="s">
        <v>8532</v>
      </c>
      <c r="G3" t="s">
        <v>100</v>
      </c>
    </row>
    <row r="4" spans="1:7" ht="11.25" customHeight="1">
      <c r="A4" s="289" t="s">
        <v>14</v>
      </c>
      <c r="B4" t="s">
        <v>8535</v>
      </c>
      <c r="C4" t="s">
        <v>8536</v>
      </c>
      <c r="D4" t="s">
        <v>8535</v>
      </c>
      <c r="E4" t="s">
        <v>8536</v>
      </c>
      <c r="F4" t="s">
        <v>8537</v>
      </c>
      <c r="G4" t="s">
        <v>87</v>
      </c>
    </row>
    <row r="5" spans="1:7" ht="11.25" customHeight="1">
      <c r="A5" s="289" t="s">
        <v>14</v>
      </c>
      <c r="B5" t="s">
        <v>8535</v>
      </c>
      <c r="C5" t="s">
        <v>8536</v>
      </c>
      <c r="D5" t="s">
        <v>8538</v>
      </c>
      <c r="E5" t="s">
        <v>8539</v>
      </c>
      <c r="F5" t="s">
        <v>8540</v>
      </c>
      <c r="G5" t="s">
        <v>88</v>
      </c>
    </row>
    <row r="6" spans="1:7" ht="11.25" customHeight="1">
      <c r="A6" s="289" t="s">
        <v>14</v>
      </c>
      <c r="B6" t="s">
        <v>8535</v>
      </c>
      <c r="C6" t="s">
        <v>8536</v>
      </c>
      <c r="D6" t="s">
        <v>8541</v>
      </c>
      <c r="E6" t="s">
        <v>8542</v>
      </c>
      <c r="F6" t="s">
        <v>8543</v>
      </c>
      <c r="G6" t="s">
        <v>114</v>
      </c>
    </row>
    <row r="7" spans="1:7" ht="11.25" customHeight="1">
      <c r="A7" s="289" t="s">
        <v>14</v>
      </c>
      <c r="B7" t="s">
        <v>8535</v>
      </c>
      <c r="C7" t="s">
        <v>8536</v>
      </c>
      <c r="D7" t="s">
        <v>8544</v>
      </c>
      <c r="E7" t="s">
        <v>8545</v>
      </c>
      <c r="F7" t="s">
        <v>8546</v>
      </c>
      <c r="G7" t="s">
        <v>89</v>
      </c>
    </row>
    <row r="8" spans="1:7" ht="11.25" customHeight="1">
      <c r="A8" s="289" t="s">
        <v>14</v>
      </c>
      <c r="B8" t="s">
        <v>8535</v>
      </c>
      <c r="C8" t="s">
        <v>8536</v>
      </c>
      <c r="D8" t="s">
        <v>8547</v>
      </c>
      <c r="E8" t="s">
        <v>8548</v>
      </c>
      <c r="F8" t="s">
        <v>8546</v>
      </c>
      <c r="G8" t="s">
        <v>90</v>
      </c>
    </row>
    <row r="9" spans="1:7" ht="11.25" customHeight="1">
      <c r="A9" s="289" t="s">
        <v>14</v>
      </c>
      <c r="B9" t="s">
        <v>8535</v>
      </c>
      <c r="C9" t="s">
        <v>8536</v>
      </c>
      <c r="D9" t="s">
        <v>8549</v>
      </c>
      <c r="E9" t="s">
        <v>8550</v>
      </c>
      <c r="F9" t="s">
        <v>8546</v>
      </c>
      <c r="G9" t="s">
        <v>130</v>
      </c>
    </row>
    <row r="10" spans="1:7" ht="11.25" customHeight="1">
      <c r="A10" s="289" t="s">
        <v>14</v>
      </c>
      <c r="B10" t="s">
        <v>8535</v>
      </c>
      <c r="C10" t="s">
        <v>8536</v>
      </c>
      <c r="D10" t="s">
        <v>8551</v>
      </c>
      <c r="E10" t="s">
        <v>8552</v>
      </c>
      <c r="F10" t="s">
        <v>8546</v>
      </c>
      <c r="G10" t="s">
        <v>166</v>
      </c>
    </row>
    <row r="11" spans="1:7" ht="11.25" customHeight="1">
      <c r="A11" s="289" t="s">
        <v>14</v>
      </c>
      <c r="B11" t="s">
        <v>8535</v>
      </c>
      <c r="C11" t="s">
        <v>8536</v>
      </c>
      <c r="D11" t="s">
        <v>8553</v>
      </c>
      <c r="E11" t="s">
        <v>8554</v>
      </c>
      <c r="F11" t="s">
        <v>8546</v>
      </c>
      <c r="G11" t="s">
        <v>167</v>
      </c>
    </row>
    <row r="12" spans="1:7" ht="11.25" customHeight="1">
      <c r="A12" s="289" t="s">
        <v>14</v>
      </c>
      <c r="B12" t="s">
        <v>8535</v>
      </c>
      <c r="C12" t="s">
        <v>8536</v>
      </c>
      <c r="D12" t="s">
        <v>8555</v>
      </c>
      <c r="E12" t="s">
        <v>8556</v>
      </c>
      <c r="F12" t="s">
        <v>8546</v>
      </c>
      <c r="G12" t="s">
        <v>168</v>
      </c>
    </row>
    <row r="13" spans="1:7" ht="11.25" customHeight="1">
      <c r="A13" s="289" t="s">
        <v>14</v>
      </c>
      <c r="B13" t="s">
        <v>96</v>
      </c>
      <c r="C13" t="s">
        <v>98</v>
      </c>
      <c r="D13" t="s">
        <v>96</v>
      </c>
      <c r="E13" t="s">
        <v>98</v>
      </c>
      <c r="F13" t="s">
        <v>8532</v>
      </c>
      <c r="G13" t="s">
        <v>97</v>
      </c>
    </row>
    <row r="14" spans="1:7" ht="11.25" customHeight="1">
      <c r="A14" s="289" t="s">
        <v>14</v>
      </c>
      <c r="B14" t="s">
        <v>8557</v>
      </c>
      <c r="C14" t="s">
        <v>8558</v>
      </c>
      <c r="D14" t="s">
        <v>8557</v>
      </c>
      <c r="E14" t="s">
        <v>8558</v>
      </c>
      <c r="F14" t="s">
        <v>8537</v>
      </c>
      <c r="G14" t="s">
        <v>169</v>
      </c>
    </row>
    <row r="15" spans="1:7" ht="11.25" customHeight="1">
      <c r="A15" s="289" t="s">
        <v>14</v>
      </c>
      <c r="B15" t="s">
        <v>8557</v>
      </c>
      <c r="C15" t="s">
        <v>8558</v>
      </c>
      <c r="D15" t="s">
        <v>8559</v>
      </c>
      <c r="E15" t="s">
        <v>8560</v>
      </c>
      <c r="F15" t="s">
        <v>8543</v>
      </c>
      <c r="G15" t="s">
        <v>170</v>
      </c>
    </row>
    <row r="16" spans="1:7" ht="11.25" customHeight="1">
      <c r="A16" s="289" t="s">
        <v>14</v>
      </c>
      <c r="B16" t="s">
        <v>8557</v>
      </c>
      <c r="C16" t="s">
        <v>8558</v>
      </c>
      <c r="D16" t="s">
        <v>8561</v>
      </c>
      <c r="E16" t="s">
        <v>8562</v>
      </c>
      <c r="F16" t="s">
        <v>8540</v>
      </c>
      <c r="G16" t="s">
        <v>1467</v>
      </c>
    </row>
    <row r="17" spans="1:7" ht="11.25" customHeight="1">
      <c r="A17" s="289" t="s">
        <v>14</v>
      </c>
      <c r="B17" t="s">
        <v>8557</v>
      </c>
      <c r="C17" t="s">
        <v>8558</v>
      </c>
      <c r="D17" t="s">
        <v>8563</v>
      </c>
      <c r="E17" t="s">
        <v>8564</v>
      </c>
      <c r="F17" t="s">
        <v>8543</v>
      </c>
      <c r="G17" t="s">
        <v>1473</v>
      </c>
    </row>
    <row r="18" spans="1:7" ht="11.25" customHeight="1">
      <c r="A18" s="289" t="s">
        <v>14</v>
      </c>
      <c r="B18" t="s">
        <v>8557</v>
      </c>
      <c r="C18" t="s">
        <v>8558</v>
      </c>
      <c r="D18" t="s">
        <v>8565</v>
      </c>
      <c r="E18" t="s">
        <v>8566</v>
      </c>
      <c r="F18" t="s">
        <v>8543</v>
      </c>
      <c r="G18" t="s">
        <v>1484</v>
      </c>
    </row>
    <row r="19" spans="1:7" ht="11.25" customHeight="1">
      <c r="A19" s="289" t="s">
        <v>14</v>
      </c>
      <c r="B19" t="s">
        <v>8557</v>
      </c>
      <c r="C19" t="s">
        <v>8558</v>
      </c>
      <c r="D19" t="s">
        <v>8567</v>
      </c>
      <c r="E19" t="s">
        <v>8568</v>
      </c>
      <c r="F19" t="s">
        <v>8546</v>
      </c>
      <c r="G19" t="s">
        <v>1498</v>
      </c>
    </row>
    <row r="20" spans="1:7" ht="11.25" customHeight="1">
      <c r="A20" s="289" t="s">
        <v>14</v>
      </c>
      <c r="B20" t="s">
        <v>8557</v>
      </c>
      <c r="C20" t="s">
        <v>8558</v>
      </c>
      <c r="D20" t="s">
        <v>8569</v>
      </c>
      <c r="E20" t="s">
        <v>8570</v>
      </c>
      <c r="F20" t="s">
        <v>8546</v>
      </c>
      <c r="G20" t="s">
        <v>1510</v>
      </c>
    </row>
    <row r="21" spans="1:7" ht="11.25" customHeight="1">
      <c r="A21" s="289" t="s">
        <v>14</v>
      </c>
      <c r="B21" t="s">
        <v>8571</v>
      </c>
      <c r="C21" t="s">
        <v>8572</v>
      </c>
      <c r="D21" t="s">
        <v>8571</v>
      </c>
      <c r="E21" t="s">
        <v>8572</v>
      </c>
      <c r="F21" t="s">
        <v>8532</v>
      </c>
      <c r="G21" t="s">
        <v>1519</v>
      </c>
    </row>
    <row r="22" spans="1:7" ht="11.25" customHeight="1">
      <c r="A22" s="289" t="s">
        <v>14</v>
      </c>
      <c r="B22" t="s">
        <v>8573</v>
      </c>
      <c r="C22" t="s">
        <v>8574</v>
      </c>
      <c r="D22" t="s">
        <v>8573</v>
      </c>
      <c r="E22" t="s">
        <v>8574</v>
      </c>
      <c r="F22" t="s">
        <v>8537</v>
      </c>
      <c r="G22" t="s">
        <v>1535</v>
      </c>
    </row>
    <row r="23" spans="1:7" ht="11.25" customHeight="1">
      <c r="A23" s="289" t="s">
        <v>14</v>
      </c>
      <c r="B23" t="s">
        <v>8573</v>
      </c>
      <c r="C23" t="s">
        <v>8574</v>
      </c>
      <c r="D23" t="s">
        <v>8575</v>
      </c>
      <c r="E23" t="s">
        <v>8576</v>
      </c>
      <c r="F23" t="s">
        <v>8543</v>
      </c>
      <c r="G23" t="s">
        <v>1542</v>
      </c>
    </row>
    <row r="24" spans="1:7" ht="11.25" customHeight="1">
      <c r="A24" s="289" t="s">
        <v>14</v>
      </c>
      <c r="B24" t="s">
        <v>8573</v>
      </c>
      <c r="C24" t="s">
        <v>8574</v>
      </c>
      <c r="D24" t="s">
        <v>8577</v>
      </c>
      <c r="E24" t="s">
        <v>8578</v>
      </c>
      <c r="F24" t="s">
        <v>8540</v>
      </c>
      <c r="G24" t="s">
        <v>1550</v>
      </c>
    </row>
    <row r="25" spans="1:7" ht="11.25" customHeight="1">
      <c r="A25" s="289" t="s">
        <v>14</v>
      </c>
      <c r="B25" t="s">
        <v>8573</v>
      </c>
      <c r="C25" t="s">
        <v>8574</v>
      </c>
      <c r="D25" t="s">
        <v>8579</v>
      </c>
      <c r="E25" t="s">
        <v>8580</v>
      </c>
      <c r="F25" t="s">
        <v>8543</v>
      </c>
      <c r="G25" t="s">
        <v>1557</v>
      </c>
    </row>
    <row r="26" spans="1:7" ht="11.25" customHeight="1">
      <c r="A26" s="289" t="s">
        <v>14</v>
      </c>
      <c r="B26" t="s">
        <v>8573</v>
      </c>
      <c r="C26" t="s">
        <v>8574</v>
      </c>
      <c r="D26" t="s">
        <v>8581</v>
      </c>
      <c r="E26" t="s">
        <v>8582</v>
      </c>
      <c r="F26" t="s">
        <v>8543</v>
      </c>
      <c r="G26" t="s">
        <v>1561</v>
      </c>
    </row>
    <row r="27" spans="1:7" ht="11.25" customHeight="1">
      <c r="A27" s="289" t="s">
        <v>14</v>
      </c>
      <c r="B27" t="s">
        <v>8573</v>
      </c>
      <c r="C27" t="s">
        <v>8574</v>
      </c>
      <c r="D27" t="s">
        <v>8583</v>
      </c>
      <c r="E27" t="s">
        <v>8584</v>
      </c>
      <c r="F27" t="s">
        <v>8540</v>
      </c>
      <c r="G27" t="s">
        <v>1566</v>
      </c>
    </row>
    <row r="28" spans="1:7" ht="11.25" customHeight="1">
      <c r="A28" s="289" t="s">
        <v>14</v>
      </c>
      <c r="B28" t="s">
        <v>8573</v>
      </c>
      <c r="C28" t="s">
        <v>8574</v>
      </c>
      <c r="D28" t="s">
        <v>8585</v>
      </c>
      <c r="E28" t="s">
        <v>8586</v>
      </c>
      <c r="F28" t="s">
        <v>8546</v>
      </c>
      <c r="G28" t="s">
        <v>1574</v>
      </c>
    </row>
    <row r="29" spans="1:7" ht="11.25" customHeight="1">
      <c r="A29" s="289" t="s">
        <v>14</v>
      </c>
      <c r="B29" t="s">
        <v>8573</v>
      </c>
      <c r="C29" t="s">
        <v>8574</v>
      </c>
      <c r="D29" t="s">
        <v>8587</v>
      </c>
      <c r="E29" t="s">
        <v>8588</v>
      </c>
      <c r="F29" t="s">
        <v>8546</v>
      </c>
      <c r="G29" t="s">
        <v>1576</v>
      </c>
    </row>
    <row r="30" spans="1:7" ht="11.25" customHeight="1">
      <c r="A30" s="289" t="s">
        <v>14</v>
      </c>
      <c r="B30" t="s">
        <v>8573</v>
      </c>
      <c r="C30" t="s">
        <v>8574</v>
      </c>
      <c r="D30" t="s">
        <v>8589</v>
      </c>
      <c r="E30" t="s">
        <v>8590</v>
      </c>
      <c r="F30" t="s">
        <v>8546</v>
      </c>
      <c r="G30" t="s">
        <v>1579</v>
      </c>
    </row>
    <row r="31" spans="1:7" ht="11.25" customHeight="1">
      <c r="A31" s="289" t="s">
        <v>14</v>
      </c>
      <c r="B31" t="s">
        <v>8573</v>
      </c>
      <c r="C31" t="s">
        <v>8574</v>
      </c>
      <c r="D31" t="s">
        <v>8591</v>
      </c>
      <c r="E31" t="s">
        <v>8592</v>
      </c>
      <c r="F31" t="s">
        <v>8546</v>
      </c>
      <c r="G31" t="s">
        <v>1584</v>
      </c>
    </row>
    <row r="32" spans="1:7" ht="11.25" customHeight="1">
      <c r="A32" s="289" t="s">
        <v>14</v>
      </c>
      <c r="B32" t="s">
        <v>8573</v>
      </c>
      <c r="C32" t="s">
        <v>8574</v>
      </c>
      <c r="D32" t="s">
        <v>8593</v>
      </c>
      <c r="E32" t="s">
        <v>8594</v>
      </c>
      <c r="F32" t="s">
        <v>8546</v>
      </c>
      <c r="G32" t="s">
        <v>1586</v>
      </c>
    </row>
    <row r="33" spans="1:7" ht="11.25" customHeight="1">
      <c r="A33" s="289" t="s">
        <v>14</v>
      </c>
      <c r="B33" t="s">
        <v>8573</v>
      </c>
      <c r="C33" t="s">
        <v>8574</v>
      </c>
      <c r="D33" t="s">
        <v>8595</v>
      </c>
      <c r="E33" t="s">
        <v>8596</v>
      </c>
      <c r="F33" t="s">
        <v>8546</v>
      </c>
      <c r="G33" t="s">
        <v>1588</v>
      </c>
    </row>
    <row r="34" spans="1:7" ht="11.25" customHeight="1">
      <c r="A34" s="289" t="s">
        <v>14</v>
      </c>
      <c r="B34" t="s">
        <v>8597</v>
      </c>
      <c r="C34" t="s">
        <v>8598</v>
      </c>
      <c r="D34" t="s">
        <v>8597</v>
      </c>
      <c r="E34" t="s">
        <v>8598</v>
      </c>
      <c r="F34" t="s">
        <v>8537</v>
      </c>
      <c r="G34" t="s">
        <v>1590</v>
      </c>
    </row>
    <row r="35" spans="1:7" ht="11.25" customHeight="1">
      <c r="A35" s="289" t="s">
        <v>14</v>
      </c>
      <c r="B35" t="s">
        <v>8597</v>
      </c>
      <c r="C35" t="s">
        <v>8598</v>
      </c>
      <c r="D35" t="s">
        <v>8599</v>
      </c>
      <c r="E35" t="s">
        <v>8600</v>
      </c>
      <c r="F35" t="s">
        <v>8540</v>
      </c>
      <c r="G35" t="s">
        <v>1595</v>
      </c>
    </row>
    <row r="36" spans="1:7" ht="11.25" customHeight="1">
      <c r="A36" s="289" t="s">
        <v>14</v>
      </c>
      <c r="B36" t="s">
        <v>8597</v>
      </c>
      <c r="C36" t="s">
        <v>8598</v>
      </c>
      <c r="D36" t="s">
        <v>8601</v>
      </c>
      <c r="E36" t="s">
        <v>8602</v>
      </c>
      <c r="F36" t="s">
        <v>8543</v>
      </c>
      <c r="G36" t="s">
        <v>1600</v>
      </c>
    </row>
    <row r="37" spans="1:7" ht="11.25" customHeight="1">
      <c r="A37" s="289" t="s">
        <v>14</v>
      </c>
      <c r="B37" t="s">
        <v>8597</v>
      </c>
      <c r="C37" t="s">
        <v>8598</v>
      </c>
      <c r="D37" t="s">
        <v>8603</v>
      </c>
      <c r="E37" t="s">
        <v>8604</v>
      </c>
      <c r="F37" t="s">
        <v>8546</v>
      </c>
      <c r="G37" t="s">
        <v>1603</v>
      </c>
    </row>
    <row r="38" spans="1:7" ht="11.25" customHeight="1">
      <c r="A38" s="289" t="s">
        <v>14</v>
      </c>
      <c r="B38" t="s">
        <v>8597</v>
      </c>
      <c r="C38" t="s">
        <v>8598</v>
      </c>
      <c r="D38" t="s">
        <v>8605</v>
      </c>
      <c r="E38" t="s">
        <v>8606</v>
      </c>
      <c r="F38" t="s">
        <v>8546</v>
      </c>
      <c r="G38" t="s">
        <v>1611</v>
      </c>
    </row>
    <row r="39" spans="1:7" ht="11.25" customHeight="1">
      <c r="A39" s="289" t="s">
        <v>14</v>
      </c>
      <c r="B39" t="s">
        <v>8597</v>
      </c>
      <c r="C39" t="s">
        <v>8598</v>
      </c>
      <c r="D39" t="s">
        <v>8607</v>
      </c>
      <c r="E39" t="s">
        <v>8608</v>
      </c>
      <c r="F39" t="s">
        <v>8546</v>
      </c>
      <c r="G39" t="s">
        <v>1617</v>
      </c>
    </row>
    <row r="40" spans="1:7" ht="11.25" customHeight="1">
      <c r="A40" s="289" t="s">
        <v>14</v>
      </c>
      <c r="B40" t="s">
        <v>8609</v>
      </c>
      <c r="C40" t="s">
        <v>8610</v>
      </c>
      <c r="D40" t="s">
        <v>8609</v>
      </c>
      <c r="E40" t="s">
        <v>8610</v>
      </c>
      <c r="F40" t="s">
        <v>8532</v>
      </c>
      <c r="G40" t="s">
        <v>1622</v>
      </c>
    </row>
    <row r="41" spans="1:7" ht="11.25" customHeight="1">
      <c r="A41" s="289" t="s">
        <v>14</v>
      </c>
      <c r="B41" t="s">
        <v>8611</v>
      </c>
      <c r="C41" t="s">
        <v>8612</v>
      </c>
      <c r="D41" t="s">
        <v>8611</v>
      </c>
      <c r="E41" t="s">
        <v>8612</v>
      </c>
      <c r="F41" t="s">
        <v>8537</v>
      </c>
      <c r="G41" t="s">
        <v>1626</v>
      </c>
    </row>
    <row r="42" spans="1:7" ht="11.25" customHeight="1">
      <c r="A42" s="289" t="s">
        <v>14</v>
      </c>
      <c r="B42" t="s">
        <v>8611</v>
      </c>
      <c r="C42" t="s">
        <v>8612</v>
      </c>
      <c r="D42" t="s">
        <v>8613</v>
      </c>
      <c r="E42" t="s">
        <v>8614</v>
      </c>
      <c r="F42" t="s">
        <v>8540</v>
      </c>
      <c r="G42" t="s">
        <v>1629</v>
      </c>
    </row>
    <row r="43" spans="1:7" ht="11.25" customHeight="1">
      <c r="A43" s="289" t="s">
        <v>14</v>
      </c>
      <c r="B43" t="s">
        <v>8611</v>
      </c>
      <c r="C43" t="s">
        <v>8612</v>
      </c>
      <c r="D43" t="s">
        <v>8615</v>
      </c>
      <c r="E43" t="s">
        <v>8616</v>
      </c>
      <c r="F43" t="s">
        <v>8546</v>
      </c>
      <c r="G43" t="s">
        <v>1636</v>
      </c>
    </row>
    <row r="44" spans="1:7" ht="11.25" customHeight="1">
      <c r="A44" s="289" t="s">
        <v>14</v>
      </c>
      <c r="B44" t="s">
        <v>8611</v>
      </c>
      <c r="C44" t="s">
        <v>8612</v>
      </c>
      <c r="D44" t="s">
        <v>8617</v>
      </c>
      <c r="E44" t="s">
        <v>8618</v>
      </c>
      <c r="F44" t="s">
        <v>8546</v>
      </c>
      <c r="G44" t="s">
        <v>1645</v>
      </c>
    </row>
    <row r="45" spans="1:7" ht="11.25" customHeight="1">
      <c r="A45" s="289" t="s">
        <v>14</v>
      </c>
      <c r="B45" t="s">
        <v>8611</v>
      </c>
      <c r="C45" t="s">
        <v>8612</v>
      </c>
      <c r="D45" t="s">
        <v>8619</v>
      </c>
      <c r="E45" t="s">
        <v>8620</v>
      </c>
      <c r="F45" t="s">
        <v>8546</v>
      </c>
      <c r="G45" t="s">
        <v>1650</v>
      </c>
    </row>
    <row r="46" spans="1:7" ht="11.25" customHeight="1">
      <c r="A46" s="289" t="s">
        <v>14</v>
      </c>
      <c r="B46" t="s">
        <v>8611</v>
      </c>
      <c r="C46" t="s">
        <v>8612</v>
      </c>
      <c r="D46" t="s">
        <v>8621</v>
      </c>
      <c r="E46" t="s">
        <v>8622</v>
      </c>
      <c r="F46" t="s">
        <v>8546</v>
      </c>
      <c r="G46" t="s">
        <v>1654</v>
      </c>
    </row>
    <row r="47" spans="1:7" ht="11.25" customHeight="1">
      <c r="A47" s="289" t="s">
        <v>14</v>
      </c>
      <c r="B47" t="s">
        <v>8623</v>
      </c>
      <c r="C47" t="s">
        <v>8624</v>
      </c>
      <c r="D47" t="s">
        <v>8623</v>
      </c>
      <c r="E47" t="s">
        <v>8624</v>
      </c>
      <c r="F47" t="s">
        <v>8532</v>
      </c>
      <c r="G47" t="s">
        <v>1660</v>
      </c>
    </row>
    <row r="48" spans="1:7" ht="11.25" customHeight="1">
      <c r="A48" s="289" t="s">
        <v>14</v>
      </c>
      <c r="B48" t="s">
        <v>8625</v>
      </c>
      <c r="C48" t="s">
        <v>8626</v>
      </c>
      <c r="D48" t="s">
        <v>8625</v>
      </c>
      <c r="E48" t="s">
        <v>8626</v>
      </c>
      <c r="F48" t="s">
        <v>8537</v>
      </c>
      <c r="G48" t="s">
        <v>1665</v>
      </c>
    </row>
    <row r="49" spans="1:7" ht="11.25" customHeight="1">
      <c r="A49" s="289" t="s">
        <v>14</v>
      </c>
      <c r="B49" t="s">
        <v>8625</v>
      </c>
      <c r="C49" t="s">
        <v>8626</v>
      </c>
      <c r="D49" t="s">
        <v>8627</v>
      </c>
      <c r="E49" t="s">
        <v>8628</v>
      </c>
      <c r="F49" t="s">
        <v>8540</v>
      </c>
      <c r="G49" t="s">
        <v>1668</v>
      </c>
    </row>
    <row r="50" spans="1:7" ht="11.25" customHeight="1">
      <c r="A50" s="289" t="s">
        <v>14</v>
      </c>
      <c r="B50" t="s">
        <v>8625</v>
      </c>
      <c r="C50" t="s">
        <v>8626</v>
      </c>
      <c r="D50" t="s">
        <v>8629</v>
      </c>
      <c r="E50" t="s">
        <v>8630</v>
      </c>
      <c r="F50" t="s">
        <v>8540</v>
      </c>
      <c r="G50" t="s">
        <v>1672</v>
      </c>
    </row>
    <row r="51" spans="1:7" ht="11.25" customHeight="1">
      <c r="A51" s="289" t="s">
        <v>14</v>
      </c>
      <c r="B51" t="s">
        <v>8625</v>
      </c>
      <c r="C51" t="s">
        <v>8626</v>
      </c>
      <c r="D51" t="s">
        <v>8631</v>
      </c>
      <c r="E51" t="s">
        <v>8632</v>
      </c>
      <c r="F51" t="s">
        <v>8543</v>
      </c>
      <c r="G51" t="s">
        <v>1676</v>
      </c>
    </row>
    <row r="52" spans="1:7" ht="11.25" customHeight="1">
      <c r="A52" s="289" t="s">
        <v>14</v>
      </c>
      <c r="B52" t="s">
        <v>8625</v>
      </c>
      <c r="C52" t="s">
        <v>8626</v>
      </c>
      <c r="D52" t="s">
        <v>8633</v>
      </c>
      <c r="E52" t="s">
        <v>8634</v>
      </c>
      <c r="F52" t="s">
        <v>8546</v>
      </c>
      <c r="G52" t="s">
        <v>1680</v>
      </c>
    </row>
    <row r="53" spans="1:7" ht="11.25" customHeight="1">
      <c r="A53" s="289" t="s">
        <v>14</v>
      </c>
      <c r="B53" t="s">
        <v>8625</v>
      </c>
      <c r="C53" t="s">
        <v>8626</v>
      </c>
      <c r="D53" t="s">
        <v>8635</v>
      </c>
      <c r="E53" t="s">
        <v>8636</v>
      </c>
      <c r="F53" t="s">
        <v>8546</v>
      </c>
      <c r="G53" t="s">
        <v>1682</v>
      </c>
    </row>
    <row r="54" spans="1:7" ht="11.25" customHeight="1">
      <c r="A54" s="289" t="s">
        <v>14</v>
      </c>
      <c r="B54" t="s">
        <v>8625</v>
      </c>
      <c r="C54" t="s">
        <v>8626</v>
      </c>
      <c r="D54" t="s">
        <v>8637</v>
      </c>
      <c r="E54" t="s">
        <v>8638</v>
      </c>
      <c r="F54" t="s">
        <v>8546</v>
      </c>
      <c r="G54" t="s">
        <v>1685</v>
      </c>
    </row>
    <row r="55" spans="1:7" ht="11.25" customHeight="1">
      <c r="A55" s="289" t="s">
        <v>14</v>
      </c>
      <c r="B55" t="s">
        <v>8625</v>
      </c>
      <c r="C55" t="s">
        <v>8626</v>
      </c>
      <c r="D55" t="s">
        <v>8639</v>
      </c>
      <c r="E55" t="s">
        <v>8640</v>
      </c>
      <c r="F55" t="s">
        <v>8546</v>
      </c>
      <c r="G55" t="s">
        <v>1689</v>
      </c>
    </row>
    <row r="56" spans="1:7" ht="11.25" customHeight="1">
      <c r="A56" s="289" t="s">
        <v>14</v>
      </c>
      <c r="B56" t="s">
        <v>8625</v>
      </c>
      <c r="C56" t="s">
        <v>8626</v>
      </c>
      <c r="D56" t="s">
        <v>8641</v>
      </c>
      <c r="E56" t="s">
        <v>8642</v>
      </c>
      <c r="F56" t="s">
        <v>8546</v>
      </c>
      <c r="G56" t="s">
        <v>1692</v>
      </c>
    </row>
    <row r="57" spans="1:7" ht="11.25" customHeight="1">
      <c r="A57" s="289" t="s">
        <v>14</v>
      </c>
      <c r="B57" t="s">
        <v>8625</v>
      </c>
      <c r="C57" t="s">
        <v>8626</v>
      </c>
      <c r="D57" t="s">
        <v>8643</v>
      </c>
      <c r="E57" t="s">
        <v>8644</v>
      </c>
      <c r="F57" t="s">
        <v>8546</v>
      </c>
      <c r="G57" t="s">
        <v>1695</v>
      </c>
    </row>
    <row r="58" spans="1:7" ht="11.25" customHeight="1">
      <c r="A58" s="289" t="s">
        <v>14</v>
      </c>
      <c r="B58" t="s">
        <v>8625</v>
      </c>
      <c r="C58" t="s">
        <v>8626</v>
      </c>
      <c r="D58" t="s">
        <v>8645</v>
      </c>
      <c r="E58" t="s">
        <v>8646</v>
      </c>
      <c r="F58" t="s">
        <v>8546</v>
      </c>
      <c r="G58" t="s">
        <v>1698</v>
      </c>
    </row>
    <row r="59" spans="1:7" ht="11.25" customHeight="1">
      <c r="A59" s="289" t="s">
        <v>14</v>
      </c>
      <c r="B59" t="s">
        <v>8625</v>
      </c>
      <c r="C59" t="s">
        <v>8626</v>
      </c>
      <c r="D59" t="s">
        <v>8647</v>
      </c>
      <c r="E59" t="s">
        <v>8648</v>
      </c>
      <c r="F59" t="s">
        <v>8546</v>
      </c>
      <c r="G59" t="s">
        <v>1702</v>
      </c>
    </row>
    <row r="60" spans="1:7" ht="11.25" customHeight="1">
      <c r="A60" s="289" t="s">
        <v>14</v>
      </c>
      <c r="B60" t="s">
        <v>8625</v>
      </c>
      <c r="C60" t="s">
        <v>8626</v>
      </c>
      <c r="D60" t="s">
        <v>8649</v>
      </c>
      <c r="E60" t="s">
        <v>8650</v>
      </c>
      <c r="F60" t="s">
        <v>8546</v>
      </c>
      <c r="G60" t="s">
        <v>1705</v>
      </c>
    </row>
    <row r="61" spans="1:7" ht="11.25" customHeight="1">
      <c r="A61" s="289" t="s">
        <v>14</v>
      </c>
      <c r="B61" t="s">
        <v>8625</v>
      </c>
      <c r="C61" t="s">
        <v>8626</v>
      </c>
      <c r="D61" t="s">
        <v>8651</v>
      </c>
      <c r="E61" t="s">
        <v>8652</v>
      </c>
      <c r="F61" t="s">
        <v>8546</v>
      </c>
      <c r="G61" t="s">
        <v>8653</v>
      </c>
    </row>
    <row r="62" spans="1:7" ht="11.25" customHeight="1">
      <c r="A62" s="289" t="s">
        <v>14</v>
      </c>
      <c r="B62" t="s">
        <v>8625</v>
      </c>
      <c r="C62" t="s">
        <v>8626</v>
      </c>
      <c r="D62" t="s">
        <v>8654</v>
      </c>
      <c r="E62" t="s">
        <v>8655</v>
      </c>
      <c r="F62" t="s">
        <v>8546</v>
      </c>
      <c r="G62" t="s">
        <v>8656</v>
      </c>
    </row>
    <row r="63" spans="1:7" ht="11.25" customHeight="1">
      <c r="A63" s="289" t="s">
        <v>14</v>
      </c>
      <c r="B63" t="s">
        <v>8657</v>
      </c>
      <c r="C63" t="s">
        <v>8658</v>
      </c>
      <c r="D63" t="s">
        <v>8657</v>
      </c>
      <c r="E63" t="s">
        <v>8658</v>
      </c>
      <c r="F63" t="s">
        <v>8537</v>
      </c>
      <c r="G63" t="s">
        <v>8659</v>
      </c>
    </row>
    <row r="64" spans="1:7" ht="11.25" customHeight="1">
      <c r="A64" s="289" t="s">
        <v>14</v>
      </c>
      <c r="B64" t="s">
        <v>8657</v>
      </c>
      <c r="C64" t="s">
        <v>8658</v>
      </c>
      <c r="D64" t="s">
        <v>8660</v>
      </c>
      <c r="E64" t="s">
        <v>8661</v>
      </c>
      <c r="F64" t="s">
        <v>8540</v>
      </c>
      <c r="G64" t="s">
        <v>8662</v>
      </c>
    </row>
    <row r="65" spans="1:7" ht="11.25" customHeight="1">
      <c r="A65" s="289" t="s">
        <v>14</v>
      </c>
      <c r="B65" t="s">
        <v>8657</v>
      </c>
      <c r="C65" t="s">
        <v>8658</v>
      </c>
      <c r="D65" t="s">
        <v>8663</v>
      </c>
      <c r="E65" t="s">
        <v>8664</v>
      </c>
      <c r="F65" t="s">
        <v>8540</v>
      </c>
      <c r="G65" t="s">
        <v>8665</v>
      </c>
    </row>
    <row r="66" spans="1:7" ht="11.25" customHeight="1">
      <c r="A66" s="289" t="s">
        <v>14</v>
      </c>
      <c r="B66" t="s">
        <v>8657</v>
      </c>
      <c r="C66" t="s">
        <v>8658</v>
      </c>
      <c r="D66" t="s">
        <v>8666</v>
      </c>
      <c r="E66" t="s">
        <v>8667</v>
      </c>
      <c r="F66" t="s">
        <v>8546</v>
      </c>
      <c r="G66" t="s">
        <v>8668</v>
      </c>
    </row>
    <row r="67" spans="1:7" ht="11.25" customHeight="1">
      <c r="A67" s="289" t="s">
        <v>14</v>
      </c>
      <c r="B67" t="s">
        <v>8657</v>
      </c>
      <c r="C67" t="s">
        <v>8658</v>
      </c>
      <c r="D67" t="s">
        <v>8669</v>
      </c>
      <c r="E67" t="s">
        <v>8670</v>
      </c>
      <c r="F67" t="s">
        <v>8546</v>
      </c>
      <c r="G67" t="s">
        <v>2024</v>
      </c>
    </row>
    <row r="68" spans="1:7" ht="11.25" customHeight="1">
      <c r="A68" s="289" t="s">
        <v>14</v>
      </c>
      <c r="B68" t="s">
        <v>8657</v>
      </c>
      <c r="C68" t="s">
        <v>8658</v>
      </c>
      <c r="D68" t="s">
        <v>8671</v>
      </c>
      <c r="E68" t="s">
        <v>8672</v>
      </c>
      <c r="F68" t="s">
        <v>8546</v>
      </c>
      <c r="G68" t="s">
        <v>8673</v>
      </c>
    </row>
    <row r="69" spans="1:7" ht="11.25" customHeight="1">
      <c r="A69" s="289" t="s">
        <v>14</v>
      </c>
      <c r="B69" t="s">
        <v>8657</v>
      </c>
      <c r="C69" t="s">
        <v>8658</v>
      </c>
      <c r="D69" t="s">
        <v>8674</v>
      </c>
      <c r="E69" t="s">
        <v>8675</v>
      </c>
      <c r="F69" t="s">
        <v>8546</v>
      </c>
      <c r="G69" t="s">
        <v>2235</v>
      </c>
    </row>
    <row r="70" spans="1:7" ht="11.25" customHeight="1">
      <c r="A70" s="289" t="s">
        <v>14</v>
      </c>
      <c r="B70" t="s">
        <v>8657</v>
      </c>
      <c r="C70" t="s">
        <v>8658</v>
      </c>
      <c r="D70" t="s">
        <v>8676</v>
      </c>
      <c r="E70" t="s">
        <v>8677</v>
      </c>
      <c r="F70" t="s">
        <v>8546</v>
      </c>
      <c r="G70" t="s">
        <v>8678</v>
      </c>
    </row>
    <row r="71" spans="1:7" ht="11.25" customHeight="1">
      <c r="A71" s="289" t="s">
        <v>14</v>
      </c>
      <c r="B71" t="s">
        <v>103</v>
      </c>
      <c r="C71" t="s">
        <v>105</v>
      </c>
      <c r="D71" t="s">
        <v>103</v>
      </c>
      <c r="E71" t="s">
        <v>105</v>
      </c>
      <c r="F71" t="s">
        <v>8532</v>
      </c>
      <c r="G71" t="s">
        <v>104</v>
      </c>
    </row>
    <row r="72" spans="1:7" ht="11.25" customHeight="1">
      <c r="A72" s="289" t="s">
        <v>14</v>
      </c>
      <c r="B72" t="s">
        <v>8679</v>
      </c>
      <c r="C72" t="s">
        <v>8680</v>
      </c>
      <c r="D72" t="s">
        <v>8679</v>
      </c>
      <c r="E72" t="s">
        <v>8680</v>
      </c>
      <c r="F72" t="s">
        <v>8537</v>
      </c>
      <c r="G72" t="s">
        <v>8681</v>
      </c>
    </row>
    <row r="73" spans="1:7" ht="11.25" customHeight="1">
      <c r="A73" s="289" t="s">
        <v>14</v>
      </c>
      <c r="B73" t="s">
        <v>8679</v>
      </c>
      <c r="C73" t="s">
        <v>8680</v>
      </c>
      <c r="D73" t="s">
        <v>8682</v>
      </c>
      <c r="E73" t="s">
        <v>8683</v>
      </c>
      <c r="F73" t="s">
        <v>8540</v>
      </c>
      <c r="G73" t="s">
        <v>8684</v>
      </c>
    </row>
    <row r="74" spans="1:7" ht="11.25" customHeight="1">
      <c r="A74" s="289" t="s">
        <v>14</v>
      </c>
      <c r="B74" t="s">
        <v>8679</v>
      </c>
      <c r="C74" t="s">
        <v>8680</v>
      </c>
      <c r="D74" t="s">
        <v>8685</v>
      </c>
      <c r="E74" t="s">
        <v>8686</v>
      </c>
      <c r="F74" t="s">
        <v>8540</v>
      </c>
      <c r="G74" t="s">
        <v>8687</v>
      </c>
    </row>
    <row r="75" spans="1:7" ht="11.25" customHeight="1">
      <c r="A75" s="289" t="s">
        <v>14</v>
      </c>
      <c r="B75" t="s">
        <v>8679</v>
      </c>
      <c r="C75" t="s">
        <v>8680</v>
      </c>
      <c r="D75" t="s">
        <v>8688</v>
      </c>
      <c r="E75" t="s">
        <v>8689</v>
      </c>
      <c r="F75" t="s">
        <v>8543</v>
      </c>
      <c r="G75" t="s">
        <v>8690</v>
      </c>
    </row>
    <row r="76" spans="1:7" ht="11.25" customHeight="1">
      <c r="A76" s="289" t="s">
        <v>14</v>
      </c>
      <c r="B76" t="s">
        <v>8679</v>
      </c>
      <c r="C76" t="s">
        <v>8680</v>
      </c>
      <c r="D76" t="s">
        <v>8691</v>
      </c>
      <c r="E76" t="s">
        <v>8692</v>
      </c>
      <c r="F76" t="s">
        <v>8546</v>
      </c>
      <c r="G76" t="s">
        <v>8693</v>
      </c>
    </row>
    <row r="77" spans="1:7" ht="11.25" customHeight="1">
      <c r="A77" s="289" t="s">
        <v>14</v>
      </c>
      <c r="B77" t="s">
        <v>8679</v>
      </c>
      <c r="C77" t="s">
        <v>8680</v>
      </c>
      <c r="D77" t="s">
        <v>8694</v>
      </c>
      <c r="E77" t="s">
        <v>8695</v>
      </c>
      <c r="F77" t="s">
        <v>8546</v>
      </c>
      <c r="G77" t="s">
        <v>8696</v>
      </c>
    </row>
    <row r="78" spans="1:7" ht="11.25" customHeight="1">
      <c r="A78" s="289" t="s">
        <v>14</v>
      </c>
      <c r="B78" t="s">
        <v>8679</v>
      </c>
      <c r="C78" t="s">
        <v>8680</v>
      </c>
      <c r="D78" t="s">
        <v>8697</v>
      </c>
      <c r="E78" t="s">
        <v>8698</v>
      </c>
      <c r="F78" t="s">
        <v>8546</v>
      </c>
      <c r="G78" t="s">
        <v>8699</v>
      </c>
    </row>
    <row r="79" spans="1:7" ht="11.25" customHeight="1">
      <c r="A79" s="289" t="s">
        <v>14</v>
      </c>
      <c r="B79" t="s">
        <v>8679</v>
      </c>
      <c r="C79" t="s">
        <v>8680</v>
      </c>
      <c r="D79" t="s">
        <v>8700</v>
      </c>
      <c r="E79" t="s">
        <v>8701</v>
      </c>
      <c r="F79" t="s">
        <v>8546</v>
      </c>
      <c r="G79" t="s">
        <v>8702</v>
      </c>
    </row>
    <row r="80" spans="1:7" ht="11.25" customHeight="1">
      <c r="A80" s="289" t="s">
        <v>14</v>
      </c>
      <c r="B80" t="s">
        <v>8679</v>
      </c>
      <c r="C80" t="s">
        <v>8680</v>
      </c>
      <c r="D80" t="s">
        <v>8703</v>
      </c>
      <c r="E80" t="s">
        <v>8704</v>
      </c>
      <c r="F80" t="s">
        <v>8546</v>
      </c>
      <c r="G80" t="s">
        <v>8705</v>
      </c>
    </row>
    <row r="81" spans="1:7" ht="11.25" customHeight="1">
      <c r="A81" s="289" t="s">
        <v>14</v>
      </c>
      <c r="B81" t="s">
        <v>8706</v>
      </c>
      <c r="C81" t="s">
        <v>8707</v>
      </c>
      <c r="D81" t="s">
        <v>8706</v>
      </c>
      <c r="E81" t="s">
        <v>8707</v>
      </c>
      <c r="F81" t="s">
        <v>8537</v>
      </c>
      <c r="G81" t="s">
        <v>8708</v>
      </c>
    </row>
    <row r="82" spans="1:7" ht="11.25" customHeight="1">
      <c r="A82" s="289" t="s">
        <v>14</v>
      </c>
      <c r="B82" t="s">
        <v>8706</v>
      </c>
      <c r="C82" t="s">
        <v>8707</v>
      </c>
      <c r="D82" t="s">
        <v>8709</v>
      </c>
      <c r="E82" t="s">
        <v>8710</v>
      </c>
      <c r="F82" t="s">
        <v>8543</v>
      </c>
      <c r="G82" t="s">
        <v>8711</v>
      </c>
    </row>
    <row r="83" spans="1:7" ht="11.25" customHeight="1">
      <c r="A83" s="289" t="s">
        <v>14</v>
      </c>
      <c r="B83" t="s">
        <v>8706</v>
      </c>
      <c r="C83" t="s">
        <v>8707</v>
      </c>
      <c r="D83" t="s">
        <v>8712</v>
      </c>
      <c r="E83" t="s">
        <v>8713</v>
      </c>
      <c r="F83" t="s">
        <v>8546</v>
      </c>
      <c r="G83" t="s">
        <v>8714</v>
      </c>
    </row>
    <row r="84" spans="1:7" ht="11.25" customHeight="1">
      <c r="A84" s="289" t="s">
        <v>14</v>
      </c>
      <c r="B84" t="s">
        <v>8706</v>
      </c>
      <c r="C84" t="s">
        <v>8707</v>
      </c>
      <c r="D84" t="s">
        <v>8715</v>
      </c>
      <c r="E84" t="s">
        <v>8716</v>
      </c>
      <c r="F84" t="s">
        <v>8546</v>
      </c>
      <c r="G84" t="s">
        <v>8717</v>
      </c>
    </row>
    <row r="85" spans="1:7" ht="11.25" customHeight="1">
      <c r="A85" s="289" t="s">
        <v>14</v>
      </c>
      <c r="B85" t="s">
        <v>8706</v>
      </c>
      <c r="C85" t="s">
        <v>8707</v>
      </c>
      <c r="D85" t="s">
        <v>8718</v>
      </c>
      <c r="E85" t="s">
        <v>8719</v>
      </c>
      <c r="F85" t="s">
        <v>8546</v>
      </c>
      <c r="G85" t="s">
        <v>8720</v>
      </c>
    </row>
    <row r="86" spans="1:7" ht="11.25" customHeight="1">
      <c r="A86" s="289" t="s">
        <v>14</v>
      </c>
      <c r="B86" t="s">
        <v>8706</v>
      </c>
      <c r="C86" t="s">
        <v>8707</v>
      </c>
      <c r="D86" t="s">
        <v>8721</v>
      </c>
      <c r="E86" t="s">
        <v>8722</v>
      </c>
      <c r="F86" t="s">
        <v>8546</v>
      </c>
      <c r="G86" t="s">
        <v>8723</v>
      </c>
    </row>
    <row r="87" spans="1:7" ht="11.25" customHeight="1">
      <c r="A87" s="289" t="s">
        <v>14</v>
      </c>
      <c r="B87" t="s">
        <v>8706</v>
      </c>
      <c r="C87" t="s">
        <v>8707</v>
      </c>
      <c r="D87" t="s">
        <v>8724</v>
      </c>
      <c r="E87" t="s">
        <v>8725</v>
      </c>
      <c r="F87" t="s">
        <v>8546</v>
      </c>
      <c r="G87" t="s">
        <v>8726</v>
      </c>
    </row>
    <row r="88" spans="1:7" ht="11.25" customHeight="1">
      <c r="A88" s="289" t="s">
        <v>14</v>
      </c>
      <c r="B88" t="s">
        <v>8706</v>
      </c>
      <c r="C88" t="s">
        <v>8707</v>
      </c>
      <c r="D88" t="s">
        <v>8727</v>
      </c>
      <c r="E88" t="s">
        <v>8728</v>
      </c>
      <c r="F88" t="s">
        <v>8546</v>
      </c>
      <c r="G88" t="s">
        <v>8729</v>
      </c>
    </row>
    <row r="89" spans="1:7" ht="11.25" customHeight="1">
      <c r="A89" s="289" t="s">
        <v>14</v>
      </c>
      <c r="B89" t="s">
        <v>8706</v>
      </c>
      <c r="C89" t="s">
        <v>8707</v>
      </c>
      <c r="D89" t="s">
        <v>8730</v>
      </c>
      <c r="E89" t="s">
        <v>8731</v>
      </c>
      <c r="F89" t="s">
        <v>8546</v>
      </c>
      <c r="G89" t="s">
        <v>8732</v>
      </c>
    </row>
    <row r="90" spans="1:7" ht="11.25" customHeight="1">
      <c r="A90" s="289" t="s">
        <v>14</v>
      </c>
      <c r="B90" t="s">
        <v>8706</v>
      </c>
      <c r="C90" t="s">
        <v>8707</v>
      </c>
      <c r="D90" t="s">
        <v>8733</v>
      </c>
      <c r="E90" t="s">
        <v>8734</v>
      </c>
      <c r="F90" t="s">
        <v>8546</v>
      </c>
      <c r="G90" t="s">
        <v>8735</v>
      </c>
    </row>
    <row r="91" spans="1:7" ht="11.25" customHeight="1">
      <c r="A91" s="289" t="s">
        <v>14</v>
      </c>
      <c r="B91" t="s">
        <v>8736</v>
      </c>
      <c r="C91" t="s">
        <v>8737</v>
      </c>
      <c r="D91" t="s">
        <v>8736</v>
      </c>
      <c r="E91" t="s">
        <v>8737</v>
      </c>
      <c r="F91" t="s">
        <v>8532</v>
      </c>
      <c r="G91" t="s">
        <v>8738</v>
      </c>
    </row>
    <row r="92" spans="1:7" ht="11.25" customHeight="1">
      <c r="A92" s="289" t="s">
        <v>14</v>
      </c>
      <c r="B92" t="s">
        <v>8739</v>
      </c>
      <c r="C92" t="s">
        <v>8740</v>
      </c>
      <c r="D92" t="s">
        <v>8739</v>
      </c>
      <c r="E92" t="s">
        <v>8740</v>
      </c>
      <c r="F92" t="s">
        <v>8532</v>
      </c>
      <c r="G92" t="s">
        <v>8741</v>
      </c>
    </row>
    <row r="93" spans="1:7" ht="11.25" customHeight="1">
      <c r="A93" s="289" t="s">
        <v>14</v>
      </c>
      <c r="B93" t="s">
        <v>8742</v>
      </c>
      <c r="C93" t="s">
        <v>8743</v>
      </c>
      <c r="D93" t="s">
        <v>8742</v>
      </c>
      <c r="E93" t="s">
        <v>8743</v>
      </c>
      <c r="F93" t="s">
        <v>8537</v>
      </c>
      <c r="G93" t="s">
        <v>8744</v>
      </c>
    </row>
    <row r="94" spans="1:7" ht="11.25" customHeight="1">
      <c r="A94" s="289" t="s">
        <v>14</v>
      </c>
      <c r="B94" t="s">
        <v>8742</v>
      </c>
      <c r="C94" t="s">
        <v>8743</v>
      </c>
      <c r="D94" t="s">
        <v>8745</v>
      </c>
      <c r="E94" t="s">
        <v>8746</v>
      </c>
      <c r="F94" t="s">
        <v>8540</v>
      </c>
      <c r="G94" t="s">
        <v>8747</v>
      </c>
    </row>
    <row r="95" spans="1:7" ht="11.25" customHeight="1">
      <c r="A95" s="289" t="s">
        <v>14</v>
      </c>
      <c r="B95" t="s">
        <v>8742</v>
      </c>
      <c r="C95" t="s">
        <v>8743</v>
      </c>
      <c r="D95" t="s">
        <v>8748</v>
      </c>
      <c r="E95" t="s">
        <v>8749</v>
      </c>
      <c r="F95" t="s">
        <v>8543</v>
      </c>
      <c r="G95" t="s">
        <v>8750</v>
      </c>
    </row>
    <row r="96" spans="1:7" ht="11.25" customHeight="1">
      <c r="A96" s="289" t="s">
        <v>14</v>
      </c>
      <c r="B96" t="s">
        <v>8742</v>
      </c>
      <c r="C96" t="s">
        <v>8743</v>
      </c>
      <c r="D96" t="s">
        <v>8751</v>
      </c>
      <c r="E96" t="s">
        <v>8752</v>
      </c>
      <c r="F96" t="s">
        <v>8546</v>
      </c>
      <c r="G96" t="s">
        <v>8753</v>
      </c>
    </row>
    <row r="97" spans="1:7" ht="11.25" customHeight="1">
      <c r="A97" s="289" t="s">
        <v>14</v>
      </c>
      <c r="B97" t="s">
        <v>8742</v>
      </c>
      <c r="C97" t="s">
        <v>8743</v>
      </c>
      <c r="D97" t="s">
        <v>8754</v>
      </c>
      <c r="E97" t="s">
        <v>8755</v>
      </c>
      <c r="F97" t="s">
        <v>8546</v>
      </c>
      <c r="G97" t="s">
        <v>8756</v>
      </c>
    </row>
    <row r="98" spans="1:7" ht="11.25" customHeight="1">
      <c r="A98" s="289" t="s">
        <v>14</v>
      </c>
      <c r="B98" t="s">
        <v>8757</v>
      </c>
      <c r="C98" t="s">
        <v>8758</v>
      </c>
      <c r="D98" t="s">
        <v>8757</v>
      </c>
      <c r="E98" t="s">
        <v>8758</v>
      </c>
      <c r="F98" t="s">
        <v>8532</v>
      </c>
      <c r="G98" t="s">
        <v>8759</v>
      </c>
    </row>
    <row r="99" spans="1:7" ht="11.25" customHeight="1">
      <c r="A99" s="289" t="s">
        <v>14</v>
      </c>
      <c r="B99" t="s">
        <v>8760</v>
      </c>
      <c r="C99" t="s">
        <v>8761</v>
      </c>
      <c r="D99" t="s">
        <v>8760</v>
      </c>
      <c r="E99" t="s">
        <v>8761</v>
      </c>
      <c r="F99" t="s">
        <v>8537</v>
      </c>
      <c r="G99" t="s">
        <v>8762</v>
      </c>
    </row>
    <row r="100" spans="1:7" ht="11.25" customHeight="1">
      <c r="A100" s="289" t="s">
        <v>14</v>
      </c>
      <c r="B100" t="s">
        <v>8760</v>
      </c>
      <c r="C100" t="s">
        <v>8761</v>
      </c>
      <c r="D100" t="s">
        <v>8763</v>
      </c>
      <c r="E100" t="s">
        <v>8764</v>
      </c>
      <c r="F100" t="s">
        <v>8540</v>
      </c>
      <c r="G100" t="s">
        <v>8765</v>
      </c>
    </row>
    <row r="101" spans="1:7" ht="11.25" customHeight="1">
      <c r="A101" s="289" t="s">
        <v>14</v>
      </c>
      <c r="B101" t="s">
        <v>8760</v>
      </c>
      <c r="C101" t="s">
        <v>8761</v>
      </c>
      <c r="D101" t="s">
        <v>8766</v>
      </c>
      <c r="E101" t="s">
        <v>8767</v>
      </c>
      <c r="F101" t="s">
        <v>8543</v>
      </c>
      <c r="G101" t="s">
        <v>8768</v>
      </c>
    </row>
    <row r="102" spans="1:7" ht="11.25" customHeight="1">
      <c r="A102" s="289" t="s">
        <v>14</v>
      </c>
      <c r="B102" t="s">
        <v>8760</v>
      </c>
      <c r="C102" t="s">
        <v>8761</v>
      </c>
      <c r="D102" t="s">
        <v>8769</v>
      </c>
      <c r="E102" t="s">
        <v>8770</v>
      </c>
      <c r="F102" t="s">
        <v>8546</v>
      </c>
      <c r="G102" t="s">
        <v>8771</v>
      </c>
    </row>
    <row r="103" spans="1:7" ht="11.25" customHeight="1">
      <c r="A103" s="289" t="s">
        <v>14</v>
      </c>
      <c r="B103" t="s">
        <v>8760</v>
      </c>
      <c r="C103" t="s">
        <v>8761</v>
      </c>
      <c r="D103" t="s">
        <v>8772</v>
      </c>
      <c r="E103" t="s">
        <v>8773</v>
      </c>
      <c r="F103" t="s">
        <v>8546</v>
      </c>
      <c r="G103" t="s">
        <v>8774</v>
      </c>
    </row>
    <row r="104" spans="1:7" ht="11.25" customHeight="1">
      <c r="A104" s="289" t="s">
        <v>14</v>
      </c>
      <c r="B104" t="s">
        <v>8760</v>
      </c>
      <c r="C104" t="s">
        <v>8761</v>
      </c>
      <c r="D104" t="s">
        <v>8775</v>
      </c>
      <c r="E104" t="s">
        <v>8776</v>
      </c>
      <c r="F104" t="s">
        <v>8546</v>
      </c>
      <c r="G104" t="s">
        <v>8777</v>
      </c>
    </row>
    <row r="105" spans="1:7" ht="11.25" customHeight="1">
      <c r="A105" s="289" t="s">
        <v>14</v>
      </c>
      <c r="B105" t="s">
        <v>8760</v>
      </c>
      <c r="C105" t="s">
        <v>8761</v>
      </c>
      <c r="D105" t="s">
        <v>8778</v>
      </c>
      <c r="E105" t="s">
        <v>8779</v>
      </c>
      <c r="F105" t="s">
        <v>8546</v>
      </c>
      <c r="G105" t="s">
        <v>8780</v>
      </c>
    </row>
    <row r="106" spans="1:7" ht="11.25" customHeight="1">
      <c r="A106" s="289" t="s">
        <v>14</v>
      </c>
      <c r="B106" t="s">
        <v>8760</v>
      </c>
      <c r="C106" t="s">
        <v>8761</v>
      </c>
      <c r="D106" t="s">
        <v>8781</v>
      </c>
      <c r="E106" t="s">
        <v>8782</v>
      </c>
      <c r="F106" t="s">
        <v>8546</v>
      </c>
      <c r="G106" t="s">
        <v>8783</v>
      </c>
    </row>
    <row r="107" spans="1:7" ht="11.25" customHeight="1">
      <c r="A107" s="289" t="s">
        <v>14</v>
      </c>
      <c r="B107" t="s">
        <v>8784</v>
      </c>
      <c r="C107" t="s">
        <v>8785</v>
      </c>
      <c r="D107" t="s">
        <v>8784</v>
      </c>
      <c r="E107" t="s">
        <v>8785</v>
      </c>
      <c r="F107" t="s">
        <v>8532</v>
      </c>
      <c r="G107" t="s">
        <v>8786</v>
      </c>
    </row>
    <row r="108" spans="1:7" ht="11.25" customHeight="1">
      <c r="A108" s="289" t="s">
        <v>14</v>
      </c>
      <c r="B108" t="s">
        <v>8787</v>
      </c>
      <c r="C108" t="s">
        <v>8788</v>
      </c>
      <c r="D108" t="s">
        <v>8787</v>
      </c>
      <c r="E108" t="s">
        <v>8788</v>
      </c>
      <c r="F108" t="s">
        <v>8532</v>
      </c>
      <c r="G108" t="s">
        <v>8789</v>
      </c>
    </row>
    <row r="109" spans="1:7" ht="11.25" customHeight="1">
      <c r="A109" s="289" t="s">
        <v>14</v>
      </c>
      <c r="B109" t="s">
        <v>8790</v>
      </c>
      <c r="C109" t="s">
        <v>8791</v>
      </c>
      <c r="D109" t="s">
        <v>8790</v>
      </c>
      <c r="E109" t="s">
        <v>8791</v>
      </c>
      <c r="F109" t="s">
        <v>8537</v>
      </c>
      <c r="G109" t="s">
        <v>8792</v>
      </c>
    </row>
    <row r="110" spans="1:7" ht="11.25" customHeight="1">
      <c r="A110" s="289" t="s">
        <v>14</v>
      </c>
      <c r="B110" t="s">
        <v>8790</v>
      </c>
      <c r="C110" t="s">
        <v>8791</v>
      </c>
      <c r="D110" t="s">
        <v>8793</v>
      </c>
      <c r="E110" t="s">
        <v>8794</v>
      </c>
      <c r="F110" t="s">
        <v>8543</v>
      </c>
      <c r="G110" t="s">
        <v>8795</v>
      </c>
    </row>
    <row r="111" spans="1:7" ht="11.25" customHeight="1">
      <c r="A111" s="289" t="s">
        <v>14</v>
      </c>
      <c r="B111" t="s">
        <v>8790</v>
      </c>
      <c r="C111" t="s">
        <v>8791</v>
      </c>
      <c r="D111" t="s">
        <v>8796</v>
      </c>
      <c r="E111" t="s">
        <v>8797</v>
      </c>
      <c r="F111" t="s">
        <v>8546</v>
      </c>
      <c r="G111" t="s">
        <v>8798</v>
      </c>
    </row>
    <row r="112" spans="1:7" ht="11.25" customHeight="1">
      <c r="A112" s="289" t="s">
        <v>14</v>
      </c>
      <c r="B112" t="s">
        <v>8790</v>
      </c>
      <c r="C112" t="s">
        <v>8791</v>
      </c>
      <c r="D112" t="s">
        <v>8799</v>
      </c>
      <c r="E112" t="s">
        <v>8800</v>
      </c>
      <c r="F112" t="s">
        <v>8546</v>
      </c>
      <c r="G112" t="s">
        <v>8801</v>
      </c>
    </row>
    <row r="113" spans="1:7" ht="11.25" customHeight="1">
      <c r="A113" s="289" t="s">
        <v>14</v>
      </c>
      <c r="B113" t="s">
        <v>8802</v>
      </c>
      <c r="C113" t="s">
        <v>8803</v>
      </c>
      <c r="D113" t="s">
        <v>8802</v>
      </c>
      <c r="E113" t="s">
        <v>8803</v>
      </c>
      <c r="F113" t="s">
        <v>8537</v>
      </c>
      <c r="G113" t="s">
        <v>8804</v>
      </c>
    </row>
    <row r="114" spans="1:7" ht="11.25" customHeight="1">
      <c r="A114" s="289" t="s">
        <v>14</v>
      </c>
      <c r="B114" t="s">
        <v>8802</v>
      </c>
      <c r="C114" t="s">
        <v>8803</v>
      </c>
      <c r="D114" t="s">
        <v>8805</v>
      </c>
      <c r="E114" t="s">
        <v>8806</v>
      </c>
      <c r="F114" t="s">
        <v>8543</v>
      </c>
      <c r="G114" t="s">
        <v>8807</v>
      </c>
    </row>
    <row r="115" spans="1:7" ht="11.25" customHeight="1">
      <c r="A115" s="289" t="s">
        <v>14</v>
      </c>
      <c r="B115" t="s">
        <v>8802</v>
      </c>
      <c r="C115" t="s">
        <v>8803</v>
      </c>
      <c r="D115" t="s">
        <v>8808</v>
      </c>
      <c r="E115" t="s">
        <v>8809</v>
      </c>
      <c r="F115" t="s">
        <v>8540</v>
      </c>
      <c r="G115" t="s">
        <v>8810</v>
      </c>
    </row>
    <row r="116" spans="1:7" ht="11.25" customHeight="1">
      <c r="A116" s="289" t="s">
        <v>14</v>
      </c>
      <c r="B116" t="s">
        <v>8802</v>
      </c>
      <c r="C116" t="s">
        <v>8803</v>
      </c>
      <c r="D116" t="s">
        <v>8811</v>
      </c>
      <c r="E116" t="s">
        <v>8812</v>
      </c>
      <c r="F116" t="s">
        <v>8546</v>
      </c>
      <c r="G116" t="s">
        <v>8813</v>
      </c>
    </row>
    <row r="117" spans="1:7" ht="11.25" customHeight="1">
      <c r="A117" s="289" t="s">
        <v>14</v>
      </c>
      <c r="B117" t="s">
        <v>8802</v>
      </c>
      <c r="C117" t="s">
        <v>8803</v>
      </c>
      <c r="D117" t="s">
        <v>8814</v>
      </c>
      <c r="E117" t="s">
        <v>8815</v>
      </c>
      <c r="F117" t="s">
        <v>8546</v>
      </c>
      <c r="G117" t="s">
        <v>8816</v>
      </c>
    </row>
    <row r="118" spans="1:7" ht="11.25" customHeight="1">
      <c r="A118" s="289" t="s">
        <v>14</v>
      </c>
      <c r="B118" t="s">
        <v>8802</v>
      </c>
      <c r="C118" t="s">
        <v>8803</v>
      </c>
      <c r="D118" t="s">
        <v>8817</v>
      </c>
      <c r="E118" t="s">
        <v>8818</v>
      </c>
      <c r="F118" t="s">
        <v>8546</v>
      </c>
      <c r="G118" t="s">
        <v>8819</v>
      </c>
    </row>
    <row r="119" spans="1:7" ht="11.25" customHeight="1">
      <c r="A119" s="289" t="s">
        <v>14</v>
      </c>
      <c r="B119" t="s">
        <v>8802</v>
      </c>
      <c r="C119" t="s">
        <v>8803</v>
      </c>
      <c r="D119" t="s">
        <v>8820</v>
      </c>
      <c r="E119" t="s">
        <v>8821</v>
      </c>
      <c r="F119" t="s">
        <v>8546</v>
      </c>
      <c r="G119" t="s">
        <v>8822</v>
      </c>
    </row>
    <row r="120" spans="1:7" ht="11.25" customHeight="1">
      <c r="A120" s="289" t="s">
        <v>14</v>
      </c>
      <c r="B120" t="s">
        <v>8802</v>
      </c>
      <c r="C120" t="s">
        <v>8803</v>
      </c>
      <c r="D120" t="s">
        <v>8823</v>
      </c>
      <c r="E120" t="s">
        <v>8824</v>
      </c>
      <c r="F120" t="s">
        <v>8546</v>
      </c>
      <c r="G120" t="s">
        <v>8825</v>
      </c>
    </row>
    <row r="121" spans="1:7" ht="11.25" customHeight="1">
      <c r="A121" s="289" t="s">
        <v>14</v>
      </c>
      <c r="B121" t="s">
        <v>8802</v>
      </c>
      <c r="C121" t="s">
        <v>8803</v>
      </c>
      <c r="D121" t="s">
        <v>8826</v>
      </c>
      <c r="E121" t="s">
        <v>8827</v>
      </c>
      <c r="F121" t="s">
        <v>8546</v>
      </c>
      <c r="G121" t="s">
        <v>8828</v>
      </c>
    </row>
    <row r="122" spans="1:7" ht="11.25" customHeight="1">
      <c r="A122" s="289" t="s">
        <v>14</v>
      </c>
      <c r="B122" t="s">
        <v>8829</v>
      </c>
      <c r="C122" t="s">
        <v>8830</v>
      </c>
      <c r="D122" t="s">
        <v>8829</v>
      </c>
      <c r="E122" t="s">
        <v>8830</v>
      </c>
      <c r="F122" t="s">
        <v>8532</v>
      </c>
      <c r="G122" t="s">
        <v>8831</v>
      </c>
    </row>
    <row r="123" spans="1:7" ht="11.25" customHeight="1">
      <c r="A123" s="289" t="s">
        <v>14</v>
      </c>
      <c r="B123" t="s">
        <v>8832</v>
      </c>
      <c r="C123" t="s">
        <v>8833</v>
      </c>
      <c r="D123" t="s">
        <v>8832</v>
      </c>
      <c r="E123" t="s">
        <v>8833</v>
      </c>
      <c r="F123" t="s">
        <v>8537</v>
      </c>
      <c r="G123" t="s">
        <v>8834</v>
      </c>
    </row>
    <row r="124" spans="1:7" ht="11.25" customHeight="1">
      <c r="A124" s="289" t="s">
        <v>14</v>
      </c>
      <c r="B124" t="s">
        <v>8832</v>
      </c>
      <c r="C124" t="s">
        <v>8833</v>
      </c>
      <c r="D124" t="s">
        <v>8835</v>
      </c>
      <c r="E124" t="s">
        <v>8836</v>
      </c>
      <c r="F124" t="s">
        <v>8543</v>
      </c>
      <c r="G124" t="s">
        <v>8837</v>
      </c>
    </row>
    <row r="125" spans="1:7" ht="11.25" customHeight="1">
      <c r="A125" s="289" t="s">
        <v>14</v>
      </c>
      <c r="B125" t="s">
        <v>8832</v>
      </c>
      <c r="C125" t="s">
        <v>8833</v>
      </c>
      <c r="D125" t="s">
        <v>8838</v>
      </c>
      <c r="E125" t="s">
        <v>8839</v>
      </c>
      <c r="F125" t="s">
        <v>8540</v>
      </c>
      <c r="G125" t="s">
        <v>8840</v>
      </c>
    </row>
    <row r="126" spans="1:7" ht="11.25" customHeight="1">
      <c r="A126" s="289" t="s">
        <v>14</v>
      </c>
      <c r="B126" t="s">
        <v>8832</v>
      </c>
      <c r="C126" t="s">
        <v>8833</v>
      </c>
      <c r="D126" t="s">
        <v>8841</v>
      </c>
      <c r="E126" t="s">
        <v>8842</v>
      </c>
      <c r="F126" t="s">
        <v>8543</v>
      </c>
      <c r="G126" t="s">
        <v>8843</v>
      </c>
    </row>
    <row r="127" spans="1:7" ht="11.25" customHeight="1">
      <c r="A127" s="289" t="s">
        <v>14</v>
      </c>
      <c r="B127" t="s">
        <v>8832</v>
      </c>
      <c r="C127" t="s">
        <v>8833</v>
      </c>
      <c r="D127" t="s">
        <v>8844</v>
      </c>
      <c r="E127" t="s">
        <v>8845</v>
      </c>
      <c r="F127" t="s">
        <v>8543</v>
      </c>
      <c r="G127" t="s">
        <v>8846</v>
      </c>
    </row>
    <row r="128" spans="1:7" ht="11.25" customHeight="1">
      <c r="A128" s="289" t="s">
        <v>14</v>
      </c>
      <c r="B128" t="s">
        <v>8832</v>
      </c>
      <c r="C128" t="s">
        <v>8833</v>
      </c>
      <c r="D128" t="s">
        <v>8847</v>
      </c>
      <c r="E128" t="s">
        <v>8848</v>
      </c>
      <c r="F128" t="s">
        <v>8543</v>
      </c>
      <c r="G128" t="s">
        <v>8849</v>
      </c>
    </row>
    <row r="129" spans="1:7" ht="11.25" customHeight="1">
      <c r="A129" s="289" t="s">
        <v>14</v>
      </c>
      <c r="B129" t="s">
        <v>8850</v>
      </c>
      <c r="C129" t="s">
        <v>8851</v>
      </c>
      <c r="D129" t="s">
        <v>8850</v>
      </c>
      <c r="E129" t="s">
        <v>8851</v>
      </c>
      <c r="F129" t="s">
        <v>8532</v>
      </c>
      <c r="G129" t="s">
        <v>8852</v>
      </c>
    </row>
    <row r="130" spans="1:7" ht="11.25" customHeight="1">
      <c r="A130" s="289" t="s">
        <v>14</v>
      </c>
      <c r="B130" t="s">
        <v>8853</v>
      </c>
      <c r="C130" t="s">
        <v>8854</v>
      </c>
      <c r="D130" t="s">
        <v>8853</v>
      </c>
      <c r="E130" t="s">
        <v>8854</v>
      </c>
      <c r="F130" t="s">
        <v>8532</v>
      </c>
      <c r="G130" t="s">
        <v>8855</v>
      </c>
    </row>
    <row r="131" spans="1:7" ht="11.25" customHeight="1">
      <c r="A131" s="289" t="s">
        <v>14</v>
      </c>
      <c r="B131" t="s">
        <v>8856</v>
      </c>
      <c r="C131" t="s">
        <v>8857</v>
      </c>
      <c r="D131" t="s">
        <v>8856</v>
      </c>
      <c r="E131" t="s">
        <v>8857</v>
      </c>
      <c r="F131" t="s">
        <v>8537</v>
      </c>
      <c r="G131" t="s">
        <v>8858</v>
      </c>
    </row>
    <row r="132" spans="1:7" ht="11.25" customHeight="1">
      <c r="A132" s="289" t="s">
        <v>14</v>
      </c>
      <c r="B132" t="s">
        <v>8856</v>
      </c>
      <c r="C132" t="s">
        <v>8857</v>
      </c>
      <c r="D132" t="s">
        <v>8859</v>
      </c>
      <c r="E132" t="s">
        <v>8860</v>
      </c>
      <c r="F132" t="s">
        <v>8540</v>
      </c>
      <c r="G132" t="s">
        <v>8861</v>
      </c>
    </row>
    <row r="133" spans="1:7" ht="11.25" customHeight="1">
      <c r="A133" s="289" t="s">
        <v>14</v>
      </c>
      <c r="B133" t="s">
        <v>8856</v>
      </c>
      <c r="C133" t="s">
        <v>8857</v>
      </c>
      <c r="D133" t="s">
        <v>8862</v>
      </c>
      <c r="E133" t="s">
        <v>8863</v>
      </c>
      <c r="F133" t="s">
        <v>8543</v>
      </c>
      <c r="G133" t="s">
        <v>8864</v>
      </c>
    </row>
    <row r="134" spans="1:7" ht="11.25" customHeight="1">
      <c r="A134" s="289" t="s">
        <v>14</v>
      </c>
      <c r="B134" t="s">
        <v>8856</v>
      </c>
      <c r="C134" t="s">
        <v>8857</v>
      </c>
      <c r="D134" t="s">
        <v>8865</v>
      </c>
      <c r="E134" t="s">
        <v>8866</v>
      </c>
      <c r="F134" t="s">
        <v>8546</v>
      </c>
      <c r="G134" t="s">
        <v>8867</v>
      </c>
    </row>
    <row r="135" spans="1:7" ht="11.25" customHeight="1">
      <c r="A135" s="289" t="s">
        <v>14</v>
      </c>
      <c r="B135" t="s">
        <v>8856</v>
      </c>
      <c r="C135" t="s">
        <v>8857</v>
      </c>
      <c r="D135" t="s">
        <v>8868</v>
      </c>
      <c r="E135" t="s">
        <v>8869</v>
      </c>
      <c r="F135" t="s">
        <v>8546</v>
      </c>
      <c r="G135" t="s">
        <v>8870</v>
      </c>
    </row>
    <row r="136" spans="1:7" ht="11.25" customHeight="1">
      <c r="A136" s="289" t="s">
        <v>14</v>
      </c>
      <c r="B136" t="s">
        <v>8856</v>
      </c>
      <c r="C136" t="s">
        <v>8857</v>
      </c>
      <c r="D136" t="s">
        <v>8871</v>
      </c>
      <c r="E136" t="s">
        <v>8872</v>
      </c>
      <c r="F136" t="s">
        <v>8546</v>
      </c>
      <c r="G136" t="s">
        <v>8873</v>
      </c>
    </row>
    <row r="137" spans="1:7" ht="11.25" customHeight="1">
      <c r="A137" s="289" t="s">
        <v>14</v>
      </c>
      <c r="B137" t="s">
        <v>8856</v>
      </c>
      <c r="C137" t="s">
        <v>8857</v>
      </c>
      <c r="D137" t="s">
        <v>8874</v>
      </c>
      <c r="E137" t="s">
        <v>8875</v>
      </c>
      <c r="F137" t="s">
        <v>8546</v>
      </c>
      <c r="G137" t="s">
        <v>8876</v>
      </c>
    </row>
    <row r="138" spans="1:7" ht="11.25" customHeight="1">
      <c r="A138" s="289" t="s">
        <v>14</v>
      </c>
      <c r="B138" t="s">
        <v>8856</v>
      </c>
      <c r="C138" t="s">
        <v>8857</v>
      </c>
      <c r="D138" t="s">
        <v>8877</v>
      </c>
      <c r="E138" t="s">
        <v>8878</v>
      </c>
      <c r="F138" t="s">
        <v>8546</v>
      </c>
      <c r="G138" t="s">
        <v>8879</v>
      </c>
    </row>
    <row r="139" spans="1:7" ht="11.25" customHeight="1">
      <c r="A139" s="289" t="s">
        <v>14</v>
      </c>
      <c r="B139" t="s">
        <v>8856</v>
      </c>
      <c r="C139" t="s">
        <v>8857</v>
      </c>
      <c r="D139" t="s">
        <v>8880</v>
      </c>
      <c r="E139" t="s">
        <v>8881</v>
      </c>
      <c r="F139" t="s">
        <v>8546</v>
      </c>
      <c r="G139" t="s">
        <v>8882</v>
      </c>
    </row>
    <row r="140" spans="1:7" ht="11.25" customHeight="1">
      <c r="A140" s="289" t="s">
        <v>14</v>
      </c>
      <c r="B140" t="s">
        <v>8856</v>
      </c>
      <c r="C140" t="s">
        <v>8857</v>
      </c>
      <c r="D140" t="s">
        <v>8883</v>
      </c>
      <c r="E140" t="s">
        <v>8884</v>
      </c>
      <c r="F140" t="s">
        <v>8546</v>
      </c>
      <c r="G140" t="s">
        <v>8885</v>
      </c>
    </row>
    <row r="141" spans="1:7" ht="11.25" customHeight="1">
      <c r="A141" s="289" t="s">
        <v>14</v>
      </c>
      <c r="B141" t="s">
        <v>8856</v>
      </c>
      <c r="C141" t="s">
        <v>8857</v>
      </c>
      <c r="D141" t="s">
        <v>8886</v>
      </c>
      <c r="E141" t="s">
        <v>8887</v>
      </c>
      <c r="F141" t="s">
        <v>8546</v>
      </c>
      <c r="G141" t="s">
        <v>8888</v>
      </c>
    </row>
    <row r="142" spans="1:7" ht="11.25" customHeight="1">
      <c r="A142" s="289" t="s">
        <v>14</v>
      </c>
      <c r="B142" t="s">
        <v>8856</v>
      </c>
      <c r="C142" t="s">
        <v>8857</v>
      </c>
      <c r="D142" t="s">
        <v>8889</v>
      </c>
      <c r="E142" t="s">
        <v>8890</v>
      </c>
      <c r="F142" t="s">
        <v>8546</v>
      </c>
      <c r="G142" t="s">
        <v>8891</v>
      </c>
    </row>
    <row r="143" spans="1:7" ht="11.25" customHeight="1">
      <c r="A143" s="289" t="s">
        <v>14</v>
      </c>
      <c r="B143" t="s">
        <v>8892</v>
      </c>
      <c r="C143" t="s">
        <v>8893</v>
      </c>
      <c r="D143" t="s">
        <v>8892</v>
      </c>
      <c r="E143" t="s">
        <v>8893</v>
      </c>
      <c r="F143" t="s">
        <v>8537</v>
      </c>
      <c r="G143" t="s">
        <v>8894</v>
      </c>
    </row>
    <row r="144" spans="1:7" ht="11.25" customHeight="1">
      <c r="A144" s="289" t="s">
        <v>14</v>
      </c>
      <c r="B144" t="s">
        <v>8892</v>
      </c>
      <c r="C144" t="s">
        <v>8893</v>
      </c>
      <c r="D144" t="s">
        <v>8895</v>
      </c>
      <c r="E144" t="s">
        <v>8896</v>
      </c>
      <c r="F144" t="s">
        <v>8540</v>
      </c>
      <c r="G144" t="s">
        <v>8897</v>
      </c>
    </row>
    <row r="145" spans="1:7" ht="11.25" customHeight="1">
      <c r="A145" s="289" t="s">
        <v>14</v>
      </c>
      <c r="B145" t="s">
        <v>8892</v>
      </c>
      <c r="C145" t="s">
        <v>8893</v>
      </c>
      <c r="D145" t="s">
        <v>8898</v>
      </c>
      <c r="E145" t="s">
        <v>8899</v>
      </c>
      <c r="F145" t="s">
        <v>8543</v>
      </c>
      <c r="G145" t="s">
        <v>8900</v>
      </c>
    </row>
    <row r="146" spans="1:7" ht="11.25" customHeight="1">
      <c r="A146" s="289" t="s">
        <v>14</v>
      </c>
      <c r="B146" t="s">
        <v>8892</v>
      </c>
      <c r="C146" t="s">
        <v>8893</v>
      </c>
      <c r="D146" t="s">
        <v>8901</v>
      </c>
      <c r="E146" t="s">
        <v>8902</v>
      </c>
      <c r="F146" t="s">
        <v>8546</v>
      </c>
      <c r="G146" t="s">
        <v>8903</v>
      </c>
    </row>
    <row r="147" spans="1:7" ht="11.25" customHeight="1">
      <c r="A147" s="289" t="s">
        <v>14</v>
      </c>
      <c r="B147" t="s">
        <v>8904</v>
      </c>
      <c r="C147" t="s">
        <v>8905</v>
      </c>
      <c r="D147" t="s">
        <v>8904</v>
      </c>
      <c r="E147" t="s">
        <v>8905</v>
      </c>
      <c r="F147" t="s">
        <v>8532</v>
      </c>
      <c r="G147" t="s">
        <v>8906</v>
      </c>
    </row>
    <row r="148" spans="1:7" ht="11.25" customHeight="1">
      <c r="A148" s="289" t="s">
        <v>14</v>
      </c>
      <c r="B148" t="s">
        <v>8907</v>
      </c>
      <c r="C148" t="s">
        <v>8908</v>
      </c>
      <c r="D148" t="s">
        <v>8909</v>
      </c>
      <c r="E148" t="s">
        <v>8910</v>
      </c>
      <c r="F148" t="s">
        <v>8540</v>
      </c>
      <c r="G148" t="s">
        <v>8911</v>
      </c>
    </row>
    <row r="149" spans="1:7" ht="11.25" customHeight="1">
      <c r="A149" s="289" t="s">
        <v>14</v>
      </c>
      <c r="B149" t="s">
        <v>8907</v>
      </c>
      <c r="C149" t="s">
        <v>8908</v>
      </c>
      <c r="D149" t="s">
        <v>8907</v>
      </c>
      <c r="E149" t="s">
        <v>8908</v>
      </c>
      <c r="F149" t="s">
        <v>8537</v>
      </c>
      <c r="G149" t="s">
        <v>8912</v>
      </c>
    </row>
    <row r="150" spans="1:7" ht="11.25" customHeight="1">
      <c r="A150" s="289" t="s">
        <v>14</v>
      </c>
      <c r="B150" t="s">
        <v>8907</v>
      </c>
      <c r="C150" t="s">
        <v>8908</v>
      </c>
      <c r="D150" t="s">
        <v>8913</v>
      </c>
      <c r="E150" t="s">
        <v>8914</v>
      </c>
      <c r="F150" t="s">
        <v>8540</v>
      </c>
      <c r="G150" t="s">
        <v>8915</v>
      </c>
    </row>
    <row r="151" spans="1:7" ht="11.25" customHeight="1">
      <c r="A151" s="289" t="s">
        <v>14</v>
      </c>
      <c r="B151" t="s">
        <v>8907</v>
      </c>
      <c r="C151" t="s">
        <v>8908</v>
      </c>
      <c r="D151" t="s">
        <v>8916</v>
      </c>
      <c r="E151" t="s">
        <v>8917</v>
      </c>
      <c r="F151" t="s">
        <v>8540</v>
      </c>
      <c r="G151" t="s">
        <v>8918</v>
      </c>
    </row>
    <row r="152" spans="1:7" ht="11.25" customHeight="1">
      <c r="A152" s="289" t="s">
        <v>14</v>
      </c>
      <c r="B152" t="s">
        <v>8907</v>
      </c>
      <c r="C152" t="s">
        <v>8908</v>
      </c>
      <c r="D152" t="s">
        <v>8919</v>
      </c>
      <c r="E152" t="s">
        <v>8920</v>
      </c>
      <c r="F152" t="s">
        <v>8543</v>
      </c>
      <c r="G152" t="s">
        <v>8921</v>
      </c>
    </row>
    <row r="153" spans="1:7" ht="11.25" customHeight="1">
      <c r="A153" s="289" t="s">
        <v>14</v>
      </c>
      <c r="B153" t="s">
        <v>8907</v>
      </c>
      <c r="C153" t="s">
        <v>8908</v>
      </c>
      <c r="D153" t="s">
        <v>8922</v>
      </c>
      <c r="E153" t="s">
        <v>8923</v>
      </c>
      <c r="F153" t="s">
        <v>8543</v>
      </c>
      <c r="G153" t="s">
        <v>8924</v>
      </c>
    </row>
    <row r="154" spans="1:7" ht="11.25" customHeight="1">
      <c r="A154" s="289" t="s">
        <v>14</v>
      </c>
      <c r="B154" t="s">
        <v>8907</v>
      </c>
      <c r="C154" t="s">
        <v>8908</v>
      </c>
      <c r="D154" t="s">
        <v>8925</v>
      </c>
      <c r="E154" t="s">
        <v>8926</v>
      </c>
      <c r="F154" t="s">
        <v>8546</v>
      </c>
      <c r="G154" t="s">
        <v>8927</v>
      </c>
    </row>
    <row r="155" spans="1:7" ht="11.25" customHeight="1">
      <c r="A155" s="289" t="s">
        <v>14</v>
      </c>
      <c r="B155" t="s">
        <v>8907</v>
      </c>
      <c r="C155" t="s">
        <v>8908</v>
      </c>
      <c r="D155" t="s">
        <v>8928</v>
      </c>
      <c r="E155" t="s">
        <v>8929</v>
      </c>
      <c r="F155" t="s">
        <v>8546</v>
      </c>
      <c r="G155" t="s">
        <v>8930</v>
      </c>
    </row>
    <row r="156" spans="1:7" ht="11.25" customHeight="1">
      <c r="A156" s="289" t="s">
        <v>14</v>
      </c>
      <c r="B156" t="s">
        <v>8907</v>
      </c>
      <c r="C156" t="s">
        <v>8908</v>
      </c>
      <c r="D156" t="s">
        <v>8931</v>
      </c>
      <c r="E156" t="s">
        <v>8932</v>
      </c>
      <c r="F156" t="s">
        <v>8546</v>
      </c>
      <c r="G156" t="s">
        <v>8933</v>
      </c>
    </row>
    <row r="157" spans="1:7" ht="11.25" customHeight="1">
      <c r="A157" s="289" t="s">
        <v>14</v>
      </c>
      <c r="B157" t="s">
        <v>8907</v>
      </c>
      <c r="C157" t="s">
        <v>8908</v>
      </c>
      <c r="D157" t="s">
        <v>8934</v>
      </c>
      <c r="E157" t="s">
        <v>8935</v>
      </c>
      <c r="F157" t="s">
        <v>8546</v>
      </c>
      <c r="G157" t="s">
        <v>8936</v>
      </c>
    </row>
    <row r="158" spans="1:7" ht="11.25" customHeight="1">
      <c r="A158" s="289" t="s">
        <v>14</v>
      </c>
      <c r="B158" t="s">
        <v>8937</v>
      </c>
      <c r="C158" t="s">
        <v>8938</v>
      </c>
      <c r="D158" t="s">
        <v>8937</v>
      </c>
      <c r="E158" t="s">
        <v>8938</v>
      </c>
      <c r="F158" t="s">
        <v>8537</v>
      </c>
      <c r="G158" t="s">
        <v>8939</v>
      </c>
    </row>
    <row r="159" spans="1:7" ht="11.25" customHeight="1">
      <c r="A159" s="289" t="s">
        <v>14</v>
      </c>
      <c r="B159" t="s">
        <v>8937</v>
      </c>
      <c r="C159" t="s">
        <v>8938</v>
      </c>
      <c r="D159" t="s">
        <v>8940</v>
      </c>
      <c r="E159" t="s">
        <v>8941</v>
      </c>
      <c r="F159" t="s">
        <v>8540</v>
      </c>
      <c r="G159" t="s">
        <v>8942</v>
      </c>
    </row>
    <row r="160" spans="1:7" ht="11.25" customHeight="1">
      <c r="A160" s="289" t="s">
        <v>14</v>
      </c>
      <c r="B160" t="s">
        <v>8937</v>
      </c>
      <c r="C160" t="s">
        <v>8938</v>
      </c>
      <c r="D160" t="s">
        <v>8943</v>
      </c>
      <c r="E160" t="s">
        <v>8944</v>
      </c>
      <c r="F160" t="s">
        <v>8543</v>
      </c>
      <c r="G160" t="s">
        <v>8945</v>
      </c>
    </row>
    <row r="161" spans="1:7" ht="11.25" customHeight="1">
      <c r="A161" s="289" t="s">
        <v>14</v>
      </c>
      <c r="B161" t="s">
        <v>8937</v>
      </c>
      <c r="C161" t="s">
        <v>8938</v>
      </c>
      <c r="D161" t="s">
        <v>8946</v>
      </c>
      <c r="E161" t="s">
        <v>8947</v>
      </c>
      <c r="F161" t="s">
        <v>8540</v>
      </c>
      <c r="G161" t="s">
        <v>8948</v>
      </c>
    </row>
    <row r="162" spans="1:7" ht="11.25" customHeight="1">
      <c r="A162" s="289" t="s">
        <v>14</v>
      </c>
      <c r="B162" t="s">
        <v>8937</v>
      </c>
      <c r="C162" t="s">
        <v>8938</v>
      </c>
      <c r="D162" t="s">
        <v>8949</v>
      </c>
      <c r="E162" t="s">
        <v>8950</v>
      </c>
      <c r="F162" t="s">
        <v>8540</v>
      </c>
      <c r="G162" t="s">
        <v>8951</v>
      </c>
    </row>
    <row r="163" spans="1:7" ht="11.25" customHeight="1">
      <c r="A163" s="289" t="s">
        <v>14</v>
      </c>
      <c r="B163" t="s">
        <v>8937</v>
      </c>
      <c r="C163" t="s">
        <v>8938</v>
      </c>
      <c r="D163" t="s">
        <v>8952</v>
      </c>
      <c r="E163" t="s">
        <v>8953</v>
      </c>
      <c r="F163" t="s">
        <v>8543</v>
      </c>
      <c r="G163" t="s">
        <v>8954</v>
      </c>
    </row>
    <row r="164" spans="1:7" ht="11.25" customHeight="1">
      <c r="A164" s="289" t="s">
        <v>14</v>
      </c>
      <c r="B164" t="s">
        <v>8937</v>
      </c>
      <c r="C164" t="s">
        <v>8938</v>
      </c>
      <c r="D164" t="s">
        <v>8955</v>
      </c>
      <c r="E164" t="s">
        <v>8956</v>
      </c>
      <c r="F164" t="s">
        <v>8546</v>
      </c>
      <c r="G164" t="s">
        <v>8957</v>
      </c>
    </row>
    <row r="165" spans="1:7" ht="11.25" customHeight="1">
      <c r="A165" s="289" t="s">
        <v>14</v>
      </c>
      <c r="B165" t="s">
        <v>8937</v>
      </c>
      <c r="C165" t="s">
        <v>8938</v>
      </c>
      <c r="D165" t="s">
        <v>8958</v>
      </c>
      <c r="E165" t="s">
        <v>8959</v>
      </c>
      <c r="F165" t="s">
        <v>8546</v>
      </c>
      <c r="G165" t="s">
        <v>8960</v>
      </c>
    </row>
    <row r="166" spans="1:7" ht="11.25" customHeight="1">
      <c r="A166" s="289" t="s">
        <v>14</v>
      </c>
      <c r="B166" t="s">
        <v>8937</v>
      </c>
      <c r="C166" t="s">
        <v>8938</v>
      </c>
      <c r="D166" t="s">
        <v>8961</v>
      </c>
      <c r="E166" t="s">
        <v>8962</v>
      </c>
      <c r="F166" t="s">
        <v>8546</v>
      </c>
      <c r="G166" t="s">
        <v>8963</v>
      </c>
    </row>
    <row r="167" spans="1:7" ht="11.25" customHeight="1">
      <c r="A167" s="289" t="s">
        <v>14</v>
      </c>
      <c r="B167" t="s">
        <v>8937</v>
      </c>
      <c r="C167" t="s">
        <v>8938</v>
      </c>
      <c r="D167" t="s">
        <v>8964</v>
      </c>
      <c r="E167" t="s">
        <v>8965</v>
      </c>
      <c r="F167" t="s">
        <v>8546</v>
      </c>
      <c r="G167" t="s">
        <v>8966</v>
      </c>
    </row>
    <row r="168" spans="1:7" ht="11.25" customHeight="1">
      <c r="A168" s="289" t="s">
        <v>14</v>
      </c>
      <c r="B168" t="s">
        <v>8937</v>
      </c>
      <c r="C168" t="s">
        <v>8938</v>
      </c>
      <c r="D168" t="s">
        <v>8967</v>
      </c>
      <c r="E168" t="s">
        <v>8968</v>
      </c>
      <c r="F168" t="s">
        <v>8546</v>
      </c>
      <c r="G168" t="s">
        <v>8969</v>
      </c>
    </row>
    <row r="169" spans="1:7" ht="11.25" customHeight="1">
      <c r="A169" s="289" t="s">
        <v>14</v>
      </c>
      <c r="B169" t="s">
        <v>8970</v>
      </c>
      <c r="C169" t="s">
        <v>8971</v>
      </c>
      <c r="D169" t="s">
        <v>8970</v>
      </c>
      <c r="E169" t="s">
        <v>8971</v>
      </c>
      <c r="F169" t="s">
        <v>8532</v>
      </c>
      <c r="G169" t="s">
        <v>8972</v>
      </c>
    </row>
    <row r="170" spans="1:7" ht="11.25" customHeight="1">
      <c r="A170" s="289" t="s">
        <v>14</v>
      </c>
      <c r="B170" t="s">
        <v>8973</v>
      </c>
      <c r="C170" t="s">
        <v>8974</v>
      </c>
      <c r="D170" t="s">
        <v>8973</v>
      </c>
      <c r="E170" t="s">
        <v>8974</v>
      </c>
      <c r="F170" t="s">
        <v>8537</v>
      </c>
      <c r="G170" t="s">
        <v>8975</v>
      </c>
    </row>
    <row r="171" spans="1:7" ht="11.25" customHeight="1">
      <c r="A171" s="289" t="s">
        <v>14</v>
      </c>
      <c r="B171" t="s">
        <v>8973</v>
      </c>
      <c r="C171" t="s">
        <v>8974</v>
      </c>
      <c r="D171" t="s">
        <v>8976</v>
      </c>
      <c r="E171" t="s">
        <v>8977</v>
      </c>
      <c r="F171" t="s">
        <v>8543</v>
      </c>
      <c r="G171" t="s">
        <v>8978</v>
      </c>
    </row>
    <row r="172" spans="1:7" ht="11.25" customHeight="1">
      <c r="A172" s="289" t="s">
        <v>14</v>
      </c>
      <c r="B172" t="s">
        <v>8973</v>
      </c>
      <c r="C172" t="s">
        <v>8974</v>
      </c>
      <c r="D172" t="s">
        <v>8979</v>
      </c>
      <c r="E172" t="s">
        <v>8980</v>
      </c>
      <c r="F172" t="s">
        <v>8540</v>
      </c>
      <c r="G172" t="s">
        <v>8981</v>
      </c>
    </row>
    <row r="173" spans="1:7" ht="11.25" customHeight="1">
      <c r="A173" s="289" t="s">
        <v>14</v>
      </c>
      <c r="B173" t="s">
        <v>8973</v>
      </c>
      <c r="C173" t="s">
        <v>8974</v>
      </c>
      <c r="D173" t="s">
        <v>8982</v>
      </c>
      <c r="E173" t="s">
        <v>8983</v>
      </c>
      <c r="F173" t="s">
        <v>8543</v>
      </c>
      <c r="G173" t="s">
        <v>8984</v>
      </c>
    </row>
    <row r="174" spans="1:7" ht="11.25" customHeight="1">
      <c r="A174" s="289" t="s">
        <v>14</v>
      </c>
      <c r="B174" t="s">
        <v>8973</v>
      </c>
      <c r="C174" t="s">
        <v>8974</v>
      </c>
      <c r="D174" t="s">
        <v>8985</v>
      </c>
      <c r="E174" t="s">
        <v>8986</v>
      </c>
      <c r="F174" t="s">
        <v>8540</v>
      </c>
      <c r="G174" t="s">
        <v>8987</v>
      </c>
    </row>
    <row r="175" spans="1:7" ht="11.25" customHeight="1">
      <c r="A175" s="289" t="s">
        <v>14</v>
      </c>
      <c r="B175" t="s">
        <v>8973</v>
      </c>
      <c r="C175" t="s">
        <v>8974</v>
      </c>
      <c r="D175" t="s">
        <v>8988</v>
      </c>
      <c r="E175" t="s">
        <v>8989</v>
      </c>
      <c r="F175" t="s">
        <v>8543</v>
      </c>
      <c r="G175" t="s">
        <v>8990</v>
      </c>
    </row>
    <row r="176" spans="1:7" ht="11.25" customHeight="1">
      <c r="A176" s="289" t="s">
        <v>14</v>
      </c>
      <c r="B176" t="s">
        <v>8973</v>
      </c>
      <c r="C176" t="s">
        <v>8974</v>
      </c>
      <c r="D176" t="s">
        <v>8991</v>
      </c>
      <c r="E176" t="s">
        <v>8992</v>
      </c>
      <c r="F176" t="s">
        <v>8543</v>
      </c>
      <c r="G176" t="s">
        <v>8993</v>
      </c>
    </row>
    <row r="177" spans="1:7" ht="11.25" customHeight="1">
      <c r="A177" s="289" t="s">
        <v>14</v>
      </c>
      <c r="B177" t="s">
        <v>8973</v>
      </c>
      <c r="C177" t="s">
        <v>8974</v>
      </c>
      <c r="D177" t="s">
        <v>8994</v>
      </c>
      <c r="E177" t="s">
        <v>8995</v>
      </c>
      <c r="F177" t="s">
        <v>8540</v>
      </c>
      <c r="G177" t="s">
        <v>8996</v>
      </c>
    </row>
    <row r="178" spans="1:7" ht="11.25" customHeight="1">
      <c r="A178" s="289" t="s">
        <v>14</v>
      </c>
      <c r="B178" t="s">
        <v>8973</v>
      </c>
      <c r="C178" t="s">
        <v>8974</v>
      </c>
      <c r="D178" t="s">
        <v>8997</v>
      </c>
      <c r="E178" t="s">
        <v>8998</v>
      </c>
      <c r="F178" t="s">
        <v>8546</v>
      </c>
      <c r="G178" t="s">
        <v>8999</v>
      </c>
    </row>
    <row r="179" spans="1:7" ht="11.25" customHeight="1">
      <c r="A179" s="289" t="s">
        <v>14</v>
      </c>
      <c r="B179" t="s">
        <v>8973</v>
      </c>
      <c r="C179" t="s">
        <v>8974</v>
      </c>
      <c r="D179" t="s">
        <v>9000</v>
      </c>
      <c r="E179" t="s">
        <v>9001</v>
      </c>
      <c r="F179" t="s">
        <v>8546</v>
      </c>
      <c r="G179" t="s">
        <v>9002</v>
      </c>
    </row>
    <row r="180" spans="1:7" ht="11.25" customHeight="1">
      <c r="A180" s="289" t="s">
        <v>14</v>
      </c>
      <c r="B180" t="s">
        <v>8973</v>
      </c>
      <c r="C180" t="s">
        <v>8974</v>
      </c>
      <c r="D180" t="s">
        <v>9003</v>
      </c>
      <c r="E180" t="s">
        <v>9004</v>
      </c>
      <c r="F180" t="s">
        <v>8546</v>
      </c>
      <c r="G180" t="s">
        <v>9005</v>
      </c>
    </row>
    <row r="181" spans="1:7" ht="11.25" customHeight="1">
      <c r="A181" s="289" t="s">
        <v>14</v>
      </c>
      <c r="B181" t="s">
        <v>8973</v>
      </c>
      <c r="C181" t="s">
        <v>8974</v>
      </c>
      <c r="D181" t="s">
        <v>9006</v>
      </c>
      <c r="E181" t="s">
        <v>9007</v>
      </c>
      <c r="F181" t="s">
        <v>8546</v>
      </c>
      <c r="G181" t="s">
        <v>9008</v>
      </c>
    </row>
    <row r="182" spans="1:7" ht="11.25" customHeight="1">
      <c r="A182" s="289" t="s">
        <v>14</v>
      </c>
      <c r="B182" t="s">
        <v>8973</v>
      </c>
      <c r="C182" t="s">
        <v>8974</v>
      </c>
      <c r="D182" t="s">
        <v>9009</v>
      </c>
      <c r="E182" t="s">
        <v>9010</v>
      </c>
      <c r="F182" t="s">
        <v>8546</v>
      </c>
      <c r="G182" t="s">
        <v>9011</v>
      </c>
    </row>
    <row r="183" spans="1:7" ht="11.25" customHeight="1">
      <c r="A183" s="289" t="s">
        <v>14</v>
      </c>
      <c r="B183" t="s">
        <v>8973</v>
      </c>
      <c r="C183" t="s">
        <v>8974</v>
      </c>
      <c r="D183" t="s">
        <v>9012</v>
      </c>
      <c r="E183" t="s">
        <v>9013</v>
      </c>
      <c r="F183" t="s">
        <v>8546</v>
      </c>
      <c r="G183" t="s">
        <v>9014</v>
      </c>
    </row>
    <row r="184" spans="1:7" ht="11.25" customHeight="1">
      <c r="A184" s="289" t="s">
        <v>14</v>
      </c>
      <c r="B184" t="s">
        <v>8973</v>
      </c>
      <c r="C184" t="s">
        <v>8974</v>
      </c>
      <c r="D184" t="s">
        <v>9015</v>
      </c>
      <c r="E184" t="s">
        <v>9016</v>
      </c>
      <c r="F184" t="s">
        <v>8546</v>
      </c>
      <c r="G184" t="s">
        <v>9017</v>
      </c>
    </row>
    <row r="185" spans="1:7" ht="11.25" customHeight="1">
      <c r="A185" s="289" t="s">
        <v>14</v>
      </c>
      <c r="B185" t="s">
        <v>8973</v>
      </c>
      <c r="C185" t="s">
        <v>8974</v>
      </c>
      <c r="D185" t="s">
        <v>9018</v>
      </c>
      <c r="E185" t="s">
        <v>9019</v>
      </c>
      <c r="F185" t="s">
        <v>8546</v>
      </c>
      <c r="G185" t="s">
        <v>9020</v>
      </c>
    </row>
    <row r="186" spans="1:7" ht="11.25" customHeight="1">
      <c r="A186" s="289" t="s">
        <v>14</v>
      </c>
      <c r="B186" t="s">
        <v>8973</v>
      </c>
      <c r="C186" t="s">
        <v>8974</v>
      </c>
      <c r="D186" t="s">
        <v>9021</v>
      </c>
      <c r="E186" t="s">
        <v>9022</v>
      </c>
      <c r="F186" t="s">
        <v>8546</v>
      </c>
      <c r="G186" t="s">
        <v>9023</v>
      </c>
    </row>
    <row r="187" spans="1:7" ht="11.25" customHeight="1">
      <c r="A187" s="289" t="s">
        <v>14</v>
      </c>
      <c r="B187" t="s">
        <v>9024</v>
      </c>
      <c r="C187" t="s">
        <v>9025</v>
      </c>
      <c r="D187" t="s">
        <v>9024</v>
      </c>
      <c r="E187" t="s">
        <v>9025</v>
      </c>
      <c r="F187" t="s">
        <v>8537</v>
      </c>
      <c r="G187" t="s">
        <v>9026</v>
      </c>
    </row>
    <row r="188" spans="1:7" ht="11.25" customHeight="1">
      <c r="A188" s="289" t="s">
        <v>14</v>
      </c>
      <c r="B188" t="s">
        <v>9024</v>
      </c>
      <c r="C188" t="s">
        <v>9025</v>
      </c>
      <c r="D188" t="s">
        <v>9027</v>
      </c>
      <c r="E188" t="s">
        <v>9028</v>
      </c>
      <c r="F188" t="s">
        <v>8540</v>
      </c>
      <c r="G188" t="s">
        <v>9029</v>
      </c>
    </row>
    <row r="189" spans="1:7" ht="11.25" customHeight="1">
      <c r="A189" s="289" t="s">
        <v>14</v>
      </c>
      <c r="B189" t="s">
        <v>9024</v>
      </c>
      <c r="C189" t="s">
        <v>9025</v>
      </c>
      <c r="D189" t="s">
        <v>9030</v>
      </c>
      <c r="E189" t="s">
        <v>9031</v>
      </c>
      <c r="F189" t="s">
        <v>8546</v>
      </c>
      <c r="G189" t="s">
        <v>9032</v>
      </c>
    </row>
    <row r="190" spans="1:7" ht="11.25" customHeight="1">
      <c r="A190" s="289" t="s">
        <v>14</v>
      </c>
      <c r="B190" t="s">
        <v>9024</v>
      </c>
      <c r="C190" t="s">
        <v>9025</v>
      </c>
      <c r="D190" t="s">
        <v>9033</v>
      </c>
      <c r="E190" t="s">
        <v>9034</v>
      </c>
      <c r="F190" t="s">
        <v>8546</v>
      </c>
      <c r="G190" t="s">
        <v>9035</v>
      </c>
    </row>
    <row r="191" spans="1:7" ht="11.25" customHeight="1">
      <c r="A191" s="289" t="s">
        <v>14</v>
      </c>
      <c r="B191" t="s">
        <v>9036</v>
      </c>
      <c r="C191" t="s">
        <v>9037</v>
      </c>
      <c r="D191" t="s">
        <v>9036</v>
      </c>
      <c r="E191" t="s">
        <v>9037</v>
      </c>
      <c r="F191" t="s">
        <v>8532</v>
      </c>
      <c r="G191" t="s">
        <v>9038</v>
      </c>
    </row>
    <row r="192" spans="1:7" ht="11.25" customHeight="1">
      <c r="A192" s="289" t="s">
        <v>14</v>
      </c>
      <c r="B192" t="s">
        <v>9039</v>
      </c>
      <c r="C192" t="s">
        <v>9040</v>
      </c>
      <c r="D192" t="s">
        <v>9039</v>
      </c>
      <c r="E192" t="s">
        <v>9040</v>
      </c>
      <c r="F192" t="s">
        <v>8537</v>
      </c>
      <c r="G192" t="s">
        <v>9041</v>
      </c>
    </row>
    <row r="193" spans="1:7" ht="11.25" customHeight="1">
      <c r="A193" s="289" t="s">
        <v>14</v>
      </c>
      <c r="B193" t="s">
        <v>9039</v>
      </c>
      <c r="C193" t="s">
        <v>9040</v>
      </c>
      <c r="D193" t="s">
        <v>9042</v>
      </c>
      <c r="E193" t="s">
        <v>9043</v>
      </c>
      <c r="F193" t="s">
        <v>8540</v>
      </c>
      <c r="G193" t="s">
        <v>9044</v>
      </c>
    </row>
    <row r="194" spans="1:7" ht="11.25" customHeight="1">
      <c r="A194" s="289" t="s">
        <v>14</v>
      </c>
      <c r="B194" t="s">
        <v>9039</v>
      </c>
      <c r="C194" t="s">
        <v>9040</v>
      </c>
      <c r="D194" t="s">
        <v>9045</v>
      </c>
      <c r="E194" t="s">
        <v>9046</v>
      </c>
      <c r="F194" t="s">
        <v>8540</v>
      </c>
      <c r="G194" t="s">
        <v>9047</v>
      </c>
    </row>
    <row r="195" spans="1:7" ht="11.25" customHeight="1">
      <c r="A195" s="289" t="s">
        <v>14</v>
      </c>
      <c r="B195" t="s">
        <v>9039</v>
      </c>
      <c r="C195" t="s">
        <v>9040</v>
      </c>
      <c r="D195" t="s">
        <v>9048</v>
      </c>
      <c r="E195" t="s">
        <v>9049</v>
      </c>
      <c r="F195" t="s">
        <v>8540</v>
      </c>
      <c r="G195" t="s">
        <v>9050</v>
      </c>
    </row>
    <row r="196" spans="1:7" ht="11.25" customHeight="1">
      <c r="A196" s="289" t="s">
        <v>14</v>
      </c>
      <c r="B196" t="s">
        <v>9039</v>
      </c>
      <c r="C196" t="s">
        <v>9040</v>
      </c>
      <c r="D196" t="s">
        <v>9051</v>
      </c>
      <c r="E196" t="s">
        <v>9052</v>
      </c>
      <c r="F196" t="s">
        <v>8546</v>
      </c>
      <c r="G196" t="s">
        <v>9053</v>
      </c>
    </row>
    <row r="197" spans="1:7" ht="11.25" customHeight="1">
      <c r="A197" s="289" t="s">
        <v>14</v>
      </c>
      <c r="B197" t="s">
        <v>9039</v>
      </c>
      <c r="C197" t="s">
        <v>9040</v>
      </c>
      <c r="D197" t="s">
        <v>9054</v>
      </c>
      <c r="E197" t="s">
        <v>9055</v>
      </c>
      <c r="F197" t="s">
        <v>8546</v>
      </c>
      <c r="G197" t="s">
        <v>9056</v>
      </c>
    </row>
    <row r="198" spans="1:7" ht="11.25" customHeight="1">
      <c r="A198" s="289" t="s">
        <v>14</v>
      </c>
      <c r="B198" t="s">
        <v>9039</v>
      </c>
      <c r="C198" t="s">
        <v>9040</v>
      </c>
      <c r="D198" t="s">
        <v>9000</v>
      </c>
      <c r="E198" t="s">
        <v>9057</v>
      </c>
      <c r="F198" t="s">
        <v>8546</v>
      </c>
      <c r="G198" t="s">
        <v>9058</v>
      </c>
    </row>
    <row r="199" spans="1:7" ht="11.25" customHeight="1">
      <c r="A199" s="289" t="s">
        <v>14</v>
      </c>
      <c r="B199" t="s">
        <v>9039</v>
      </c>
      <c r="C199" t="s">
        <v>9040</v>
      </c>
      <c r="D199" t="s">
        <v>9059</v>
      </c>
      <c r="E199" t="s">
        <v>9060</v>
      </c>
      <c r="F199" t="s">
        <v>8546</v>
      </c>
      <c r="G199" t="s">
        <v>9061</v>
      </c>
    </row>
    <row r="200" spans="1:7" ht="11.25" customHeight="1">
      <c r="A200" s="289" t="s">
        <v>14</v>
      </c>
      <c r="B200" t="s">
        <v>9039</v>
      </c>
      <c r="C200" t="s">
        <v>9040</v>
      </c>
      <c r="D200" t="s">
        <v>9062</v>
      </c>
      <c r="E200" t="s">
        <v>9063</v>
      </c>
      <c r="F200" t="s">
        <v>8546</v>
      </c>
      <c r="G200" t="s">
        <v>9064</v>
      </c>
    </row>
    <row r="201" spans="1:7" ht="11.25" customHeight="1">
      <c r="A201" s="289" t="s">
        <v>14</v>
      </c>
      <c r="B201" t="s">
        <v>9039</v>
      </c>
      <c r="C201" t="s">
        <v>9040</v>
      </c>
      <c r="D201" t="s">
        <v>9065</v>
      </c>
      <c r="E201" t="s">
        <v>9066</v>
      </c>
      <c r="F201" t="s">
        <v>8546</v>
      </c>
      <c r="G201" t="s">
        <v>9067</v>
      </c>
    </row>
    <row r="202" spans="1:7" ht="11.25" customHeight="1">
      <c r="A202" s="289" t="s">
        <v>14</v>
      </c>
      <c r="B202" t="s">
        <v>9039</v>
      </c>
      <c r="C202" t="s">
        <v>9040</v>
      </c>
      <c r="D202" t="s">
        <v>8751</v>
      </c>
      <c r="E202" t="s">
        <v>9068</v>
      </c>
      <c r="F202" t="s">
        <v>8546</v>
      </c>
      <c r="G202" t="s">
        <v>9069</v>
      </c>
    </row>
    <row r="203" spans="1:7" ht="11.25" customHeight="1">
      <c r="A203" s="289" t="s">
        <v>14</v>
      </c>
      <c r="B203" t="s">
        <v>9039</v>
      </c>
      <c r="C203" t="s">
        <v>9040</v>
      </c>
      <c r="D203" t="s">
        <v>9070</v>
      </c>
      <c r="E203" t="s">
        <v>9071</v>
      </c>
      <c r="F203" t="s">
        <v>8546</v>
      </c>
      <c r="G203" t="s">
        <v>9072</v>
      </c>
    </row>
    <row r="204" spans="1:7" ht="11.25" customHeight="1">
      <c r="A204" s="289" t="s">
        <v>14</v>
      </c>
      <c r="B204" t="s">
        <v>9039</v>
      </c>
      <c r="C204" t="s">
        <v>9040</v>
      </c>
      <c r="D204" t="s">
        <v>9073</v>
      </c>
      <c r="E204" t="s">
        <v>9074</v>
      </c>
      <c r="F204" t="s">
        <v>8546</v>
      </c>
      <c r="G204" t="s">
        <v>9075</v>
      </c>
    </row>
    <row r="205" spans="1:7" ht="11.25" customHeight="1">
      <c r="A205" s="289" t="s">
        <v>14</v>
      </c>
      <c r="B205" t="s">
        <v>9039</v>
      </c>
      <c r="C205" t="s">
        <v>9040</v>
      </c>
      <c r="D205" t="s">
        <v>9076</v>
      </c>
      <c r="E205" t="s">
        <v>9077</v>
      </c>
      <c r="F205" t="s">
        <v>8546</v>
      </c>
      <c r="G205" t="s">
        <v>9078</v>
      </c>
    </row>
    <row r="206" spans="1:7" ht="11.25" customHeight="1">
      <c r="A206" s="289" t="s">
        <v>14</v>
      </c>
      <c r="B206" t="s">
        <v>9079</v>
      </c>
      <c r="C206" t="s">
        <v>9080</v>
      </c>
      <c r="D206" t="s">
        <v>9079</v>
      </c>
      <c r="E206" t="s">
        <v>9080</v>
      </c>
      <c r="F206" t="s">
        <v>8532</v>
      </c>
      <c r="G206" t="s">
        <v>9081</v>
      </c>
    </row>
    <row r="207" spans="1:7" ht="11.25" customHeight="1">
      <c r="A207" s="289" t="s">
        <v>14</v>
      </c>
      <c r="B207" t="s">
        <v>9082</v>
      </c>
      <c r="C207" t="s">
        <v>9083</v>
      </c>
      <c r="D207" t="s">
        <v>9082</v>
      </c>
      <c r="E207" t="s">
        <v>9083</v>
      </c>
      <c r="F207" t="s">
        <v>8537</v>
      </c>
      <c r="G207" t="s">
        <v>9084</v>
      </c>
    </row>
    <row r="208" spans="1:7" ht="11.25" customHeight="1">
      <c r="A208" s="289" t="s">
        <v>14</v>
      </c>
      <c r="B208" t="s">
        <v>9082</v>
      </c>
      <c r="C208" t="s">
        <v>9083</v>
      </c>
      <c r="D208" t="s">
        <v>9085</v>
      </c>
      <c r="E208" t="s">
        <v>9086</v>
      </c>
      <c r="F208" t="s">
        <v>8543</v>
      </c>
      <c r="G208" t="s">
        <v>9087</v>
      </c>
    </row>
    <row r="209" spans="1:7" ht="11.25" customHeight="1">
      <c r="A209" s="289" t="s">
        <v>14</v>
      </c>
      <c r="B209" t="s">
        <v>9082</v>
      </c>
      <c r="C209" t="s">
        <v>9083</v>
      </c>
      <c r="D209" t="s">
        <v>9088</v>
      </c>
      <c r="E209" t="s">
        <v>9089</v>
      </c>
      <c r="F209" t="s">
        <v>8540</v>
      </c>
      <c r="G209" t="s">
        <v>9090</v>
      </c>
    </row>
    <row r="210" spans="1:7" ht="11.25" customHeight="1">
      <c r="A210" s="289" t="s">
        <v>14</v>
      </c>
      <c r="B210" t="s">
        <v>9082</v>
      </c>
      <c r="C210" t="s">
        <v>9083</v>
      </c>
      <c r="D210" t="s">
        <v>9091</v>
      </c>
      <c r="E210" t="s">
        <v>9092</v>
      </c>
      <c r="F210" t="s">
        <v>8546</v>
      </c>
      <c r="G210" t="s">
        <v>9093</v>
      </c>
    </row>
    <row r="211" spans="1:7" ht="11.25" customHeight="1">
      <c r="A211" s="289" t="s">
        <v>14</v>
      </c>
      <c r="B211" t="s">
        <v>9082</v>
      </c>
      <c r="C211" t="s">
        <v>9083</v>
      </c>
      <c r="D211" t="s">
        <v>9094</v>
      </c>
      <c r="E211" t="s">
        <v>9095</v>
      </c>
      <c r="F211" t="s">
        <v>8546</v>
      </c>
      <c r="G211" t="s">
        <v>9096</v>
      </c>
    </row>
    <row r="212" spans="1:7" ht="11.25" customHeight="1">
      <c r="A212" s="289" t="s">
        <v>14</v>
      </c>
      <c r="B212" t="s">
        <v>9082</v>
      </c>
      <c r="C212" t="s">
        <v>9083</v>
      </c>
      <c r="D212" t="s">
        <v>9097</v>
      </c>
      <c r="E212" t="s">
        <v>9098</v>
      </c>
      <c r="F212" t="s">
        <v>8546</v>
      </c>
      <c r="G212" t="s">
        <v>9099</v>
      </c>
    </row>
    <row r="213" spans="1:7" ht="11.25" customHeight="1">
      <c r="A213" s="289" t="s">
        <v>14</v>
      </c>
      <c r="B213" t="s">
        <v>9082</v>
      </c>
      <c r="C213" t="s">
        <v>9083</v>
      </c>
      <c r="D213" t="s">
        <v>9100</v>
      </c>
      <c r="E213" t="s">
        <v>9101</v>
      </c>
      <c r="F213" t="s">
        <v>8546</v>
      </c>
      <c r="G213" t="s">
        <v>9102</v>
      </c>
    </row>
    <row r="214" spans="1:7" ht="11.25" customHeight="1">
      <c r="A214" s="289" t="s">
        <v>14</v>
      </c>
      <c r="B214" t="s">
        <v>9103</v>
      </c>
      <c r="C214" t="s">
        <v>9104</v>
      </c>
      <c r="D214" t="s">
        <v>9105</v>
      </c>
      <c r="E214" t="s">
        <v>9104</v>
      </c>
      <c r="F214" t="s">
        <v>8537</v>
      </c>
      <c r="G214" t="s">
        <v>9106</v>
      </c>
    </row>
    <row r="215" spans="1:7" ht="11.25" customHeight="1">
      <c r="A215" s="289" t="s">
        <v>14</v>
      </c>
      <c r="B215" t="s">
        <v>9103</v>
      </c>
      <c r="C215" t="s">
        <v>9104</v>
      </c>
      <c r="D215" t="s">
        <v>9103</v>
      </c>
      <c r="E215" t="s">
        <v>9104</v>
      </c>
      <c r="F215" t="s">
        <v>8537</v>
      </c>
      <c r="G215" t="s">
        <v>9107</v>
      </c>
    </row>
    <row r="216" spans="1:7" ht="11.25" customHeight="1">
      <c r="A216" s="289" t="s">
        <v>14</v>
      </c>
      <c r="B216" t="s">
        <v>9103</v>
      </c>
      <c r="C216" t="s">
        <v>9104</v>
      </c>
      <c r="D216" t="s">
        <v>9108</v>
      </c>
      <c r="E216" t="s">
        <v>9109</v>
      </c>
      <c r="F216" t="s">
        <v>8543</v>
      </c>
      <c r="G216" t="s">
        <v>9110</v>
      </c>
    </row>
    <row r="217" spans="1:7" ht="11.25" customHeight="1">
      <c r="A217" s="289" t="s">
        <v>14</v>
      </c>
      <c r="B217" t="s">
        <v>9103</v>
      </c>
      <c r="C217" t="s">
        <v>9104</v>
      </c>
      <c r="D217" t="s">
        <v>9111</v>
      </c>
      <c r="E217" t="s">
        <v>9112</v>
      </c>
      <c r="F217" t="s">
        <v>8546</v>
      </c>
      <c r="G217" t="s">
        <v>9113</v>
      </c>
    </row>
    <row r="218" spans="1:7" ht="11.25" customHeight="1">
      <c r="A218" s="289" t="s">
        <v>14</v>
      </c>
      <c r="B218" t="s">
        <v>9103</v>
      </c>
      <c r="C218" t="s">
        <v>9104</v>
      </c>
      <c r="D218" t="s">
        <v>9114</v>
      </c>
      <c r="E218" t="s">
        <v>9115</v>
      </c>
      <c r="F218" t="s">
        <v>8546</v>
      </c>
      <c r="G218" t="s">
        <v>9116</v>
      </c>
    </row>
    <row r="219" spans="1:7" ht="11.25" customHeight="1">
      <c r="A219" s="289" t="s">
        <v>14</v>
      </c>
      <c r="B219" t="s">
        <v>9103</v>
      </c>
      <c r="C219" t="s">
        <v>9104</v>
      </c>
      <c r="D219" t="s">
        <v>9117</v>
      </c>
      <c r="E219" t="s">
        <v>9118</v>
      </c>
      <c r="F219" t="s">
        <v>8546</v>
      </c>
      <c r="G219" t="s">
        <v>9119</v>
      </c>
    </row>
    <row r="220" spans="1:7" ht="11.25" customHeight="1">
      <c r="A220" s="289" t="s">
        <v>14</v>
      </c>
      <c r="B220" t="s">
        <v>107</v>
      </c>
      <c r="C220" t="s">
        <v>109</v>
      </c>
      <c r="D220" t="s">
        <v>107</v>
      </c>
      <c r="E220" t="s">
        <v>109</v>
      </c>
      <c r="F220" t="s">
        <v>8532</v>
      </c>
      <c r="G220" t="s">
        <v>108</v>
      </c>
    </row>
    <row r="221" spans="1:7" ht="11.25" customHeight="1">
      <c r="A221" s="289" t="s">
        <v>14</v>
      </c>
      <c r="B221" t="s">
        <v>9120</v>
      </c>
      <c r="C221" t="s">
        <v>9121</v>
      </c>
      <c r="D221" t="s">
        <v>9120</v>
      </c>
      <c r="E221" t="s">
        <v>9121</v>
      </c>
      <c r="F221" t="s">
        <v>8537</v>
      </c>
      <c r="G221" t="s">
        <v>9122</v>
      </c>
    </row>
    <row r="222" spans="1:7" ht="11.25" customHeight="1">
      <c r="A222" s="289" t="s">
        <v>14</v>
      </c>
      <c r="B222" t="s">
        <v>9120</v>
      </c>
      <c r="C222" t="s">
        <v>9121</v>
      </c>
      <c r="D222" t="s">
        <v>9123</v>
      </c>
      <c r="E222" t="s">
        <v>9124</v>
      </c>
      <c r="F222" t="s">
        <v>8543</v>
      </c>
      <c r="G222" t="s">
        <v>9125</v>
      </c>
    </row>
    <row r="223" spans="1:7" ht="11.25" customHeight="1">
      <c r="A223" s="289" t="s">
        <v>14</v>
      </c>
      <c r="B223" t="s">
        <v>9120</v>
      </c>
      <c r="C223" t="s">
        <v>9121</v>
      </c>
      <c r="D223" t="s">
        <v>9126</v>
      </c>
      <c r="E223" t="s">
        <v>9127</v>
      </c>
      <c r="F223" t="s">
        <v>8543</v>
      </c>
      <c r="G223" t="s">
        <v>9128</v>
      </c>
    </row>
    <row r="224" spans="1:7" ht="11.25" customHeight="1">
      <c r="A224" s="289" t="s">
        <v>14</v>
      </c>
      <c r="B224" t="s">
        <v>9120</v>
      </c>
      <c r="C224" t="s">
        <v>9121</v>
      </c>
      <c r="D224" t="s">
        <v>9129</v>
      </c>
      <c r="E224" t="s">
        <v>9130</v>
      </c>
      <c r="F224" t="s">
        <v>8543</v>
      </c>
      <c r="G224" t="s">
        <v>9131</v>
      </c>
    </row>
    <row r="225" spans="1:7" ht="11.25" customHeight="1">
      <c r="A225" s="289" t="s">
        <v>14</v>
      </c>
      <c r="B225" t="s">
        <v>9120</v>
      </c>
      <c r="C225" t="s">
        <v>9121</v>
      </c>
      <c r="D225" t="s">
        <v>9132</v>
      </c>
      <c r="E225" t="s">
        <v>9133</v>
      </c>
      <c r="F225" t="s">
        <v>8543</v>
      </c>
      <c r="G225" t="s">
        <v>9134</v>
      </c>
    </row>
    <row r="226" spans="1:7" ht="11.25" customHeight="1">
      <c r="A226" s="289" t="s">
        <v>14</v>
      </c>
      <c r="B226" t="s">
        <v>9120</v>
      </c>
      <c r="C226" t="s">
        <v>9121</v>
      </c>
      <c r="D226" t="s">
        <v>9135</v>
      </c>
      <c r="E226" t="s">
        <v>9136</v>
      </c>
      <c r="F226" t="s">
        <v>8540</v>
      </c>
      <c r="G226" t="s">
        <v>9137</v>
      </c>
    </row>
    <row r="227" spans="1:7" ht="11.25" customHeight="1">
      <c r="A227" s="289" t="s">
        <v>14</v>
      </c>
      <c r="B227" t="s">
        <v>9120</v>
      </c>
      <c r="C227" t="s">
        <v>9121</v>
      </c>
      <c r="D227" t="s">
        <v>9138</v>
      </c>
      <c r="E227" t="s">
        <v>9139</v>
      </c>
      <c r="F227" t="s">
        <v>8543</v>
      </c>
      <c r="G227" t="s">
        <v>9140</v>
      </c>
    </row>
    <row r="228" spans="1:7" ht="11.25" customHeight="1">
      <c r="A228" s="289" t="s">
        <v>14</v>
      </c>
      <c r="B228" t="s">
        <v>9120</v>
      </c>
      <c r="C228" t="s">
        <v>9121</v>
      </c>
      <c r="D228" t="s">
        <v>9141</v>
      </c>
      <c r="E228" t="s">
        <v>9142</v>
      </c>
      <c r="F228" t="s">
        <v>8543</v>
      </c>
      <c r="G228" t="s">
        <v>9143</v>
      </c>
    </row>
    <row r="229" spans="1:7" ht="11.25" customHeight="1">
      <c r="A229" s="289" t="s">
        <v>14</v>
      </c>
      <c r="B229" t="s">
        <v>9120</v>
      </c>
      <c r="C229" t="s">
        <v>9121</v>
      </c>
      <c r="D229" t="s">
        <v>9144</v>
      </c>
      <c r="E229" t="s">
        <v>9145</v>
      </c>
      <c r="F229" t="s">
        <v>8546</v>
      </c>
      <c r="G229" t="s">
        <v>9146</v>
      </c>
    </row>
    <row r="230" spans="1:7" ht="11.25" customHeight="1">
      <c r="A230" s="289" t="s">
        <v>14</v>
      </c>
      <c r="B230" t="s">
        <v>9120</v>
      </c>
      <c r="C230" t="s">
        <v>9121</v>
      </c>
      <c r="D230" t="s">
        <v>9147</v>
      </c>
      <c r="E230" t="s">
        <v>9148</v>
      </c>
      <c r="F230" t="s">
        <v>8546</v>
      </c>
      <c r="G230" t="s">
        <v>9149</v>
      </c>
    </row>
    <row r="231" spans="1:7" ht="11.25" customHeight="1">
      <c r="A231" s="289" t="s">
        <v>14</v>
      </c>
      <c r="B231" t="s">
        <v>9120</v>
      </c>
      <c r="C231" t="s">
        <v>9121</v>
      </c>
      <c r="D231" t="s">
        <v>9150</v>
      </c>
      <c r="E231" t="s">
        <v>9151</v>
      </c>
      <c r="F231" t="s">
        <v>8546</v>
      </c>
      <c r="G231" t="s">
        <v>9152</v>
      </c>
    </row>
    <row r="232" spans="1:7" ht="11.25" customHeight="1">
      <c r="A232" s="289" t="s">
        <v>14</v>
      </c>
      <c r="B232" t="s">
        <v>9153</v>
      </c>
      <c r="C232" t="s">
        <v>9154</v>
      </c>
      <c r="D232" t="s">
        <v>9153</v>
      </c>
      <c r="E232" t="s">
        <v>9154</v>
      </c>
      <c r="F232" t="s">
        <v>8532</v>
      </c>
      <c r="G232" t="s">
        <v>9155</v>
      </c>
    </row>
    <row r="233" spans="1:7" ht="11.25" customHeight="1">
      <c r="A233" s="289" t="s">
        <v>14</v>
      </c>
      <c r="B233" t="s">
        <v>9156</v>
      </c>
      <c r="C233" t="s">
        <v>9157</v>
      </c>
      <c r="D233" t="s">
        <v>9156</v>
      </c>
      <c r="E233" t="s">
        <v>9157</v>
      </c>
      <c r="F233" t="s">
        <v>8537</v>
      </c>
      <c r="G233" t="s">
        <v>9158</v>
      </c>
    </row>
    <row r="234" spans="1:7" ht="11.25" customHeight="1">
      <c r="A234" s="289" t="s">
        <v>14</v>
      </c>
      <c r="B234" t="s">
        <v>9156</v>
      </c>
      <c r="C234" t="s">
        <v>9157</v>
      </c>
      <c r="D234" t="s">
        <v>9159</v>
      </c>
      <c r="E234" t="s">
        <v>9160</v>
      </c>
      <c r="F234" t="s">
        <v>8543</v>
      </c>
      <c r="G234" t="s">
        <v>9161</v>
      </c>
    </row>
    <row r="235" spans="1:7" ht="11.25" customHeight="1">
      <c r="A235" s="289" t="s">
        <v>14</v>
      </c>
      <c r="B235" t="s">
        <v>9156</v>
      </c>
      <c r="C235" t="s">
        <v>9157</v>
      </c>
      <c r="D235" t="s">
        <v>9162</v>
      </c>
      <c r="E235" t="s">
        <v>9163</v>
      </c>
      <c r="F235" t="s">
        <v>8543</v>
      </c>
      <c r="G235" t="s">
        <v>9164</v>
      </c>
    </row>
    <row r="236" spans="1:7" ht="11.25" customHeight="1">
      <c r="A236" s="289" t="s">
        <v>14</v>
      </c>
      <c r="B236" t="s">
        <v>9156</v>
      </c>
      <c r="C236" t="s">
        <v>9157</v>
      </c>
      <c r="D236" t="s">
        <v>9165</v>
      </c>
      <c r="E236" t="s">
        <v>9166</v>
      </c>
      <c r="F236" t="s">
        <v>8543</v>
      </c>
      <c r="G236" t="s">
        <v>9167</v>
      </c>
    </row>
    <row r="237" spans="1:7" ht="11.25" customHeight="1">
      <c r="A237" s="289" t="s">
        <v>14</v>
      </c>
      <c r="B237" t="s">
        <v>9156</v>
      </c>
      <c r="C237" t="s">
        <v>9157</v>
      </c>
      <c r="D237" t="s">
        <v>9168</v>
      </c>
      <c r="E237" t="s">
        <v>9169</v>
      </c>
      <c r="F237" t="s">
        <v>8540</v>
      </c>
      <c r="G237" t="s">
        <v>9170</v>
      </c>
    </row>
    <row r="238" spans="1:7" ht="11.25" customHeight="1">
      <c r="A238" s="289" t="s">
        <v>14</v>
      </c>
      <c r="B238" t="s">
        <v>9156</v>
      </c>
      <c r="C238" t="s">
        <v>9157</v>
      </c>
      <c r="D238" t="s">
        <v>9171</v>
      </c>
      <c r="E238" t="s">
        <v>9172</v>
      </c>
      <c r="F238" t="s">
        <v>8543</v>
      </c>
      <c r="G238" t="s">
        <v>9173</v>
      </c>
    </row>
    <row r="239" spans="1:7" ht="11.25" customHeight="1">
      <c r="A239" s="289" t="s">
        <v>14</v>
      </c>
      <c r="B239" t="s">
        <v>9156</v>
      </c>
      <c r="C239" t="s">
        <v>9157</v>
      </c>
      <c r="D239" t="s">
        <v>9174</v>
      </c>
      <c r="E239" t="s">
        <v>9175</v>
      </c>
      <c r="F239" t="s">
        <v>8543</v>
      </c>
      <c r="G239" t="s">
        <v>9176</v>
      </c>
    </row>
    <row r="240" spans="1:7" ht="11.25" customHeight="1">
      <c r="A240" s="289" t="s">
        <v>14</v>
      </c>
      <c r="B240" t="s">
        <v>9156</v>
      </c>
      <c r="C240" t="s">
        <v>9157</v>
      </c>
      <c r="D240" t="s">
        <v>9054</v>
      </c>
      <c r="E240" t="s">
        <v>9177</v>
      </c>
      <c r="F240" t="s">
        <v>8546</v>
      </c>
      <c r="G240" t="s">
        <v>9178</v>
      </c>
    </row>
    <row r="241" spans="1:7" ht="11.25" customHeight="1">
      <c r="A241" s="289" t="s">
        <v>14</v>
      </c>
      <c r="B241" t="s">
        <v>9156</v>
      </c>
      <c r="C241" t="s">
        <v>9157</v>
      </c>
      <c r="D241" t="s">
        <v>9179</v>
      </c>
      <c r="E241" t="s">
        <v>9180</v>
      </c>
      <c r="F241" t="s">
        <v>8546</v>
      </c>
      <c r="G241" t="s">
        <v>9181</v>
      </c>
    </row>
    <row r="242" spans="1:7" ht="11.25" customHeight="1">
      <c r="A242" s="289" t="s">
        <v>14</v>
      </c>
      <c r="B242" t="s">
        <v>9156</v>
      </c>
      <c r="C242" t="s">
        <v>9157</v>
      </c>
      <c r="D242" t="s">
        <v>9182</v>
      </c>
      <c r="E242" t="s">
        <v>9183</v>
      </c>
      <c r="F242" t="s">
        <v>8546</v>
      </c>
      <c r="G242" t="s">
        <v>9184</v>
      </c>
    </row>
    <row r="243" spans="1:7" ht="11.25" customHeight="1">
      <c r="A243" s="289" t="s">
        <v>14</v>
      </c>
      <c r="B243" t="s">
        <v>9156</v>
      </c>
      <c r="C243" t="s">
        <v>9157</v>
      </c>
      <c r="D243" t="s">
        <v>9185</v>
      </c>
      <c r="E243" t="s">
        <v>9186</v>
      </c>
      <c r="F243" t="s">
        <v>8546</v>
      </c>
      <c r="G243" t="s">
        <v>9187</v>
      </c>
    </row>
    <row r="244" spans="1:7" ht="11.25" customHeight="1">
      <c r="A244" s="289" t="s">
        <v>14</v>
      </c>
      <c r="B244" t="s">
        <v>9156</v>
      </c>
      <c r="C244" t="s">
        <v>9157</v>
      </c>
      <c r="D244" t="s">
        <v>9188</v>
      </c>
      <c r="E244" t="s">
        <v>9189</v>
      </c>
      <c r="F244" t="s">
        <v>8546</v>
      </c>
      <c r="G244" t="s">
        <v>9190</v>
      </c>
    </row>
    <row r="245" spans="1:7" ht="11.25" customHeight="1">
      <c r="A245" s="289" t="s">
        <v>14</v>
      </c>
      <c r="B245" t="s">
        <v>9156</v>
      </c>
      <c r="C245" t="s">
        <v>9157</v>
      </c>
      <c r="D245" t="s">
        <v>9191</v>
      </c>
      <c r="E245" t="s">
        <v>9192</v>
      </c>
      <c r="F245" t="s">
        <v>8546</v>
      </c>
      <c r="G245" t="s">
        <v>9193</v>
      </c>
    </row>
    <row r="246" spans="1:7" ht="11.25" customHeight="1">
      <c r="A246" s="289" t="s">
        <v>14</v>
      </c>
      <c r="B246" t="s">
        <v>9156</v>
      </c>
      <c r="C246" t="s">
        <v>9157</v>
      </c>
      <c r="D246" t="s">
        <v>9094</v>
      </c>
      <c r="E246" t="s">
        <v>9194</v>
      </c>
      <c r="F246" t="s">
        <v>8546</v>
      </c>
      <c r="G246" t="s">
        <v>9195</v>
      </c>
    </row>
    <row r="247" spans="1:7" ht="11.25" customHeight="1">
      <c r="A247" s="289" t="s">
        <v>14</v>
      </c>
      <c r="B247" t="s">
        <v>9156</v>
      </c>
      <c r="C247" t="s">
        <v>9157</v>
      </c>
      <c r="D247" t="s">
        <v>9196</v>
      </c>
      <c r="E247" t="s">
        <v>9197</v>
      </c>
      <c r="F247" t="s">
        <v>8546</v>
      </c>
      <c r="G247" t="s">
        <v>9198</v>
      </c>
    </row>
    <row r="248" spans="1:7" ht="11.25" customHeight="1">
      <c r="A248" s="289" t="s">
        <v>14</v>
      </c>
      <c r="B248" t="s">
        <v>9156</v>
      </c>
      <c r="C248" t="s">
        <v>9157</v>
      </c>
      <c r="D248" t="s">
        <v>9199</v>
      </c>
      <c r="E248" t="s">
        <v>9200</v>
      </c>
      <c r="F248" t="s">
        <v>8546</v>
      </c>
      <c r="G248" t="s">
        <v>9201</v>
      </c>
    </row>
    <row r="249" spans="1:7" ht="11.25" customHeight="1">
      <c r="A249" s="289" t="s">
        <v>14</v>
      </c>
      <c r="B249" t="s">
        <v>9156</v>
      </c>
      <c r="C249" t="s">
        <v>9157</v>
      </c>
      <c r="D249" t="s">
        <v>9202</v>
      </c>
      <c r="E249" t="s">
        <v>9203</v>
      </c>
      <c r="F249" t="s">
        <v>8546</v>
      </c>
      <c r="G249" t="s">
        <v>9204</v>
      </c>
    </row>
    <row r="250" spans="1:7" ht="11.25" customHeight="1">
      <c r="A250" s="289" t="s">
        <v>14</v>
      </c>
      <c r="B250" t="s">
        <v>9156</v>
      </c>
      <c r="C250" t="s">
        <v>9157</v>
      </c>
      <c r="D250" t="s">
        <v>9205</v>
      </c>
      <c r="E250" t="s">
        <v>9206</v>
      </c>
      <c r="F250" t="s">
        <v>8546</v>
      </c>
      <c r="G250" t="s">
        <v>9207</v>
      </c>
    </row>
    <row r="251" spans="1:7" ht="11.25" customHeight="1">
      <c r="A251" s="289" t="s">
        <v>14</v>
      </c>
      <c r="B251" t="s">
        <v>9156</v>
      </c>
      <c r="C251" t="s">
        <v>9157</v>
      </c>
      <c r="D251" t="s">
        <v>9208</v>
      </c>
      <c r="E251" t="s">
        <v>9209</v>
      </c>
      <c r="F251" t="s">
        <v>8546</v>
      </c>
      <c r="G251" t="s">
        <v>9210</v>
      </c>
    </row>
    <row r="252" spans="1:7" ht="11.25" customHeight="1">
      <c r="A252" s="289" t="s">
        <v>14</v>
      </c>
      <c r="B252" t="s">
        <v>9156</v>
      </c>
      <c r="C252" t="s">
        <v>9157</v>
      </c>
      <c r="D252" t="s">
        <v>9211</v>
      </c>
      <c r="E252" t="s">
        <v>9212</v>
      </c>
      <c r="F252" t="s">
        <v>8546</v>
      </c>
      <c r="G252" t="s">
        <v>9213</v>
      </c>
    </row>
    <row r="253" spans="1:7" ht="11.25" customHeight="1">
      <c r="A253" s="289" t="s">
        <v>14</v>
      </c>
      <c r="B253" t="s">
        <v>9156</v>
      </c>
      <c r="C253" t="s">
        <v>9157</v>
      </c>
      <c r="D253" t="s">
        <v>9214</v>
      </c>
      <c r="E253" t="s">
        <v>9215</v>
      </c>
      <c r="F253" t="s">
        <v>8546</v>
      </c>
      <c r="G253" t="s">
        <v>9216</v>
      </c>
    </row>
    <row r="254" spans="1:7" ht="11.25" customHeight="1">
      <c r="A254" s="289" t="s">
        <v>14</v>
      </c>
      <c r="B254" t="s">
        <v>9156</v>
      </c>
      <c r="C254" t="s">
        <v>9157</v>
      </c>
      <c r="D254" t="s">
        <v>9217</v>
      </c>
      <c r="E254" t="s">
        <v>9218</v>
      </c>
      <c r="F254" t="s">
        <v>8546</v>
      </c>
      <c r="G254" t="s">
        <v>9219</v>
      </c>
    </row>
    <row r="255" spans="1:7" ht="11.25" customHeight="1">
      <c r="A255" s="289" t="s">
        <v>14</v>
      </c>
      <c r="B255" t="s">
        <v>9220</v>
      </c>
      <c r="C255" t="s">
        <v>9221</v>
      </c>
      <c r="D255" t="s">
        <v>9220</v>
      </c>
      <c r="E255" t="s">
        <v>9221</v>
      </c>
      <c r="F255" t="s">
        <v>8532</v>
      </c>
      <c r="G255" t="s">
        <v>9222</v>
      </c>
    </row>
    <row r="256" spans="1:7" ht="11.25" customHeight="1">
      <c r="A256" s="289" t="s">
        <v>14</v>
      </c>
      <c r="B256" t="s">
        <v>9223</v>
      </c>
      <c r="C256" t="s">
        <v>9224</v>
      </c>
      <c r="D256" t="s">
        <v>9223</v>
      </c>
      <c r="E256" t="s">
        <v>9224</v>
      </c>
      <c r="F256" t="s">
        <v>8537</v>
      </c>
      <c r="G256" t="s">
        <v>9225</v>
      </c>
    </row>
    <row r="257" spans="1:7" ht="11.25" customHeight="1">
      <c r="A257" s="289" t="s">
        <v>14</v>
      </c>
      <c r="B257" t="s">
        <v>9223</v>
      </c>
      <c r="C257" t="s">
        <v>9224</v>
      </c>
      <c r="D257" t="s">
        <v>9226</v>
      </c>
      <c r="E257" t="s">
        <v>9227</v>
      </c>
      <c r="F257" t="s">
        <v>8540</v>
      </c>
      <c r="G257" t="s">
        <v>9228</v>
      </c>
    </row>
    <row r="258" spans="1:7" ht="11.25" customHeight="1">
      <c r="A258" s="289" t="s">
        <v>14</v>
      </c>
      <c r="B258" t="s">
        <v>9223</v>
      </c>
      <c r="C258" t="s">
        <v>9224</v>
      </c>
      <c r="D258" t="s">
        <v>9229</v>
      </c>
      <c r="E258" t="s">
        <v>9230</v>
      </c>
      <c r="F258" t="s">
        <v>8543</v>
      </c>
      <c r="G258" t="s">
        <v>9231</v>
      </c>
    </row>
    <row r="259" spans="1:7" ht="11.25" customHeight="1">
      <c r="A259" s="289" t="s">
        <v>14</v>
      </c>
      <c r="B259" t="s">
        <v>9223</v>
      </c>
      <c r="C259" t="s">
        <v>9224</v>
      </c>
      <c r="D259" t="s">
        <v>9232</v>
      </c>
      <c r="E259" t="s">
        <v>9233</v>
      </c>
      <c r="F259" t="s">
        <v>8546</v>
      </c>
      <c r="G259" t="s">
        <v>9234</v>
      </c>
    </row>
    <row r="260" spans="1:7" ht="11.25" customHeight="1">
      <c r="A260" s="289" t="s">
        <v>14</v>
      </c>
      <c r="B260" t="s">
        <v>9223</v>
      </c>
      <c r="C260" t="s">
        <v>9224</v>
      </c>
      <c r="D260" t="s">
        <v>9065</v>
      </c>
      <c r="E260" t="s">
        <v>9235</v>
      </c>
      <c r="F260" t="s">
        <v>8546</v>
      </c>
      <c r="G260" t="s">
        <v>9236</v>
      </c>
    </row>
    <row r="261" spans="1:7" ht="11.25" customHeight="1">
      <c r="A261" s="289" t="s">
        <v>14</v>
      </c>
      <c r="B261" t="s">
        <v>9223</v>
      </c>
      <c r="C261" t="s">
        <v>9224</v>
      </c>
      <c r="D261" t="s">
        <v>8639</v>
      </c>
      <c r="E261" t="s">
        <v>9237</v>
      </c>
      <c r="F261" t="s">
        <v>8546</v>
      </c>
      <c r="G261" t="s">
        <v>9238</v>
      </c>
    </row>
    <row r="262" spans="1:7" ht="11.25" customHeight="1">
      <c r="A262" s="289" t="s">
        <v>14</v>
      </c>
      <c r="B262" t="s">
        <v>9223</v>
      </c>
      <c r="C262" t="s">
        <v>9224</v>
      </c>
      <c r="D262" t="s">
        <v>9239</v>
      </c>
      <c r="E262" t="s">
        <v>9240</v>
      </c>
      <c r="F262" t="s">
        <v>8546</v>
      </c>
      <c r="G262" t="s">
        <v>9241</v>
      </c>
    </row>
    <row r="263" spans="1:7" ht="11.25" customHeight="1">
      <c r="A263" s="289" t="s">
        <v>14</v>
      </c>
      <c r="B263" t="s">
        <v>9223</v>
      </c>
      <c r="C263" t="s">
        <v>9224</v>
      </c>
      <c r="D263" t="s">
        <v>9242</v>
      </c>
      <c r="E263" t="s">
        <v>9243</v>
      </c>
      <c r="F263" t="s">
        <v>8546</v>
      </c>
      <c r="G263" t="s">
        <v>9244</v>
      </c>
    </row>
    <row r="264" spans="1:7" ht="11.25" customHeight="1">
      <c r="A264" s="289" t="s">
        <v>14</v>
      </c>
      <c r="B264" t="s">
        <v>111</v>
      </c>
      <c r="C264" t="s">
        <v>113</v>
      </c>
      <c r="D264" t="s">
        <v>111</v>
      </c>
      <c r="E264" t="s">
        <v>113</v>
      </c>
      <c r="F264" t="s">
        <v>8532</v>
      </c>
      <c r="G264" t="s">
        <v>112</v>
      </c>
    </row>
    <row r="265" spans="1:7" ht="11.25" customHeight="1">
      <c r="A265" s="289" t="s">
        <v>14</v>
      </c>
      <c r="B265" t="s">
        <v>9245</v>
      </c>
      <c r="C265" t="s">
        <v>9246</v>
      </c>
      <c r="D265" t="s">
        <v>9247</v>
      </c>
      <c r="E265" t="s">
        <v>9248</v>
      </c>
      <c r="F265" t="s">
        <v>8540</v>
      </c>
      <c r="G265" t="s">
        <v>9249</v>
      </c>
    </row>
    <row r="266" spans="1:7" ht="11.25" customHeight="1">
      <c r="A266" s="289" t="s">
        <v>14</v>
      </c>
      <c r="B266" t="s">
        <v>9245</v>
      </c>
      <c r="C266" t="s">
        <v>9246</v>
      </c>
      <c r="D266" t="s">
        <v>9245</v>
      </c>
      <c r="E266" t="s">
        <v>9246</v>
      </c>
      <c r="F266" t="s">
        <v>8537</v>
      </c>
      <c r="G266" t="s">
        <v>9250</v>
      </c>
    </row>
    <row r="267" spans="1:7" ht="11.25" customHeight="1">
      <c r="A267" s="289" t="s">
        <v>14</v>
      </c>
      <c r="B267" t="s">
        <v>9245</v>
      </c>
      <c r="C267" t="s">
        <v>9246</v>
      </c>
      <c r="D267" t="s">
        <v>9251</v>
      </c>
      <c r="E267" t="s">
        <v>9252</v>
      </c>
      <c r="F267" t="s">
        <v>8543</v>
      </c>
      <c r="G267" t="s">
        <v>9253</v>
      </c>
    </row>
    <row r="268" spans="1:7" ht="11.25" customHeight="1">
      <c r="A268" s="289" t="s">
        <v>14</v>
      </c>
      <c r="B268" t="s">
        <v>9245</v>
      </c>
      <c r="C268" t="s">
        <v>9246</v>
      </c>
      <c r="D268" t="s">
        <v>9254</v>
      </c>
      <c r="E268" t="s">
        <v>9255</v>
      </c>
      <c r="F268" t="s">
        <v>8540</v>
      </c>
      <c r="G268" t="s">
        <v>9256</v>
      </c>
    </row>
    <row r="269" spans="1:7" ht="11.25" customHeight="1">
      <c r="A269" s="289" t="s">
        <v>14</v>
      </c>
      <c r="B269" t="s">
        <v>9245</v>
      </c>
      <c r="C269" t="s">
        <v>9246</v>
      </c>
      <c r="D269" t="s">
        <v>9257</v>
      </c>
      <c r="E269" t="s">
        <v>9258</v>
      </c>
      <c r="F269" t="s">
        <v>8540</v>
      </c>
      <c r="G269" t="s">
        <v>9259</v>
      </c>
    </row>
    <row r="270" spans="1:7" ht="11.25" customHeight="1">
      <c r="A270" s="289" t="s">
        <v>14</v>
      </c>
      <c r="B270" t="s">
        <v>9245</v>
      </c>
      <c r="C270" t="s">
        <v>9246</v>
      </c>
      <c r="D270" t="s">
        <v>9260</v>
      </c>
      <c r="E270" t="s">
        <v>9261</v>
      </c>
      <c r="F270" t="s">
        <v>8543</v>
      </c>
      <c r="G270" t="s">
        <v>9262</v>
      </c>
    </row>
    <row r="271" spans="1:7" ht="11.25" customHeight="1">
      <c r="A271" s="289" t="s">
        <v>14</v>
      </c>
      <c r="B271" t="s">
        <v>9245</v>
      </c>
      <c r="C271" t="s">
        <v>9246</v>
      </c>
      <c r="D271" t="s">
        <v>9263</v>
      </c>
      <c r="E271" t="s">
        <v>9264</v>
      </c>
      <c r="F271" t="s">
        <v>8540</v>
      </c>
      <c r="G271" t="s">
        <v>9265</v>
      </c>
    </row>
    <row r="272" spans="1:7" ht="11.25" customHeight="1">
      <c r="A272" s="289" t="s">
        <v>14</v>
      </c>
      <c r="B272" t="s">
        <v>9245</v>
      </c>
      <c r="C272" t="s">
        <v>9246</v>
      </c>
      <c r="D272" t="s">
        <v>9266</v>
      </c>
      <c r="E272" t="s">
        <v>9267</v>
      </c>
      <c r="F272" t="s">
        <v>8546</v>
      </c>
      <c r="G272" t="s">
        <v>9268</v>
      </c>
    </row>
    <row r="273" spans="1:7" ht="11.25" customHeight="1">
      <c r="A273" s="289" t="s">
        <v>14</v>
      </c>
      <c r="B273" t="s">
        <v>9245</v>
      </c>
      <c r="C273" t="s">
        <v>9246</v>
      </c>
      <c r="D273" t="s">
        <v>9269</v>
      </c>
      <c r="E273" t="s">
        <v>9270</v>
      </c>
      <c r="F273" t="s">
        <v>8546</v>
      </c>
      <c r="G273" t="s">
        <v>9271</v>
      </c>
    </row>
    <row r="274" spans="1:7" ht="11.25" customHeight="1">
      <c r="A274" s="289" t="s">
        <v>14</v>
      </c>
      <c r="B274" t="s">
        <v>9245</v>
      </c>
      <c r="C274" t="s">
        <v>9246</v>
      </c>
      <c r="D274" t="s">
        <v>9272</v>
      </c>
      <c r="E274" t="s">
        <v>9273</v>
      </c>
      <c r="F274" t="s">
        <v>8546</v>
      </c>
      <c r="G274" t="s">
        <v>9274</v>
      </c>
    </row>
    <row r="275" spans="1:7" ht="11.25" customHeight="1">
      <c r="A275" s="289" t="s">
        <v>14</v>
      </c>
      <c r="B275" t="s">
        <v>9245</v>
      </c>
      <c r="C275" t="s">
        <v>9246</v>
      </c>
      <c r="D275" t="s">
        <v>9275</v>
      </c>
      <c r="E275" t="s">
        <v>9276</v>
      </c>
      <c r="F275" t="s">
        <v>8546</v>
      </c>
      <c r="G275" t="s">
        <v>9277</v>
      </c>
    </row>
    <row r="276" spans="1:7" ht="11.25" customHeight="1">
      <c r="A276" s="289" t="s">
        <v>14</v>
      </c>
      <c r="B276" t="s">
        <v>9245</v>
      </c>
      <c r="C276" t="s">
        <v>9246</v>
      </c>
      <c r="D276" t="s">
        <v>9278</v>
      </c>
      <c r="E276" t="s">
        <v>9279</v>
      </c>
      <c r="F276" t="s">
        <v>8546</v>
      </c>
      <c r="G276" t="s">
        <v>9280</v>
      </c>
    </row>
    <row r="277" spans="1:7" ht="11.25" customHeight="1">
      <c r="A277" s="289" t="s">
        <v>14</v>
      </c>
      <c r="B277" t="s">
        <v>9245</v>
      </c>
      <c r="C277" t="s">
        <v>9246</v>
      </c>
      <c r="D277" t="s">
        <v>9281</v>
      </c>
      <c r="E277" t="s">
        <v>9282</v>
      </c>
      <c r="F277" t="s">
        <v>8546</v>
      </c>
      <c r="G277" t="s">
        <v>9283</v>
      </c>
    </row>
    <row r="278" spans="1:7" ht="11.25" customHeight="1">
      <c r="A278" s="289" t="s">
        <v>14</v>
      </c>
      <c r="B278" t="s">
        <v>9284</v>
      </c>
      <c r="C278" t="s">
        <v>9285</v>
      </c>
      <c r="D278" t="s">
        <v>9284</v>
      </c>
      <c r="E278" t="s">
        <v>9285</v>
      </c>
      <c r="F278" t="s">
        <v>8537</v>
      </c>
      <c r="G278" t="s">
        <v>9286</v>
      </c>
    </row>
    <row r="279" spans="1:7" ht="11.25" customHeight="1">
      <c r="A279" s="289" t="s">
        <v>14</v>
      </c>
      <c r="B279" t="s">
        <v>9284</v>
      </c>
      <c r="C279" t="s">
        <v>9285</v>
      </c>
      <c r="D279" t="s">
        <v>9287</v>
      </c>
      <c r="E279" t="s">
        <v>9288</v>
      </c>
      <c r="F279" t="s">
        <v>8543</v>
      </c>
      <c r="G279" t="s">
        <v>9289</v>
      </c>
    </row>
    <row r="280" spans="1:7" ht="11.25" customHeight="1">
      <c r="A280" s="289" t="s">
        <v>14</v>
      </c>
      <c r="B280" t="s">
        <v>9284</v>
      </c>
      <c r="C280" t="s">
        <v>9285</v>
      </c>
      <c r="D280" t="s">
        <v>9290</v>
      </c>
      <c r="E280" t="s">
        <v>9291</v>
      </c>
      <c r="F280" t="s">
        <v>8546</v>
      </c>
      <c r="G280" t="s">
        <v>9292</v>
      </c>
    </row>
    <row r="281" spans="1:7" ht="11.25" customHeight="1">
      <c r="A281" s="289" t="s">
        <v>14</v>
      </c>
      <c r="B281" t="s">
        <v>9284</v>
      </c>
      <c r="C281" t="s">
        <v>9285</v>
      </c>
      <c r="D281" t="s">
        <v>9293</v>
      </c>
      <c r="E281" t="s">
        <v>9294</v>
      </c>
      <c r="F281" t="s">
        <v>8546</v>
      </c>
      <c r="G281" t="s">
        <v>9295</v>
      </c>
    </row>
    <row r="282" spans="1:7" ht="11.25" customHeight="1">
      <c r="A282" s="289" t="s">
        <v>14</v>
      </c>
      <c r="B282" t="s">
        <v>9284</v>
      </c>
      <c r="C282" t="s">
        <v>9285</v>
      </c>
      <c r="D282" t="s">
        <v>9018</v>
      </c>
      <c r="E282" t="s">
        <v>9296</v>
      </c>
      <c r="F282" t="s">
        <v>8546</v>
      </c>
      <c r="G282" t="s">
        <v>9297</v>
      </c>
    </row>
    <row r="283" spans="1:7" ht="11.25" customHeight="1">
      <c r="A283" s="289" t="s">
        <v>14</v>
      </c>
      <c r="B283" t="s">
        <v>9298</v>
      </c>
      <c r="C283" t="s">
        <v>9299</v>
      </c>
      <c r="D283" t="s">
        <v>9298</v>
      </c>
      <c r="E283" t="s">
        <v>9299</v>
      </c>
      <c r="F283" t="s">
        <v>8537</v>
      </c>
      <c r="G283" t="s">
        <v>9300</v>
      </c>
    </row>
    <row r="284" spans="1:7" ht="11.25" customHeight="1">
      <c r="A284" s="289" t="s">
        <v>14</v>
      </c>
      <c r="B284" t="s">
        <v>9298</v>
      </c>
      <c r="C284" t="s">
        <v>9299</v>
      </c>
      <c r="D284" t="s">
        <v>9301</v>
      </c>
      <c r="E284" t="s">
        <v>9302</v>
      </c>
      <c r="F284" t="s">
        <v>8543</v>
      </c>
      <c r="G284" t="s">
        <v>9303</v>
      </c>
    </row>
    <row r="285" spans="1:7" ht="11.25" customHeight="1">
      <c r="A285" s="289" t="s">
        <v>14</v>
      </c>
      <c r="B285" t="s">
        <v>9298</v>
      </c>
      <c r="C285" t="s">
        <v>9299</v>
      </c>
      <c r="D285" t="s">
        <v>9304</v>
      </c>
      <c r="E285" t="s">
        <v>9305</v>
      </c>
      <c r="F285" t="s">
        <v>8543</v>
      </c>
      <c r="G285" t="s">
        <v>9306</v>
      </c>
    </row>
    <row r="286" spans="1:7" ht="11.25" customHeight="1">
      <c r="A286" s="289" t="s">
        <v>14</v>
      </c>
      <c r="B286" t="s">
        <v>9298</v>
      </c>
      <c r="C286" t="s">
        <v>9299</v>
      </c>
      <c r="D286" t="s">
        <v>9269</v>
      </c>
      <c r="E286" t="s">
        <v>9307</v>
      </c>
      <c r="F286" t="s">
        <v>8546</v>
      </c>
      <c r="G286" t="s">
        <v>9308</v>
      </c>
    </row>
    <row r="287" spans="1:7" ht="11.25" customHeight="1">
      <c r="A287" s="289" t="s">
        <v>14</v>
      </c>
      <c r="B287" t="s">
        <v>9298</v>
      </c>
      <c r="C287" t="s">
        <v>9299</v>
      </c>
      <c r="D287" t="s">
        <v>9309</v>
      </c>
      <c r="E287" t="s">
        <v>9310</v>
      </c>
      <c r="F287" t="s">
        <v>8546</v>
      </c>
      <c r="G287" t="s">
        <v>9311</v>
      </c>
    </row>
    <row r="288" spans="1:7" ht="11.25" customHeight="1">
      <c r="A288" s="289" t="s">
        <v>14</v>
      </c>
      <c r="B288" t="s">
        <v>9298</v>
      </c>
      <c r="C288" t="s">
        <v>9299</v>
      </c>
      <c r="D288" t="s">
        <v>9312</v>
      </c>
      <c r="E288" t="s">
        <v>9313</v>
      </c>
      <c r="F288" t="s">
        <v>8546</v>
      </c>
      <c r="G288" t="s">
        <v>9314</v>
      </c>
    </row>
    <row r="289" spans="1:7" ht="11.25" customHeight="1">
      <c r="A289" s="289" t="s">
        <v>14</v>
      </c>
      <c r="B289" t="s">
        <v>9298</v>
      </c>
      <c r="C289" t="s">
        <v>9299</v>
      </c>
      <c r="D289" t="s">
        <v>9315</v>
      </c>
      <c r="E289" t="s">
        <v>9316</v>
      </c>
      <c r="F289" t="s">
        <v>8546</v>
      </c>
      <c r="G289" t="s">
        <v>9317</v>
      </c>
    </row>
    <row r="290" spans="1:7" ht="11.25" customHeight="1">
      <c r="A290" s="289" t="s">
        <v>14</v>
      </c>
      <c r="B290" t="s">
        <v>9298</v>
      </c>
      <c r="C290" t="s">
        <v>9299</v>
      </c>
      <c r="D290" t="s">
        <v>9318</v>
      </c>
      <c r="E290" t="s">
        <v>9319</v>
      </c>
      <c r="F290" t="s">
        <v>8546</v>
      </c>
      <c r="G290" t="s">
        <v>9320</v>
      </c>
    </row>
    <row r="291" spans="1:7" ht="11.25" customHeight="1">
      <c r="A291" s="289" t="s">
        <v>14</v>
      </c>
      <c r="B291" t="s">
        <v>120</v>
      </c>
      <c r="C291" t="s">
        <v>122</v>
      </c>
      <c r="D291" t="s">
        <v>120</v>
      </c>
      <c r="E291" t="s">
        <v>122</v>
      </c>
      <c r="F291" t="s">
        <v>8532</v>
      </c>
      <c r="G291" t="s">
        <v>121</v>
      </c>
    </row>
    <row r="292" spans="1:7" ht="11.25" customHeight="1">
      <c r="A292" s="289" t="s">
        <v>14</v>
      </c>
      <c r="B292" t="s">
        <v>9321</v>
      </c>
      <c r="C292" t="s">
        <v>9322</v>
      </c>
      <c r="D292" t="s">
        <v>9321</v>
      </c>
      <c r="E292" t="s">
        <v>9322</v>
      </c>
      <c r="F292" t="s">
        <v>8537</v>
      </c>
      <c r="G292" t="s">
        <v>9323</v>
      </c>
    </row>
    <row r="293" spans="1:7" ht="11.25" customHeight="1">
      <c r="A293" s="289" t="s">
        <v>14</v>
      </c>
      <c r="B293" t="s">
        <v>9321</v>
      </c>
      <c r="C293" t="s">
        <v>9322</v>
      </c>
      <c r="D293" t="s">
        <v>9324</v>
      </c>
      <c r="E293" t="s">
        <v>9325</v>
      </c>
      <c r="F293" t="s">
        <v>8543</v>
      </c>
      <c r="G293" t="s">
        <v>9326</v>
      </c>
    </row>
    <row r="294" spans="1:7" ht="11.25" customHeight="1">
      <c r="A294" s="289" t="s">
        <v>14</v>
      </c>
      <c r="B294" t="s">
        <v>9321</v>
      </c>
      <c r="C294" t="s">
        <v>9322</v>
      </c>
      <c r="D294" t="s">
        <v>9327</v>
      </c>
      <c r="E294" t="s">
        <v>9328</v>
      </c>
      <c r="F294" t="s">
        <v>8543</v>
      </c>
      <c r="G294" t="s">
        <v>9329</v>
      </c>
    </row>
    <row r="295" spans="1:7" ht="11.25" customHeight="1">
      <c r="A295" s="289" t="s">
        <v>14</v>
      </c>
      <c r="B295" t="s">
        <v>9321</v>
      </c>
      <c r="C295" t="s">
        <v>9322</v>
      </c>
      <c r="D295" t="s">
        <v>9330</v>
      </c>
      <c r="E295" t="s">
        <v>9331</v>
      </c>
      <c r="F295" t="s">
        <v>8543</v>
      </c>
      <c r="G295" t="s">
        <v>9332</v>
      </c>
    </row>
    <row r="296" spans="1:7" ht="11.25" customHeight="1">
      <c r="A296" s="289" t="s">
        <v>14</v>
      </c>
      <c r="B296" t="s">
        <v>9321</v>
      </c>
      <c r="C296" t="s">
        <v>9322</v>
      </c>
      <c r="D296" t="s">
        <v>9333</v>
      </c>
      <c r="E296" t="s">
        <v>9334</v>
      </c>
      <c r="F296" t="s">
        <v>8543</v>
      </c>
      <c r="G296" t="s">
        <v>9335</v>
      </c>
    </row>
    <row r="297" spans="1:7" ht="11.25" customHeight="1">
      <c r="A297" s="289" t="s">
        <v>14</v>
      </c>
      <c r="B297" t="s">
        <v>9321</v>
      </c>
      <c r="C297" t="s">
        <v>9322</v>
      </c>
      <c r="D297" t="s">
        <v>9336</v>
      </c>
      <c r="E297" t="s">
        <v>9337</v>
      </c>
      <c r="F297" t="s">
        <v>8540</v>
      </c>
      <c r="G297" t="s">
        <v>9338</v>
      </c>
    </row>
    <row r="298" spans="1:7" ht="11.25" customHeight="1">
      <c r="A298" s="289" t="s">
        <v>14</v>
      </c>
      <c r="B298" t="s">
        <v>9321</v>
      </c>
      <c r="C298" t="s">
        <v>9322</v>
      </c>
      <c r="D298" t="s">
        <v>9339</v>
      </c>
      <c r="E298" t="s">
        <v>9340</v>
      </c>
      <c r="F298" t="s">
        <v>8546</v>
      </c>
      <c r="G298" t="s">
        <v>9341</v>
      </c>
    </row>
    <row r="299" spans="1:7" ht="11.25" customHeight="1">
      <c r="A299" s="289" t="s">
        <v>14</v>
      </c>
      <c r="B299" t="s">
        <v>9321</v>
      </c>
      <c r="C299" t="s">
        <v>9322</v>
      </c>
      <c r="D299" t="s">
        <v>9342</v>
      </c>
      <c r="E299" t="s">
        <v>9343</v>
      </c>
      <c r="F299" t="s">
        <v>8546</v>
      </c>
      <c r="G299" t="s">
        <v>9344</v>
      </c>
    </row>
    <row r="300" spans="1:7" ht="11.25" customHeight="1">
      <c r="A300" s="289" t="s">
        <v>14</v>
      </c>
      <c r="B300" t="s">
        <v>9321</v>
      </c>
      <c r="C300" t="s">
        <v>9322</v>
      </c>
      <c r="D300" t="s">
        <v>9345</v>
      </c>
      <c r="E300" t="s">
        <v>9346</v>
      </c>
      <c r="F300" t="s">
        <v>8546</v>
      </c>
      <c r="G300" t="s">
        <v>9347</v>
      </c>
    </row>
    <row r="301" spans="1:7" ht="11.25" customHeight="1">
      <c r="A301" s="289" t="s">
        <v>14</v>
      </c>
      <c r="B301" t="s">
        <v>9321</v>
      </c>
      <c r="C301" t="s">
        <v>9322</v>
      </c>
      <c r="D301" t="s">
        <v>9348</v>
      </c>
      <c r="E301" t="s">
        <v>9349</v>
      </c>
      <c r="F301" t="s">
        <v>8546</v>
      </c>
      <c r="G301" t="s">
        <v>9350</v>
      </c>
    </row>
    <row r="302" spans="1:7" ht="11.25" customHeight="1">
      <c r="A302" s="289" t="s">
        <v>14</v>
      </c>
      <c r="B302" t="s">
        <v>9321</v>
      </c>
      <c r="C302" t="s">
        <v>9322</v>
      </c>
      <c r="D302" t="s">
        <v>9351</v>
      </c>
      <c r="E302" t="s">
        <v>9352</v>
      </c>
      <c r="F302" t="s">
        <v>8546</v>
      </c>
      <c r="G302" t="s">
        <v>9353</v>
      </c>
    </row>
    <row r="303" spans="1:7" ht="11.25" customHeight="1">
      <c r="A303" s="289" t="s">
        <v>14</v>
      </c>
      <c r="B303" t="s">
        <v>9321</v>
      </c>
      <c r="C303" t="s">
        <v>9322</v>
      </c>
      <c r="D303" t="s">
        <v>9354</v>
      </c>
      <c r="E303" t="s">
        <v>9355</v>
      </c>
      <c r="F303" t="s">
        <v>8546</v>
      </c>
      <c r="G303" t="s">
        <v>9356</v>
      </c>
    </row>
    <row r="304" spans="1:7" ht="11.25" customHeight="1">
      <c r="A304" s="289" t="s">
        <v>14</v>
      </c>
      <c r="B304" t="s">
        <v>9357</v>
      </c>
      <c r="C304" t="s">
        <v>9358</v>
      </c>
      <c r="D304" t="s">
        <v>9357</v>
      </c>
      <c r="E304" t="s">
        <v>9358</v>
      </c>
      <c r="F304" t="s">
        <v>8532</v>
      </c>
      <c r="G304" t="s">
        <v>9359</v>
      </c>
    </row>
    <row r="305" spans="1:7" ht="11.25" customHeight="1">
      <c r="A305" s="289" t="s">
        <v>14</v>
      </c>
      <c r="B305" t="s">
        <v>9360</v>
      </c>
      <c r="C305" t="s">
        <v>9361</v>
      </c>
      <c r="D305" t="s">
        <v>9360</v>
      </c>
      <c r="E305" t="s">
        <v>9361</v>
      </c>
      <c r="F305" t="s">
        <v>8537</v>
      </c>
      <c r="G305" t="s">
        <v>9362</v>
      </c>
    </row>
    <row r="306" spans="1:7" ht="11.25" customHeight="1">
      <c r="A306" s="289" t="s">
        <v>14</v>
      </c>
      <c r="B306" t="s">
        <v>9360</v>
      </c>
      <c r="C306" t="s">
        <v>9361</v>
      </c>
      <c r="D306" t="s">
        <v>9363</v>
      </c>
      <c r="E306" t="s">
        <v>9364</v>
      </c>
      <c r="F306" t="s">
        <v>8543</v>
      </c>
      <c r="G306" t="s">
        <v>9365</v>
      </c>
    </row>
    <row r="307" spans="1:7" ht="11.25" customHeight="1">
      <c r="A307" s="289" t="s">
        <v>14</v>
      </c>
      <c r="B307" t="s">
        <v>9360</v>
      </c>
      <c r="C307" t="s">
        <v>9361</v>
      </c>
      <c r="D307" t="s">
        <v>9366</v>
      </c>
      <c r="E307" t="s">
        <v>9367</v>
      </c>
      <c r="F307" t="s">
        <v>8543</v>
      </c>
      <c r="G307" t="s">
        <v>9368</v>
      </c>
    </row>
    <row r="308" spans="1:7" ht="11.25" customHeight="1">
      <c r="A308" s="289" t="s">
        <v>14</v>
      </c>
      <c r="B308" t="s">
        <v>9360</v>
      </c>
      <c r="C308" t="s">
        <v>9361</v>
      </c>
      <c r="D308" t="s">
        <v>9369</v>
      </c>
      <c r="E308" t="s">
        <v>9370</v>
      </c>
      <c r="F308" t="s">
        <v>8543</v>
      </c>
      <c r="G308" t="s">
        <v>9371</v>
      </c>
    </row>
    <row r="309" spans="1:7" ht="11.25" customHeight="1">
      <c r="A309" s="289" t="s">
        <v>14</v>
      </c>
      <c r="B309" t="s">
        <v>9360</v>
      </c>
      <c r="C309" t="s">
        <v>9361</v>
      </c>
      <c r="D309" t="s">
        <v>9372</v>
      </c>
      <c r="E309" t="s">
        <v>9373</v>
      </c>
      <c r="F309" t="s">
        <v>8540</v>
      </c>
      <c r="G309" t="s">
        <v>9374</v>
      </c>
    </row>
    <row r="310" spans="1:7" ht="11.25" customHeight="1">
      <c r="A310" s="289" t="s">
        <v>14</v>
      </c>
      <c r="B310" t="s">
        <v>9360</v>
      </c>
      <c r="C310" t="s">
        <v>9361</v>
      </c>
      <c r="D310" t="s">
        <v>9375</v>
      </c>
      <c r="E310" t="s">
        <v>9376</v>
      </c>
      <c r="F310" t="s">
        <v>8546</v>
      </c>
      <c r="G310" t="s">
        <v>9377</v>
      </c>
    </row>
    <row r="311" spans="1:7" ht="11.25" customHeight="1">
      <c r="A311" s="289" t="s">
        <v>14</v>
      </c>
      <c r="B311" t="s">
        <v>9360</v>
      </c>
      <c r="C311" t="s">
        <v>9361</v>
      </c>
      <c r="D311" t="s">
        <v>9378</v>
      </c>
      <c r="E311" t="s">
        <v>9379</v>
      </c>
      <c r="F311" t="s">
        <v>8546</v>
      </c>
      <c r="G311" t="s">
        <v>9380</v>
      </c>
    </row>
    <row r="312" spans="1:7" ht="11.25" customHeight="1">
      <c r="A312" s="289" t="s">
        <v>14</v>
      </c>
      <c r="B312" t="s">
        <v>9360</v>
      </c>
      <c r="C312" t="s">
        <v>9361</v>
      </c>
      <c r="D312" t="s">
        <v>9381</v>
      </c>
      <c r="E312" t="s">
        <v>9382</v>
      </c>
      <c r="F312" t="s">
        <v>8546</v>
      </c>
      <c r="G312" t="s">
        <v>9383</v>
      </c>
    </row>
    <row r="313" spans="1:7" ht="11.25" customHeight="1">
      <c r="A313" s="289" t="s">
        <v>14</v>
      </c>
      <c r="B313" t="s">
        <v>9384</v>
      </c>
      <c r="C313" t="s">
        <v>9385</v>
      </c>
      <c r="D313" t="s">
        <v>9384</v>
      </c>
      <c r="E313" t="s">
        <v>9385</v>
      </c>
      <c r="F313" t="s">
        <v>8532</v>
      </c>
      <c r="G313" t="s">
        <v>9386</v>
      </c>
    </row>
    <row r="314" spans="1:7" ht="11.25" customHeight="1">
      <c r="A314" s="289" t="s">
        <v>14</v>
      </c>
      <c r="B314" t="s">
        <v>9387</v>
      </c>
      <c r="C314" t="s">
        <v>9388</v>
      </c>
      <c r="D314" t="s">
        <v>9389</v>
      </c>
      <c r="E314" t="s">
        <v>9390</v>
      </c>
      <c r="F314" t="s">
        <v>8546</v>
      </c>
      <c r="G314" t="s">
        <v>9391</v>
      </c>
    </row>
    <row r="315" spans="1:7" ht="11.25" customHeight="1">
      <c r="A315" s="289" t="s">
        <v>14</v>
      </c>
      <c r="B315" t="s">
        <v>9387</v>
      </c>
      <c r="C315" t="s">
        <v>9388</v>
      </c>
      <c r="D315" t="s">
        <v>9387</v>
      </c>
      <c r="E315" t="s">
        <v>9388</v>
      </c>
      <c r="F315" t="s">
        <v>8537</v>
      </c>
      <c r="G315" t="s">
        <v>9392</v>
      </c>
    </row>
    <row r="316" spans="1:7" ht="11.25" customHeight="1">
      <c r="A316" s="289" t="s">
        <v>14</v>
      </c>
      <c r="B316" t="s">
        <v>9387</v>
      </c>
      <c r="C316" t="s">
        <v>9388</v>
      </c>
      <c r="D316" t="s">
        <v>9393</v>
      </c>
      <c r="E316" t="s">
        <v>9394</v>
      </c>
      <c r="F316" t="s">
        <v>8543</v>
      </c>
      <c r="G316" t="s">
        <v>9395</v>
      </c>
    </row>
    <row r="317" spans="1:7" ht="11.25" customHeight="1">
      <c r="A317" s="289" t="s">
        <v>14</v>
      </c>
      <c r="B317" t="s">
        <v>9387</v>
      </c>
      <c r="C317" t="s">
        <v>9388</v>
      </c>
      <c r="D317" t="s">
        <v>9396</v>
      </c>
      <c r="E317" t="s">
        <v>9397</v>
      </c>
      <c r="F317" t="s">
        <v>8543</v>
      </c>
      <c r="G317" t="s">
        <v>9398</v>
      </c>
    </row>
    <row r="318" spans="1:7" ht="11.25" customHeight="1">
      <c r="A318" s="289" t="s">
        <v>14</v>
      </c>
      <c r="B318" t="s">
        <v>9387</v>
      </c>
      <c r="C318" t="s">
        <v>9388</v>
      </c>
      <c r="D318" t="s">
        <v>9399</v>
      </c>
      <c r="E318" t="s">
        <v>9400</v>
      </c>
      <c r="F318" t="s">
        <v>8543</v>
      </c>
      <c r="G318" t="s">
        <v>9401</v>
      </c>
    </row>
    <row r="319" spans="1:7" ht="11.25" customHeight="1">
      <c r="A319" s="289" t="s">
        <v>14</v>
      </c>
      <c r="B319" t="s">
        <v>9387</v>
      </c>
      <c r="C319" t="s">
        <v>9388</v>
      </c>
      <c r="D319" t="s">
        <v>9402</v>
      </c>
      <c r="E319" t="s">
        <v>9403</v>
      </c>
      <c r="F319" t="s">
        <v>8540</v>
      </c>
      <c r="G319" t="s">
        <v>9404</v>
      </c>
    </row>
    <row r="320" spans="1:7" ht="11.25" customHeight="1">
      <c r="A320" s="289" t="s">
        <v>14</v>
      </c>
      <c r="B320" t="s">
        <v>9387</v>
      </c>
      <c r="C320" t="s">
        <v>9388</v>
      </c>
      <c r="D320" t="s">
        <v>9405</v>
      </c>
      <c r="E320" t="s">
        <v>9406</v>
      </c>
      <c r="F320" t="s">
        <v>8546</v>
      </c>
      <c r="G320" t="s">
        <v>9407</v>
      </c>
    </row>
    <row r="321" spans="1:7" ht="11.25" customHeight="1">
      <c r="A321" s="289" t="s">
        <v>14</v>
      </c>
      <c r="B321" t="s">
        <v>9387</v>
      </c>
      <c r="C321" t="s">
        <v>9388</v>
      </c>
      <c r="D321" t="s">
        <v>8637</v>
      </c>
      <c r="E321" t="s">
        <v>9408</v>
      </c>
      <c r="F321" t="s">
        <v>8546</v>
      </c>
      <c r="G321" t="s">
        <v>9409</v>
      </c>
    </row>
    <row r="322" spans="1:7" ht="11.25" customHeight="1">
      <c r="A322" s="289" t="s">
        <v>14</v>
      </c>
      <c r="B322" t="s">
        <v>9387</v>
      </c>
      <c r="C322" t="s">
        <v>9388</v>
      </c>
      <c r="D322" t="s">
        <v>9410</v>
      </c>
      <c r="E322" t="s">
        <v>9411</v>
      </c>
      <c r="F322" t="s">
        <v>8546</v>
      </c>
      <c r="G322" t="s">
        <v>9412</v>
      </c>
    </row>
    <row r="323" spans="1:7" ht="11.25" customHeight="1">
      <c r="A323" s="289" t="s">
        <v>14</v>
      </c>
      <c r="B323" t="s">
        <v>9413</v>
      </c>
      <c r="C323" t="s">
        <v>9414</v>
      </c>
      <c r="D323" t="s">
        <v>9413</v>
      </c>
      <c r="E323" t="s">
        <v>9414</v>
      </c>
      <c r="F323" t="s">
        <v>8532</v>
      </c>
      <c r="G323" t="s">
        <v>9415</v>
      </c>
    </row>
    <row r="324" spans="1:7" ht="11.25" customHeight="1">
      <c r="A324" s="289" t="s">
        <v>14</v>
      </c>
      <c r="B324" t="s">
        <v>9416</v>
      </c>
      <c r="C324" t="s">
        <v>9417</v>
      </c>
      <c r="D324" t="s">
        <v>9416</v>
      </c>
      <c r="E324" t="s">
        <v>9417</v>
      </c>
      <c r="F324" t="s">
        <v>8537</v>
      </c>
      <c r="G324" t="s">
        <v>9418</v>
      </c>
    </row>
    <row r="325" spans="1:7" ht="11.25" customHeight="1">
      <c r="A325" s="289" t="s">
        <v>14</v>
      </c>
      <c r="B325" t="s">
        <v>9416</v>
      </c>
      <c r="C325" t="s">
        <v>9417</v>
      </c>
      <c r="D325" t="s">
        <v>9419</v>
      </c>
      <c r="E325" t="s">
        <v>9420</v>
      </c>
      <c r="F325" t="s">
        <v>8543</v>
      </c>
      <c r="G325" t="s">
        <v>9421</v>
      </c>
    </row>
    <row r="326" spans="1:7" ht="11.25" customHeight="1">
      <c r="A326" s="289" t="s">
        <v>14</v>
      </c>
      <c r="B326" t="s">
        <v>9416</v>
      </c>
      <c r="C326" t="s">
        <v>9417</v>
      </c>
      <c r="D326" t="s">
        <v>9422</v>
      </c>
      <c r="E326" t="s">
        <v>9423</v>
      </c>
      <c r="F326" t="s">
        <v>8540</v>
      </c>
      <c r="G326" t="s">
        <v>9424</v>
      </c>
    </row>
    <row r="327" spans="1:7" ht="11.25" customHeight="1">
      <c r="A327" s="289" t="s">
        <v>14</v>
      </c>
      <c r="B327" t="s">
        <v>9416</v>
      </c>
      <c r="C327" t="s">
        <v>9417</v>
      </c>
      <c r="D327" t="s">
        <v>9425</v>
      </c>
      <c r="E327" t="s">
        <v>9426</v>
      </c>
      <c r="F327" t="s">
        <v>8546</v>
      </c>
      <c r="G327" t="s">
        <v>9427</v>
      </c>
    </row>
    <row r="328" spans="1:7" ht="11.25" customHeight="1">
      <c r="A328" s="289" t="s">
        <v>14</v>
      </c>
      <c r="B328" t="s">
        <v>9416</v>
      </c>
      <c r="C328" t="s">
        <v>9417</v>
      </c>
      <c r="D328" t="s">
        <v>9428</v>
      </c>
      <c r="E328" t="s">
        <v>9429</v>
      </c>
      <c r="F328" t="s">
        <v>8546</v>
      </c>
      <c r="G328" t="s">
        <v>9430</v>
      </c>
    </row>
    <row r="329" spans="1:7" ht="11.25" customHeight="1">
      <c r="A329" s="289" t="s">
        <v>14</v>
      </c>
      <c r="B329" t="s">
        <v>9416</v>
      </c>
      <c r="C329" t="s">
        <v>9417</v>
      </c>
      <c r="D329" t="s">
        <v>9431</v>
      </c>
      <c r="E329" t="s">
        <v>9432</v>
      </c>
      <c r="F329" t="s">
        <v>8546</v>
      </c>
      <c r="G329" t="s">
        <v>9433</v>
      </c>
    </row>
    <row r="330" spans="1:7" ht="11.25" customHeight="1">
      <c r="A330" s="289" t="s">
        <v>14</v>
      </c>
      <c r="B330" t="s">
        <v>9434</v>
      </c>
      <c r="C330" t="s">
        <v>9435</v>
      </c>
      <c r="D330" t="s">
        <v>9434</v>
      </c>
      <c r="E330" t="s">
        <v>9435</v>
      </c>
      <c r="F330" t="s">
        <v>8532</v>
      </c>
      <c r="G330" t="s">
        <v>9436</v>
      </c>
    </row>
    <row r="331" spans="1:7" ht="11.25" customHeight="1">
      <c r="A331" s="289" t="s">
        <v>14</v>
      </c>
      <c r="B331" t="s">
        <v>9437</v>
      </c>
      <c r="C331" t="s">
        <v>9438</v>
      </c>
      <c r="D331" t="s">
        <v>9437</v>
      </c>
      <c r="E331" t="s">
        <v>9438</v>
      </c>
      <c r="F331" t="s">
        <v>8537</v>
      </c>
      <c r="G331" t="s">
        <v>9439</v>
      </c>
    </row>
    <row r="332" spans="1:7" ht="11.25" customHeight="1">
      <c r="A332" s="289" t="s">
        <v>14</v>
      </c>
      <c r="B332" t="s">
        <v>9437</v>
      </c>
      <c r="C332" t="s">
        <v>9438</v>
      </c>
      <c r="D332" t="s">
        <v>9440</v>
      </c>
      <c r="E332" t="s">
        <v>9441</v>
      </c>
      <c r="F332" t="s">
        <v>8543</v>
      </c>
      <c r="G332" t="s">
        <v>9442</v>
      </c>
    </row>
    <row r="333" spans="1:7" ht="11.25" customHeight="1">
      <c r="A333" s="289" t="s">
        <v>14</v>
      </c>
      <c r="B333" t="s">
        <v>9437</v>
      </c>
      <c r="C333" t="s">
        <v>9438</v>
      </c>
      <c r="D333" t="s">
        <v>9443</v>
      </c>
      <c r="E333" t="s">
        <v>9444</v>
      </c>
      <c r="F333" t="s">
        <v>8543</v>
      </c>
      <c r="G333" t="s">
        <v>9445</v>
      </c>
    </row>
    <row r="334" spans="1:7" ht="11.25" customHeight="1">
      <c r="A334" s="289" t="s">
        <v>14</v>
      </c>
      <c r="B334" t="s">
        <v>9437</v>
      </c>
      <c r="C334" t="s">
        <v>9438</v>
      </c>
      <c r="D334" t="s">
        <v>9446</v>
      </c>
      <c r="E334" t="s">
        <v>9447</v>
      </c>
      <c r="F334" t="s">
        <v>8540</v>
      </c>
      <c r="G334" t="s">
        <v>9448</v>
      </c>
    </row>
    <row r="335" spans="1:7" ht="11.25" customHeight="1">
      <c r="A335" s="289" t="s">
        <v>14</v>
      </c>
      <c r="B335" t="s">
        <v>9437</v>
      </c>
      <c r="C335" t="s">
        <v>9438</v>
      </c>
      <c r="D335" t="s">
        <v>9449</v>
      </c>
      <c r="E335" t="s">
        <v>9450</v>
      </c>
      <c r="F335" t="s">
        <v>8546</v>
      </c>
      <c r="G335" t="s">
        <v>9451</v>
      </c>
    </row>
    <row r="336" spans="1:7" ht="11.25" customHeight="1">
      <c r="A336" s="289" t="s">
        <v>14</v>
      </c>
      <c r="B336" t="s">
        <v>9437</v>
      </c>
      <c r="C336" t="s">
        <v>9438</v>
      </c>
      <c r="D336" t="s">
        <v>9452</v>
      </c>
      <c r="E336" t="s">
        <v>9453</v>
      </c>
      <c r="F336" t="s">
        <v>8546</v>
      </c>
      <c r="G336" t="s">
        <v>9454</v>
      </c>
    </row>
    <row r="337" spans="1:7" ht="11.25" customHeight="1">
      <c r="A337" s="289" t="s">
        <v>14</v>
      </c>
      <c r="B337" t="s">
        <v>9437</v>
      </c>
      <c r="C337" t="s">
        <v>9438</v>
      </c>
      <c r="D337" t="s">
        <v>9455</v>
      </c>
      <c r="E337" t="s">
        <v>9456</v>
      </c>
      <c r="F337" t="s">
        <v>8546</v>
      </c>
      <c r="G337" t="s">
        <v>9457</v>
      </c>
    </row>
    <row r="338" spans="1:7" ht="11.25" customHeight="1">
      <c r="A338" s="289" t="s">
        <v>14</v>
      </c>
      <c r="B338" t="s">
        <v>9437</v>
      </c>
      <c r="C338" t="s">
        <v>9438</v>
      </c>
      <c r="D338" t="s">
        <v>9458</v>
      </c>
      <c r="E338" t="s">
        <v>9459</v>
      </c>
      <c r="F338" t="s">
        <v>8546</v>
      </c>
      <c r="G338" t="s">
        <v>9460</v>
      </c>
    </row>
    <row r="339" spans="1:7" ht="11.25" customHeight="1">
      <c r="A339" s="289" t="s">
        <v>14</v>
      </c>
      <c r="B339" t="s">
        <v>9461</v>
      </c>
      <c r="C339" t="s">
        <v>9462</v>
      </c>
      <c r="D339" t="s">
        <v>9461</v>
      </c>
      <c r="E339" t="s">
        <v>9462</v>
      </c>
      <c r="F339" t="s">
        <v>8537</v>
      </c>
      <c r="G339" t="s">
        <v>9463</v>
      </c>
    </row>
    <row r="340" spans="1:7" ht="11.25" customHeight="1">
      <c r="A340" s="289" t="s">
        <v>14</v>
      </c>
      <c r="B340" t="s">
        <v>9461</v>
      </c>
      <c r="C340" t="s">
        <v>9462</v>
      </c>
      <c r="D340" t="s">
        <v>9464</v>
      </c>
      <c r="E340" t="s">
        <v>9465</v>
      </c>
      <c r="F340" t="s">
        <v>8543</v>
      </c>
      <c r="G340" t="s">
        <v>9466</v>
      </c>
    </row>
    <row r="341" spans="1:7" ht="11.25" customHeight="1">
      <c r="A341" s="289" t="s">
        <v>14</v>
      </c>
      <c r="B341" t="s">
        <v>9461</v>
      </c>
      <c r="C341" t="s">
        <v>9462</v>
      </c>
      <c r="D341" t="s">
        <v>8603</v>
      </c>
      <c r="E341" t="s">
        <v>9467</v>
      </c>
      <c r="F341" t="s">
        <v>8546</v>
      </c>
      <c r="G341" t="s">
        <v>9468</v>
      </c>
    </row>
    <row r="342" spans="1:7" ht="11.25" customHeight="1">
      <c r="A342" s="289" t="s">
        <v>14</v>
      </c>
      <c r="B342" t="s">
        <v>9461</v>
      </c>
      <c r="C342" t="s">
        <v>9462</v>
      </c>
      <c r="D342" t="s">
        <v>9469</v>
      </c>
      <c r="E342" t="s">
        <v>9470</v>
      </c>
      <c r="F342" t="s">
        <v>8546</v>
      </c>
      <c r="G342" t="s">
        <v>9471</v>
      </c>
    </row>
    <row r="343" spans="1:7" ht="11.25" customHeight="1">
      <c r="A343" s="289" t="s">
        <v>14</v>
      </c>
      <c r="B343" t="s">
        <v>9461</v>
      </c>
      <c r="C343" t="s">
        <v>9462</v>
      </c>
      <c r="D343" t="s">
        <v>9472</v>
      </c>
      <c r="E343" t="s">
        <v>9473</v>
      </c>
      <c r="F343" t="s">
        <v>8546</v>
      </c>
      <c r="G343" t="s">
        <v>9474</v>
      </c>
    </row>
    <row r="344" spans="1:7" ht="11.25" customHeight="1">
      <c r="A344" s="289" t="s">
        <v>14</v>
      </c>
      <c r="B344" t="s">
        <v>9475</v>
      </c>
      <c r="C344" t="s">
        <v>9476</v>
      </c>
      <c r="D344" t="s">
        <v>9475</v>
      </c>
      <c r="E344" t="s">
        <v>9476</v>
      </c>
      <c r="F344" t="s">
        <v>8532</v>
      </c>
      <c r="G344" t="s">
        <v>9477</v>
      </c>
    </row>
    <row r="345" spans="1:7" ht="11.25" customHeight="1">
      <c r="A345" s="289" t="s">
        <v>14</v>
      </c>
      <c r="B345" t="s">
        <v>9478</v>
      </c>
      <c r="C345" t="s">
        <v>9479</v>
      </c>
      <c r="D345" t="s">
        <v>9478</v>
      </c>
      <c r="E345" t="s">
        <v>9479</v>
      </c>
      <c r="F345" t="s">
        <v>8537</v>
      </c>
      <c r="G345" t="s">
        <v>9480</v>
      </c>
    </row>
    <row r="346" spans="1:7" ht="11.25" customHeight="1">
      <c r="A346" s="289" t="s">
        <v>14</v>
      </c>
      <c r="B346" t="s">
        <v>9478</v>
      </c>
      <c r="C346" t="s">
        <v>9479</v>
      </c>
      <c r="D346" t="s">
        <v>9481</v>
      </c>
      <c r="E346" t="s">
        <v>9482</v>
      </c>
      <c r="F346" t="s">
        <v>8543</v>
      </c>
      <c r="G346" t="s">
        <v>9483</v>
      </c>
    </row>
    <row r="347" spans="1:7" ht="11.25" customHeight="1">
      <c r="A347" s="289" t="s">
        <v>14</v>
      </c>
      <c r="B347" t="s">
        <v>9478</v>
      </c>
      <c r="C347" t="s">
        <v>9479</v>
      </c>
      <c r="D347" t="s">
        <v>9484</v>
      </c>
      <c r="E347" t="s">
        <v>9485</v>
      </c>
      <c r="F347" t="s">
        <v>8543</v>
      </c>
      <c r="G347" t="s">
        <v>9486</v>
      </c>
    </row>
    <row r="348" spans="1:7" ht="11.25" customHeight="1">
      <c r="A348" s="289" t="s">
        <v>14</v>
      </c>
      <c r="B348" t="s">
        <v>9478</v>
      </c>
      <c r="C348" t="s">
        <v>9479</v>
      </c>
      <c r="D348" t="s">
        <v>9487</v>
      </c>
      <c r="E348" t="s">
        <v>9488</v>
      </c>
      <c r="F348" t="s">
        <v>8543</v>
      </c>
      <c r="G348" t="s">
        <v>9489</v>
      </c>
    </row>
    <row r="349" spans="1:7" ht="11.25" customHeight="1">
      <c r="A349" s="289" t="s">
        <v>14</v>
      </c>
      <c r="B349" t="s">
        <v>9478</v>
      </c>
      <c r="C349" t="s">
        <v>9479</v>
      </c>
      <c r="D349" t="s">
        <v>9490</v>
      </c>
      <c r="E349" t="s">
        <v>9491</v>
      </c>
      <c r="F349" t="s">
        <v>8543</v>
      </c>
      <c r="G349" t="s">
        <v>9492</v>
      </c>
    </row>
    <row r="350" spans="1:7" ht="11.25" customHeight="1">
      <c r="A350" s="289" t="s">
        <v>14</v>
      </c>
      <c r="B350" t="s">
        <v>9478</v>
      </c>
      <c r="C350" t="s">
        <v>9479</v>
      </c>
      <c r="D350" t="s">
        <v>9493</v>
      </c>
      <c r="E350" t="s">
        <v>9494</v>
      </c>
      <c r="F350" t="s">
        <v>8540</v>
      </c>
      <c r="G350" t="s">
        <v>9495</v>
      </c>
    </row>
    <row r="351" spans="1:7" ht="11.25" customHeight="1">
      <c r="A351" s="289" t="s">
        <v>14</v>
      </c>
      <c r="B351" t="s">
        <v>9478</v>
      </c>
      <c r="C351" t="s">
        <v>9479</v>
      </c>
      <c r="D351" t="s">
        <v>9496</v>
      </c>
      <c r="E351" t="s">
        <v>9497</v>
      </c>
      <c r="F351" t="s">
        <v>8546</v>
      </c>
      <c r="G351" t="s">
        <v>9498</v>
      </c>
    </row>
    <row r="352" spans="1:7" ht="11.25" customHeight="1">
      <c r="A352" s="289" t="s">
        <v>14</v>
      </c>
      <c r="B352" t="s">
        <v>9478</v>
      </c>
      <c r="C352" t="s">
        <v>9479</v>
      </c>
      <c r="D352" t="s">
        <v>9499</v>
      </c>
      <c r="E352" t="s">
        <v>9500</v>
      </c>
      <c r="F352" t="s">
        <v>8546</v>
      </c>
      <c r="G352" t="s">
        <v>9501</v>
      </c>
    </row>
    <row r="353" spans="1:7" ht="11.25" customHeight="1">
      <c r="A353" s="289" t="s">
        <v>14</v>
      </c>
      <c r="B353" t="s">
        <v>9478</v>
      </c>
      <c r="C353" t="s">
        <v>9479</v>
      </c>
      <c r="D353" t="s">
        <v>9502</v>
      </c>
      <c r="E353" t="s">
        <v>9503</v>
      </c>
      <c r="F353" t="s">
        <v>8546</v>
      </c>
      <c r="G353" t="s">
        <v>9504</v>
      </c>
    </row>
    <row r="354" spans="1:7" ht="11.25" customHeight="1">
      <c r="A354" s="289" t="s">
        <v>14</v>
      </c>
      <c r="B354" t="s">
        <v>9478</v>
      </c>
      <c r="C354" t="s">
        <v>9479</v>
      </c>
      <c r="D354" t="s">
        <v>9505</v>
      </c>
      <c r="E354" t="s">
        <v>9506</v>
      </c>
      <c r="F354" t="s">
        <v>8546</v>
      </c>
      <c r="G354" t="s">
        <v>9507</v>
      </c>
    </row>
    <row r="355" spans="1:7" ht="11.25" customHeight="1">
      <c r="A355" s="289" t="s">
        <v>14</v>
      </c>
      <c r="B355" t="s">
        <v>9478</v>
      </c>
      <c r="C355" t="s">
        <v>9479</v>
      </c>
      <c r="D355" t="s">
        <v>9508</v>
      </c>
      <c r="E355" t="s">
        <v>9509</v>
      </c>
      <c r="F355" t="s">
        <v>8546</v>
      </c>
      <c r="G355" t="s">
        <v>9510</v>
      </c>
    </row>
    <row r="356" spans="1:7" ht="11.25" customHeight="1">
      <c r="A356" s="289" t="s">
        <v>14</v>
      </c>
      <c r="B356" t="s">
        <v>9511</v>
      </c>
      <c r="C356" t="s">
        <v>9512</v>
      </c>
      <c r="D356" t="s">
        <v>9511</v>
      </c>
      <c r="E356" t="s">
        <v>9512</v>
      </c>
      <c r="F356" t="s">
        <v>8532</v>
      </c>
      <c r="G356" t="s">
        <v>9513</v>
      </c>
    </row>
    <row r="357" spans="1:7" ht="11.25" customHeight="1">
      <c r="A357" s="289" t="s">
        <v>14</v>
      </c>
      <c r="B357" t="s">
        <v>9514</v>
      </c>
      <c r="C357" t="s">
        <v>9515</v>
      </c>
      <c r="D357" t="s">
        <v>9514</v>
      </c>
      <c r="E357" t="s">
        <v>9515</v>
      </c>
      <c r="F357" t="s">
        <v>8532</v>
      </c>
      <c r="G357" t="s">
        <v>9516</v>
      </c>
    </row>
    <row r="358" spans="1:7" ht="11.25" customHeight="1">
      <c r="A358" s="289" t="s">
        <v>14</v>
      </c>
      <c r="B358" t="s">
        <v>9517</v>
      </c>
      <c r="C358" t="s">
        <v>9518</v>
      </c>
      <c r="D358" t="s">
        <v>9517</v>
      </c>
      <c r="E358" t="s">
        <v>9518</v>
      </c>
      <c r="F358" t="s">
        <v>8532</v>
      </c>
      <c r="G358" t="s">
        <v>9519</v>
      </c>
    </row>
    <row r="359" spans="1:7" ht="11.25" customHeight="1">
      <c r="A359" s="289" t="s">
        <v>14</v>
      </c>
      <c r="B359" t="s">
        <v>9520</v>
      </c>
      <c r="C359" t="s">
        <v>9521</v>
      </c>
      <c r="D359" t="s">
        <v>9520</v>
      </c>
      <c r="E359" t="s">
        <v>9521</v>
      </c>
      <c r="F359" t="s">
        <v>8532</v>
      </c>
      <c r="G359" t="s">
        <v>9522</v>
      </c>
    </row>
    <row r="360" spans="1:7" ht="11.25" customHeight="1">
      <c r="A360" s="289" t="s">
        <v>14</v>
      </c>
      <c r="B360" t="s">
        <v>9523</v>
      </c>
      <c r="C360" t="s">
        <v>9524</v>
      </c>
      <c r="D360" t="s">
        <v>9523</v>
      </c>
      <c r="E360" t="s">
        <v>9524</v>
      </c>
      <c r="F360" t="s">
        <v>8532</v>
      </c>
      <c r="G360" t="s">
        <v>9525</v>
      </c>
    </row>
    <row r="361" spans="1:7" ht="11.25" customHeight="1">
      <c r="A361" s="289" t="s">
        <v>14</v>
      </c>
      <c r="B361" t="s">
        <v>9526</v>
      </c>
      <c r="C361" t="s">
        <v>9527</v>
      </c>
      <c r="D361" t="s">
        <v>9526</v>
      </c>
      <c r="E361" t="s">
        <v>9527</v>
      </c>
      <c r="F361" t="s">
        <v>8532</v>
      </c>
      <c r="G361" t="s">
        <v>9528</v>
      </c>
    </row>
    <row r="362" spans="1:7" ht="11.25" customHeight="1">
      <c r="A362" s="289" t="s">
        <v>14</v>
      </c>
      <c r="B362" t="s">
        <v>9529</v>
      </c>
      <c r="C362" t="s">
        <v>9530</v>
      </c>
      <c r="D362" t="s">
        <v>9529</v>
      </c>
      <c r="E362" t="s">
        <v>9530</v>
      </c>
      <c r="F362" t="s">
        <v>8532</v>
      </c>
      <c r="G362" t="s">
        <v>9531</v>
      </c>
    </row>
    <row r="363" spans="1:7" ht="11.25" customHeight="1">
      <c r="A363" s="289" t="s">
        <v>14</v>
      </c>
      <c r="B363" t="s">
        <v>9532</v>
      </c>
      <c r="C363" t="s">
        <v>9533</v>
      </c>
      <c r="D363" t="s">
        <v>9532</v>
      </c>
      <c r="E363" t="s">
        <v>9533</v>
      </c>
      <c r="F363" t="s">
        <v>8532</v>
      </c>
      <c r="G363" t="s">
        <v>9534</v>
      </c>
    </row>
    <row r="364" spans="1:7" ht="11.25" customHeight="1">
      <c r="A364" s="289" t="s">
        <v>14</v>
      </c>
      <c r="B364" t="s">
        <v>9535</v>
      </c>
      <c r="C364" t="s">
        <v>9536</v>
      </c>
      <c r="D364" t="s">
        <v>9535</v>
      </c>
      <c r="E364" t="s">
        <v>9536</v>
      </c>
      <c r="F364" t="s">
        <v>8532</v>
      </c>
      <c r="G364" t="s">
        <v>9537</v>
      </c>
    </row>
    <row r="365" spans="1:7" ht="11.25" customHeight="1">
      <c r="A365" s="289" t="s">
        <v>14</v>
      </c>
      <c r="B365" t="s">
        <v>9538</v>
      </c>
      <c r="C365" t="s">
        <v>9539</v>
      </c>
      <c r="D365" t="s">
        <v>9538</v>
      </c>
      <c r="E365" t="s">
        <v>9539</v>
      </c>
      <c r="F365" t="s">
        <v>8532</v>
      </c>
      <c r="G365" t="s">
        <v>9540</v>
      </c>
    </row>
    <row r="366" spans="1:7" ht="11.25" customHeight="1">
      <c r="A366" s="289" t="s">
        <v>14</v>
      </c>
      <c r="B366" t="s">
        <v>9541</v>
      </c>
      <c r="C366" t="s">
        <v>9542</v>
      </c>
      <c r="D366" t="s">
        <v>9541</v>
      </c>
      <c r="E366" t="s">
        <v>9542</v>
      </c>
      <c r="F366" t="s">
        <v>8532</v>
      </c>
      <c r="G366" t="s">
        <v>9543</v>
      </c>
    </row>
    <row r="367" spans="1:7" ht="11.25" customHeight="1">
      <c r="A367" s="289" t="s">
        <v>14</v>
      </c>
      <c r="B367" t="s">
        <v>9544</v>
      </c>
      <c r="C367" t="s">
        <v>9545</v>
      </c>
      <c r="D367" t="s">
        <v>9544</v>
      </c>
      <c r="E367" t="s">
        <v>9545</v>
      </c>
      <c r="F367" t="s">
        <v>8532</v>
      </c>
      <c r="G367" t="s">
        <v>9546</v>
      </c>
    </row>
    <row r="368" spans="1:7" ht="11.25" customHeight="1">
      <c r="A368" s="289" t="s">
        <v>14</v>
      </c>
      <c r="B368" t="s">
        <v>9547</v>
      </c>
      <c r="C368" t="s">
        <v>9548</v>
      </c>
      <c r="D368" t="s">
        <v>9547</v>
      </c>
      <c r="E368" t="s">
        <v>9548</v>
      </c>
      <c r="F368" t="s">
        <v>8532</v>
      </c>
      <c r="G368" t="s">
        <v>9549</v>
      </c>
    </row>
    <row r="369" spans="1:7" ht="11.25" customHeight="1">
      <c r="A369" s="289" t="s">
        <v>14</v>
      </c>
      <c r="B369" t="s">
        <v>9550</v>
      </c>
      <c r="C369" t="s">
        <v>9551</v>
      </c>
      <c r="D369" t="s">
        <v>9550</v>
      </c>
      <c r="E369" t="s">
        <v>9551</v>
      </c>
      <c r="F369" t="s">
        <v>8532</v>
      </c>
      <c r="G369" t="s">
        <v>9552</v>
      </c>
    </row>
    <row r="370" spans="1:7" ht="11.25" customHeight="1">
      <c r="A370" s="289" t="s">
        <v>14</v>
      </c>
      <c r="B370" t="s">
        <v>9553</v>
      </c>
      <c r="C370" t="s">
        <v>9554</v>
      </c>
      <c r="D370" t="s">
        <v>9553</v>
      </c>
      <c r="E370" t="s">
        <v>9554</v>
      </c>
      <c r="F370" t="s">
        <v>8532</v>
      </c>
      <c r="G370" t="s">
        <v>9555</v>
      </c>
    </row>
    <row r="371" spans="1:7" ht="11.25" customHeight="1">
      <c r="A371" s="289" t="s">
        <v>14</v>
      </c>
      <c r="B371" t="s">
        <v>9556</v>
      </c>
      <c r="C371" t="s">
        <v>9557</v>
      </c>
      <c r="D371" t="s">
        <v>9556</v>
      </c>
      <c r="E371" t="s">
        <v>9557</v>
      </c>
      <c r="F371" t="s">
        <v>8532</v>
      </c>
      <c r="G371" t="s">
        <v>9558</v>
      </c>
    </row>
    <row r="372" spans="1:7" ht="11.25" customHeight="1">
      <c r="A372" s="289" t="s">
        <v>14</v>
      </c>
      <c r="B372" t="s">
        <v>9559</v>
      </c>
      <c r="C372" t="s">
        <v>9560</v>
      </c>
      <c r="D372" t="s">
        <v>9559</v>
      </c>
      <c r="E372" t="s">
        <v>9560</v>
      </c>
      <c r="F372" t="s">
        <v>8532</v>
      </c>
      <c r="G372" t="s">
        <v>9561</v>
      </c>
    </row>
    <row r="373" spans="1:7" ht="11.25" customHeight="1">
      <c r="A373" s="289" t="s">
        <v>14</v>
      </c>
      <c r="B373" t="s">
        <v>9562</v>
      </c>
      <c r="C373" t="s">
        <v>9563</v>
      </c>
      <c r="D373" t="s">
        <v>9562</v>
      </c>
      <c r="E373" t="s">
        <v>9563</v>
      </c>
      <c r="F373" t="s">
        <v>8532</v>
      </c>
      <c r="G373" t="s">
        <v>9564</v>
      </c>
    </row>
    <row r="374" spans="1:7" ht="11.25" customHeight="1">
      <c r="A374" s="289" t="s">
        <v>14</v>
      </c>
      <c r="B374" t="s">
        <v>9565</v>
      </c>
      <c r="C374" t="s">
        <v>9566</v>
      </c>
      <c r="D374" t="s">
        <v>9565</v>
      </c>
      <c r="E374" t="s">
        <v>9566</v>
      </c>
      <c r="F374" t="s">
        <v>8532</v>
      </c>
      <c r="G374" t="s">
        <v>9567</v>
      </c>
    </row>
    <row r="375" spans="1:7" ht="11.25" customHeight="1">
      <c r="A375" s="289" t="s">
        <v>14</v>
      </c>
      <c r="B375" t="s">
        <v>9568</v>
      </c>
      <c r="C375" t="s">
        <v>9569</v>
      </c>
      <c r="D375" t="s">
        <v>9568</v>
      </c>
      <c r="E375" t="s">
        <v>9569</v>
      </c>
      <c r="F375" t="s">
        <v>8532</v>
      </c>
      <c r="G375" t="s">
        <v>9570</v>
      </c>
    </row>
    <row r="376" spans="1:7" ht="11.25" customHeight="1">
      <c r="A376" s="289" t="s">
        <v>14</v>
      </c>
      <c r="B376" t="s">
        <v>9571</v>
      </c>
      <c r="C376" t="s">
        <v>9572</v>
      </c>
      <c r="D376" t="s">
        <v>9571</v>
      </c>
      <c r="E376" t="s">
        <v>9572</v>
      </c>
      <c r="F376" t="s">
        <v>8532</v>
      </c>
      <c r="G376" t="s">
        <v>9573</v>
      </c>
    </row>
    <row r="377" spans="1:7" ht="11.25" customHeight="1">
      <c r="A377" s="289" t="s">
        <v>14</v>
      </c>
      <c r="B377" t="s">
        <v>9574</v>
      </c>
      <c r="C377" t="s">
        <v>9575</v>
      </c>
      <c r="D377" t="s">
        <v>9574</v>
      </c>
      <c r="E377" t="s">
        <v>9575</v>
      </c>
      <c r="F377" t="s">
        <v>8532</v>
      </c>
      <c r="G377" t="s">
        <v>9576</v>
      </c>
    </row>
    <row r="378" spans="1:7" ht="11.25" customHeight="1">
      <c r="A378" s="289" t="s">
        <v>14</v>
      </c>
      <c r="B378" t="s">
        <v>9577</v>
      </c>
      <c r="C378" t="s">
        <v>9578</v>
      </c>
      <c r="D378" t="s">
        <v>9577</v>
      </c>
      <c r="E378" t="s">
        <v>9578</v>
      </c>
      <c r="F378" t="s">
        <v>8532</v>
      </c>
      <c r="G378" t="s">
        <v>9579</v>
      </c>
    </row>
    <row r="379" spans="1:7" ht="11.25" customHeight="1">
      <c r="A379" s="289" t="s">
        <v>14</v>
      </c>
      <c r="B379" t="s">
        <v>9580</v>
      </c>
      <c r="C379" t="s">
        <v>9581</v>
      </c>
      <c r="D379" t="s">
        <v>9580</v>
      </c>
      <c r="E379" t="s">
        <v>9581</v>
      </c>
      <c r="F379" t="s">
        <v>8532</v>
      </c>
      <c r="G379" t="s">
        <v>9582</v>
      </c>
    </row>
    <row r="380" spans="1:7" ht="11.25" customHeight="1">
      <c r="A380" s="289" t="s">
        <v>14</v>
      </c>
      <c r="B380" t="s">
        <v>9583</v>
      </c>
      <c r="C380" t="s">
        <v>9584</v>
      </c>
      <c r="D380" t="s">
        <v>9583</v>
      </c>
      <c r="E380" t="s">
        <v>9584</v>
      </c>
      <c r="F380" t="s">
        <v>8532</v>
      </c>
      <c r="G380" t="s">
        <v>9585</v>
      </c>
    </row>
    <row r="381" spans="1:7" ht="11.25" customHeight="1">
      <c r="A381" s="289" t="s">
        <v>14</v>
      </c>
      <c r="B381" t="s">
        <v>9586</v>
      </c>
      <c r="C381" t="s">
        <v>9587</v>
      </c>
      <c r="D381" t="s">
        <v>9586</v>
      </c>
      <c r="E381" t="s">
        <v>9587</v>
      </c>
      <c r="F381" t="s">
        <v>8532</v>
      </c>
      <c r="G381" t="s">
        <v>9588</v>
      </c>
    </row>
    <row r="382" spans="1:7" ht="11.25" customHeight="1">
      <c r="A382" s="289" t="s">
        <v>14</v>
      </c>
      <c r="B382" t="s">
        <v>9589</v>
      </c>
      <c r="C382" t="s">
        <v>9590</v>
      </c>
      <c r="D382" t="s">
        <v>9589</v>
      </c>
      <c r="E382" t="s">
        <v>9590</v>
      </c>
      <c r="F382" t="s">
        <v>8532</v>
      </c>
      <c r="G382" t="s">
        <v>9591</v>
      </c>
    </row>
    <row r="383" spans="1:7" ht="11.25" customHeight="1">
      <c r="A383" s="289" t="s">
        <v>14</v>
      </c>
      <c r="B383" t="s">
        <v>9592</v>
      </c>
      <c r="C383" t="s">
        <v>9593</v>
      </c>
      <c r="D383" t="s">
        <v>9592</v>
      </c>
      <c r="E383" t="s">
        <v>9593</v>
      </c>
      <c r="F383" t="s">
        <v>8532</v>
      </c>
      <c r="G383" t="s">
        <v>9594</v>
      </c>
    </row>
    <row r="384" spans="1:7" ht="11.25" customHeight="1">
      <c r="A384" s="289" t="s">
        <v>14</v>
      </c>
      <c r="B384" t="s">
        <v>9595</v>
      </c>
      <c r="C384" t="s">
        <v>9596</v>
      </c>
      <c r="D384" t="s">
        <v>9595</v>
      </c>
      <c r="E384" t="s">
        <v>9596</v>
      </c>
      <c r="F384" t="s">
        <v>8532</v>
      </c>
      <c r="G384" t="s">
        <v>9597</v>
      </c>
    </row>
    <row r="385" spans="1:7" ht="11.25" customHeight="1">
      <c r="A385" s="289" t="s">
        <v>14</v>
      </c>
      <c r="B385" t="s">
        <v>9598</v>
      </c>
      <c r="C385" t="s">
        <v>9599</v>
      </c>
      <c r="D385" t="s">
        <v>9598</v>
      </c>
      <c r="E385" t="s">
        <v>9599</v>
      </c>
      <c r="F385" t="s">
        <v>8532</v>
      </c>
      <c r="G385" t="s">
        <v>9600</v>
      </c>
    </row>
    <row r="386" spans="1:7" ht="11.25" customHeight="1">
      <c r="A386" s="289" t="s">
        <v>14</v>
      </c>
      <c r="B386" t="s">
        <v>9601</v>
      </c>
      <c r="C386" t="s">
        <v>9602</v>
      </c>
      <c r="D386" t="s">
        <v>9601</v>
      </c>
      <c r="E386" t="s">
        <v>9602</v>
      </c>
      <c r="F386" t="s">
        <v>8532</v>
      </c>
      <c r="G386" t="s">
        <v>9603</v>
      </c>
    </row>
    <row r="387" spans="1:7" ht="11.25" customHeight="1">
      <c r="A387" s="289" t="s">
        <v>14</v>
      </c>
      <c r="B387" t="s">
        <v>9604</v>
      </c>
      <c r="C387" t="s">
        <v>9605</v>
      </c>
      <c r="D387" t="s">
        <v>9604</v>
      </c>
      <c r="E387" t="s">
        <v>9605</v>
      </c>
      <c r="F387" t="s">
        <v>8532</v>
      </c>
      <c r="G387" t="s">
        <v>9606</v>
      </c>
    </row>
    <row r="388" spans="1:7" ht="11.25" customHeight="1">
      <c r="A388" s="289" t="s">
        <v>14</v>
      </c>
      <c r="B388" t="s">
        <v>116</v>
      </c>
      <c r="C388" t="s">
        <v>118</v>
      </c>
      <c r="D388" t="s">
        <v>116</v>
      </c>
      <c r="E388" t="s">
        <v>118</v>
      </c>
      <c r="F388" t="s">
        <v>8532</v>
      </c>
      <c r="G388" t="s">
        <v>117</v>
      </c>
    </row>
    <row r="389" spans="1:7" ht="11.25" customHeight="1">
      <c r="A389" s="289" t="s">
        <v>14</v>
      </c>
      <c r="B389" t="s">
        <v>9607</v>
      </c>
      <c r="C389" t="s">
        <v>9608</v>
      </c>
      <c r="D389" t="s">
        <v>9607</v>
      </c>
      <c r="E389" t="s">
        <v>9608</v>
      </c>
      <c r="F389" t="s">
        <v>8532</v>
      </c>
      <c r="G389" t="s">
        <v>9609</v>
      </c>
    </row>
    <row r="390" spans="1:7" ht="11.25" customHeight="1">
      <c r="A390" s="289" t="s">
        <v>14</v>
      </c>
      <c r="B390" t="s">
        <v>9610</v>
      </c>
      <c r="C390" t="s">
        <v>9611</v>
      </c>
      <c r="D390" t="s">
        <v>9610</v>
      </c>
      <c r="E390" t="s">
        <v>9611</v>
      </c>
      <c r="F390" t="s">
        <v>8532</v>
      </c>
      <c r="G390" t="s">
        <v>9612</v>
      </c>
    </row>
    <row r="391" spans="1:7" ht="11.25" customHeight="1">
      <c r="A391" s="289" t="s">
        <v>14</v>
      </c>
      <c r="B391" t="s">
        <v>9613</v>
      </c>
      <c r="C391" t="s">
        <v>9614</v>
      </c>
      <c r="D391" t="s">
        <v>9613</v>
      </c>
      <c r="E391" t="s">
        <v>9614</v>
      </c>
      <c r="F391" t="s">
        <v>8532</v>
      </c>
      <c r="G391" t="s">
        <v>9615</v>
      </c>
    </row>
    <row r="392" spans="1:7" ht="11.25" customHeight="1">
      <c r="A392" s="289" t="s">
        <v>14</v>
      </c>
      <c r="B392" t="s">
        <v>9616</v>
      </c>
      <c r="C392" t="s">
        <v>9617</v>
      </c>
      <c r="D392" t="s">
        <v>9616</v>
      </c>
      <c r="E392" t="s">
        <v>9617</v>
      </c>
      <c r="F392" t="s">
        <v>8532</v>
      </c>
      <c r="G392" t="s">
        <v>9618</v>
      </c>
    </row>
    <row r="393" spans="1:7" ht="11.25" customHeight="1">
      <c r="A393" s="289" t="s">
        <v>14</v>
      </c>
      <c r="B393" t="s">
        <v>9619</v>
      </c>
      <c r="C393" t="s">
        <v>9620</v>
      </c>
      <c r="D393" t="s">
        <v>9619</v>
      </c>
      <c r="E393" t="s">
        <v>9620</v>
      </c>
      <c r="F393" t="s">
        <v>8532</v>
      </c>
      <c r="G393" t="s">
        <v>9621</v>
      </c>
    </row>
    <row r="394" spans="1:7" ht="11.25" customHeight="1">
      <c r="A394" s="289" t="s">
        <v>14</v>
      </c>
      <c r="B394" t="s">
        <v>9622</v>
      </c>
      <c r="C394" t="s">
        <v>9623</v>
      </c>
      <c r="D394" t="s">
        <v>9622</v>
      </c>
      <c r="E394" t="s">
        <v>9623</v>
      </c>
      <c r="F394" t="s">
        <v>8532</v>
      </c>
      <c r="G394" t="s">
        <v>9624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5190" customWidth="1"/>
    <col min="2" max="2" width="10.42578125" style="5190" customWidth="1"/>
    <col min="3" max="3" width="7.5703125" style="5191" customWidth="1"/>
    <col min="4" max="4" width="13.85546875" style="5190" customWidth="1"/>
    <col min="5" max="5" width="11.5703125" style="5190" customWidth="1"/>
    <col min="6" max="6" width="16.28515625" style="5190" customWidth="1"/>
    <col min="7" max="7" width="16" style="5190" customWidth="1"/>
    <col min="8" max="9" width="16.140625" style="5190" customWidth="1"/>
  </cols>
  <sheetData>
    <row r="1" spans="1:9" ht="11.25" customHeight="1">
      <c r="A1" s="734" t="s">
        <v>9625</v>
      </c>
      <c r="B1" s="734" t="s">
        <v>9626</v>
      </c>
      <c r="C1" s="1041" t="s">
        <v>9627</v>
      </c>
      <c r="D1" s="734" t="s">
        <v>9628</v>
      </c>
      <c r="E1" s="734" t="s">
        <v>9629</v>
      </c>
      <c r="F1" s="1041" t="s">
        <v>9630</v>
      </c>
      <c r="G1" s="1041" t="s">
        <v>9631</v>
      </c>
      <c r="H1" s="1041" t="s">
        <v>9632</v>
      </c>
      <c r="I1" s="1041" t="s">
        <v>9633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7"/>
  <sheetViews>
    <sheetView showGridLines="0" workbookViewId="0"/>
  </sheetViews>
  <sheetFormatPr defaultColWidth="9.140625" defaultRowHeight="11.25" customHeight="1"/>
  <cols>
    <col min="1" max="2" width="9.140625" style="1"/>
  </cols>
  <sheetData>
    <row r="1" spans="1:2" ht="11.25" customHeight="1">
      <c r="A1" s="1" t="s">
        <v>148</v>
      </c>
      <c r="B1" s="1" t="s">
        <v>9634</v>
      </c>
    </row>
    <row r="2" spans="1:2" ht="11.25" customHeight="1">
      <c r="A2" s="1" t="s">
        <v>95</v>
      </c>
      <c r="B2" s="1" t="s">
        <v>96</v>
      </c>
    </row>
    <row r="3" spans="1:2" ht="11.25" customHeight="1">
      <c r="A3" s="1" t="s">
        <v>102</v>
      </c>
      <c r="B3" s="1" t="s">
        <v>103</v>
      </c>
    </row>
    <row r="4" spans="1:2" ht="11.25" customHeight="1">
      <c r="A4" s="1" t="s">
        <v>106</v>
      </c>
      <c r="B4" s="1" t="s">
        <v>107</v>
      </c>
    </row>
    <row r="5" spans="1:2" ht="11.25" customHeight="1">
      <c r="A5" s="1" t="s">
        <v>110</v>
      </c>
      <c r="B5" s="1" t="s">
        <v>111</v>
      </c>
    </row>
    <row r="6" spans="1:2" ht="11.25" customHeight="1">
      <c r="A6" s="1" t="s">
        <v>115</v>
      </c>
      <c r="B6" s="1" t="s">
        <v>116</v>
      </c>
    </row>
    <row r="7" spans="1:2" ht="11.25" customHeight="1">
      <c r="A7" s="1" t="s">
        <v>119</v>
      </c>
      <c r="B7" s="1" t="s">
        <v>120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5190"/>
    <col min="2" max="2" width="65.28515625" style="5190" customWidth="1"/>
  </cols>
  <sheetData>
    <row r="1" spans="1:2" ht="11.25" customHeight="1">
      <c r="A1" s="734" t="s">
        <v>9635</v>
      </c>
      <c r="B1" s="734" t="s">
        <v>9636</v>
      </c>
    </row>
    <row r="2" spans="1:2" ht="11.25" customHeight="1">
      <c r="A2" s="734">
        <v>4213775</v>
      </c>
      <c r="B2" s="734" t="s">
        <v>1225</v>
      </c>
    </row>
    <row r="3" spans="1:2" ht="11.25" customHeight="1">
      <c r="A3" s="734">
        <v>4213784</v>
      </c>
      <c r="B3" s="734" t="s">
        <v>1260</v>
      </c>
    </row>
    <row r="4" spans="1:2" ht="11.25" customHeight="1">
      <c r="A4" s="734">
        <v>4213781</v>
      </c>
      <c r="B4" s="734" t="s">
        <v>1253</v>
      </c>
    </row>
    <row r="5" spans="1:2" ht="11.25" customHeight="1">
      <c r="A5" s="734">
        <v>4213776</v>
      </c>
      <c r="B5" s="734" t="s">
        <v>183</v>
      </c>
    </row>
    <row r="6" spans="1:2" ht="11.25" customHeight="1">
      <c r="A6" s="734">
        <v>4213777</v>
      </c>
      <c r="B6" s="734" t="s">
        <v>189</v>
      </c>
    </row>
    <row r="7" spans="1:2" ht="11.25" customHeight="1">
      <c r="A7" s="734">
        <v>4213778</v>
      </c>
      <c r="B7" s="734" t="s">
        <v>195</v>
      </c>
    </row>
    <row r="8" spans="1:2" ht="11.25" customHeight="1">
      <c r="A8" s="734">
        <v>4213780</v>
      </c>
      <c r="B8" s="734" t="s">
        <v>201</v>
      </c>
    </row>
    <row r="9" spans="1:2" ht="11.25" customHeight="1">
      <c r="A9" s="734">
        <v>4213779</v>
      </c>
      <c r="B9" s="734" t="s">
        <v>1393</v>
      </c>
    </row>
    <row r="10" spans="1:2" ht="11.25" customHeight="1">
      <c r="A10" s="734">
        <v>4213783</v>
      </c>
      <c r="B10" s="734" t="s">
        <v>219</v>
      </c>
    </row>
    <row r="11" spans="1:2" ht="11.25" customHeight="1">
      <c r="A11" s="734">
        <v>4213782</v>
      </c>
      <c r="B11" s="734" t="s">
        <v>207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4841" hidden="1" customWidth="1"/>
    <col min="2" max="2" width="9.140625" style="4842" hidden="1" customWidth="1"/>
    <col min="3" max="3" width="3.7109375" style="4843" customWidth="1"/>
    <col min="4" max="4" width="5.5703125" style="4842" customWidth="1"/>
    <col min="5" max="5" width="48.42578125" style="4842" customWidth="1"/>
    <col min="6" max="6" width="38.140625" style="4842" customWidth="1"/>
    <col min="7" max="7" width="1.7109375" style="4796" hidden="1" customWidth="1"/>
    <col min="8" max="11" width="19.85546875" style="4842" hidden="1" customWidth="1"/>
    <col min="12" max="12" width="9.7109375" style="4842" hidden="1" customWidth="1"/>
    <col min="13" max="18" width="19.85546875" style="4842" hidden="1" customWidth="1"/>
    <col min="19" max="19" width="1.7109375" style="4796" hidden="1" customWidth="1"/>
    <col min="20" max="22" width="19.85546875" style="4844" hidden="1" customWidth="1"/>
    <col min="23" max="23" width="1.7109375" style="4796" hidden="1" customWidth="1"/>
    <col min="24" max="26" width="19.85546875" style="4844" hidden="1" customWidth="1"/>
    <col min="27" max="27" width="1.7109375" style="4796" hidden="1" customWidth="1"/>
    <col min="28" max="29" width="19.85546875" style="4844" customWidth="1"/>
    <col min="30" max="30" width="1.7109375" style="4796" hidden="1" customWidth="1"/>
    <col min="31" max="31" width="103.7109375" style="4842" hidden="1" customWidth="1"/>
    <col min="32" max="33" width="103.7109375" style="4844" hidden="1" customWidth="1"/>
    <col min="34" max="34" width="103.7109375" style="4844" customWidth="1"/>
    <col min="35" max="35" width="3.7109375" style="4845" customWidth="1"/>
    <col min="36" max="38" width="10.5703125" style="4846"/>
    <col min="39" max="39" width="13.7109375" style="4846" hidden="1" customWidth="1"/>
    <col min="40" max="40" width="15.42578125" style="4846" customWidth="1"/>
    <col min="41" max="41" width="16.28515625" style="4846" customWidth="1"/>
    <col min="42" max="45" width="10.5703125" style="4846"/>
  </cols>
  <sheetData>
    <row r="1" spans="1:45" ht="14.25" hidden="1" customHeight="1">
      <c r="E1" s="328"/>
      <c r="F1" s="328"/>
      <c r="G1" s="328"/>
      <c r="H1" s="5222" t="s">
        <v>430</v>
      </c>
      <c r="I1" s="5222"/>
      <c r="J1" s="5222"/>
      <c r="K1" s="5222"/>
      <c r="L1" s="5222"/>
      <c r="M1" s="5222"/>
      <c r="N1" s="5222"/>
      <c r="O1" s="5222"/>
      <c r="P1" s="5222"/>
      <c r="Q1" s="5222"/>
      <c r="R1" s="5222"/>
      <c r="T1" s="5222" t="s">
        <v>431</v>
      </c>
      <c r="U1" s="5222"/>
      <c r="V1" s="5222"/>
      <c r="X1" s="5222" t="s">
        <v>432</v>
      </c>
      <c r="Y1" s="5222"/>
      <c r="Z1" s="5222"/>
      <c r="AB1" s="5222" t="s">
        <v>433</v>
      </c>
      <c r="AC1" s="5222"/>
    </row>
    <row r="2" spans="1:45" ht="14.25" hidden="1" customHeight="1"/>
    <row r="3" spans="1:45" s="4838" customFormat="1" ht="6" customHeight="1">
      <c r="C3" s="602"/>
      <c r="D3" s="603"/>
      <c r="E3" s="603"/>
      <c r="F3" s="603"/>
      <c r="G3" s="603"/>
      <c r="H3" s="603" t="s">
        <v>434</v>
      </c>
      <c r="I3" s="603"/>
      <c r="J3" s="603"/>
      <c r="K3" s="603"/>
      <c r="L3" s="603"/>
      <c r="M3" s="603"/>
      <c r="N3" s="603"/>
      <c r="O3" s="603"/>
      <c r="P3" s="603"/>
      <c r="Q3" s="603"/>
      <c r="R3" s="603"/>
      <c r="S3" s="603"/>
      <c r="T3" s="603"/>
      <c r="U3" s="603"/>
      <c r="V3" s="603"/>
      <c r="W3" s="603"/>
      <c r="X3" s="603"/>
      <c r="Y3" s="603"/>
      <c r="Z3" s="603"/>
      <c r="AA3" s="603"/>
      <c r="AB3" s="603"/>
      <c r="AC3" s="603"/>
      <c r="AD3" s="603"/>
      <c r="AE3" s="603"/>
      <c r="AF3" s="603"/>
      <c r="AG3" s="603"/>
      <c r="AH3" s="603"/>
      <c r="AJ3" s="419"/>
      <c r="AK3" s="419"/>
      <c r="AL3" s="419"/>
      <c r="AM3" s="419"/>
      <c r="AN3" s="419"/>
      <c r="AO3" s="419"/>
      <c r="AP3" s="419"/>
      <c r="AQ3" s="419"/>
      <c r="AR3" s="419"/>
      <c r="AS3" s="419"/>
    </row>
    <row r="4" spans="1:45" ht="37.5" customHeight="1">
      <c r="C4" s="363"/>
      <c r="D4" s="5274" t="str">
        <f>ORG_VD_NAME_FORM</f>
        <v>Форма 1. Информация об организации, осуществляющей горячее водоснабжение (общая информация)</v>
      </c>
      <c r="E4" s="5275"/>
      <c r="F4" s="5275"/>
      <c r="G4" s="5275"/>
      <c r="H4" s="5275"/>
      <c r="I4" s="5275"/>
      <c r="J4" s="5275"/>
      <c r="K4" s="5275"/>
      <c r="L4" s="5275"/>
      <c r="M4" s="5275"/>
      <c r="N4" s="5275"/>
      <c r="O4" s="5275"/>
      <c r="P4" s="5275"/>
      <c r="Q4" s="5275"/>
      <c r="R4" s="5276"/>
      <c r="S4" s="748"/>
      <c r="T4" s="601"/>
      <c r="U4" s="601"/>
      <c r="V4" s="601"/>
      <c r="W4" s="601"/>
      <c r="X4" s="601"/>
      <c r="Y4" s="601"/>
      <c r="Z4" s="601"/>
      <c r="AA4" s="601"/>
      <c r="AB4" s="601"/>
      <c r="AC4" s="601"/>
      <c r="AD4" s="601"/>
      <c r="AE4" s="399"/>
      <c r="AF4" s="399"/>
      <c r="AG4" s="399"/>
      <c r="AH4" s="399"/>
      <c r="AI4" s="396"/>
    </row>
    <row r="5" spans="1:45" s="4796" customFormat="1" ht="17.25" customHeight="1">
      <c r="A5" s="658"/>
      <c r="C5" s="721"/>
      <c r="D5" s="5341" t="str">
        <f>IF(org=0,"Не определено",org)</f>
        <v>ООО «Газпром теплоэнерго МО»</v>
      </c>
      <c r="E5" s="5342"/>
      <c r="F5" s="5342"/>
      <c r="G5" s="5342"/>
      <c r="H5" s="5342"/>
      <c r="I5" s="5342"/>
      <c r="J5" s="5342"/>
      <c r="K5" s="5342"/>
      <c r="L5" s="5342"/>
      <c r="M5" s="5342"/>
      <c r="N5" s="5342"/>
      <c r="O5" s="5342"/>
      <c r="P5" s="5342"/>
      <c r="Q5" s="5342"/>
      <c r="R5" s="5343"/>
      <c r="S5" s="748"/>
      <c r="T5" s="601"/>
      <c r="U5" s="601"/>
      <c r="V5" s="601"/>
      <c r="W5" s="601"/>
      <c r="X5" s="601"/>
      <c r="Y5" s="601"/>
      <c r="Z5" s="601"/>
      <c r="AA5" s="601"/>
      <c r="AB5" s="601"/>
      <c r="AC5" s="601"/>
      <c r="AD5" s="601"/>
      <c r="AE5" s="399"/>
      <c r="AF5" s="399"/>
      <c r="AG5" s="399"/>
      <c r="AH5" s="399"/>
      <c r="AI5" s="396"/>
      <c r="AJ5" s="419"/>
      <c r="AK5" s="419"/>
      <c r="AL5" s="419"/>
      <c r="AM5" s="419"/>
      <c r="AN5" s="419"/>
      <c r="AO5" s="419"/>
      <c r="AP5" s="419"/>
      <c r="AQ5" s="419"/>
      <c r="AR5" s="419"/>
      <c r="AS5" s="419"/>
    </row>
    <row r="6" spans="1:45" s="4839" customFormat="1" ht="11.25" customHeight="1">
      <c r="A6" s="387"/>
      <c r="C6" s="394"/>
      <c r="D6" s="393"/>
      <c r="E6" s="393"/>
      <c r="F6" s="393"/>
      <c r="G6" s="393"/>
      <c r="H6" s="393"/>
      <c r="I6" s="393"/>
      <c r="J6" s="393"/>
      <c r="K6" s="393"/>
      <c r="L6" s="393"/>
      <c r="M6" s="393"/>
      <c r="N6" s="393"/>
      <c r="O6" s="393"/>
      <c r="P6" s="393"/>
      <c r="Q6" s="393"/>
      <c r="R6" s="651"/>
      <c r="S6" s="651"/>
      <c r="T6" s="393"/>
      <c r="U6" s="393"/>
      <c r="V6" s="613"/>
      <c r="W6" s="613"/>
      <c r="X6" s="393"/>
      <c r="Y6" s="393"/>
      <c r="Z6" s="613"/>
      <c r="AA6" s="613"/>
      <c r="AB6" s="393"/>
      <c r="AC6" s="613"/>
      <c r="AD6" s="613"/>
      <c r="AE6" s="393"/>
      <c r="AF6" s="393"/>
      <c r="AG6" s="393"/>
      <c r="AH6" s="393"/>
      <c r="AJ6" s="397"/>
      <c r="AK6" s="397"/>
      <c r="AL6" s="397"/>
      <c r="AM6" s="397"/>
      <c r="AN6" s="397"/>
      <c r="AO6" s="397"/>
      <c r="AP6" s="397"/>
      <c r="AQ6" s="397"/>
      <c r="AR6" s="397"/>
      <c r="AS6" s="397"/>
    </row>
    <row r="7" spans="1:45" ht="14.25" customHeight="1">
      <c r="C7" s="363"/>
      <c r="D7" s="5344" t="s">
        <v>378</v>
      </c>
      <c r="E7" s="5345"/>
      <c r="F7" s="5345"/>
      <c r="G7" s="5345"/>
      <c r="H7" s="5345"/>
      <c r="I7" s="5345"/>
      <c r="J7" s="5345"/>
      <c r="K7" s="5345"/>
      <c r="L7" s="5345"/>
      <c r="M7" s="5345"/>
      <c r="N7" s="5345"/>
      <c r="O7" s="5345"/>
      <c r="P7" s="5345"/>
      <c r="Q7" s="5345"/>
      <c r="R7" s="5345"/>
      <c r="S7" s="5345"/>
      <c r="T7" s="5345"/>
      <c r="U7" s="5345"/>
      <c r="V7" s="5345"/>
      <c r="W7" s="5345"/>
      <c r="X7" s="5345"/>
      <c r="Y7" s="5345"/>
      <c r="Z7" s="5345"/>
      <c r="AA7" s="5345"/>
      <c r="AB7" s="5345"/>
      <c r="AC7" s="5345"/>
      <c r="AD7" s="5346"/>
      <c r="AE7" s="5272" t="s">
        <v>379</v>
      </c>
      <c r="AF7" s="5272" t="s">
        <v>379</v>
      </c>
      <c r="AG7" s="5272" t="s">
        <v>379</v>
      </c>
      <c r="AH7" s="5272" t="s">
        <v>379</v>
      </c>
    </row>
    <row r="8" spans="1:45" ht="25.5" customHeight="1">
      <c r="C8" s="363"/>
      <c r="D8" s="5244" t="s">
        <v>85</v>
      </c>
      <c r="E8" s="5272" t="str">
        <f>"Наименование "&amp;IF(TEMPLATE_SPHERE&lt;&gt;"HEAT","централизованной ","")&amp;"системы "&amp;TEMPLATE_SPHERE_RUS</f>
        <v>Наименование централизованной системы горячего водоснабжения</v>
      </c>
      <c r="F8" s="5272" t="str">
        <f>IF(TEMPLATE_SPHERE&lt;&gt;"HEAT","Регулируемый вид деятельности","Вид регулируемой деятельности")</f>
        <v>Регулируемый вид деятельности</v>
      </c>
      <c r="G8" s="727"/>
      <c r="H8" s="5349" t="s">
        <v>435</v>
      </c>
      <c r="I8" s="5351" t="s">
        <v>436</v>
      </c>
      <c r="J8" s="5272" t="s">
        <v>437</v>
      </c>
      <c r="K8" s="5272"/>
      <c r="L8" s="5272"/>
      <c r="M8" s="5344"/>
      <c r="N8" s="5272" t="s">
        <v>438</v>
      </c>
      <c r="O8" s="5272"/>
      <c r="P8" s="5272" t="s">
        <v>439</v>
      </c>
      <c r="Q8" s="5272"/>
      <c r="R8" s="5353" t="s">
        <v>440</v>
      </c>
      <c r="S8" s="723"/>
      <c r="T8" s="5349" t="s">
        <v>441</v>
      </c>
      <c r="U8" s="5349" t="s">
        <v>442</v>
      </c>
      <c r="V8" s="5349" t="s">
        <v>443</v>
      </c>
      <c r="W8" s="725"/>
      <c r="X8" s="5349" t="s">
        <v>444</v>
      </c>
      <c r="Y8" s="5349" t="s">
        <v>445</v>
      </c>
      <c r="Z8" s="5349" t="s">
        <v>446</v>
      </c>
      <c r="AA8" s="725"/>
      <c r="AB8" s="5349" t="s">
        <v>447</v>
      </c>
      <c r="AC8" s="5349" t="s">
        <v>440</v>
      </c>
      <c r="AD8" s="725"/>
      <c r="AE8" s="5272"/>
      <c r="AF8" s="5272"/>
      <c r="AG8" s="5272"/>
      <c r="AH8" s="5272"/>
    </row>
    <row r="9" spans="1:45" ht="43.5" customHeight="1">
      <c r="C9" s="363"/>
      <c r="D9" s="5244"/>
      <c r="E9" s="5272"/>
      <c r="F9" s="5272"/>
      <c r="G9" s="728"/>
      <c r="H9" s="5350"/>
      <c r="I9" s="5352"/>
      <c r="J9" s="340" t="s">
        <v>448</v>
      </c>
      <c r="K9" s="340" t="s">
        <v>449</v>
      </c>
      <c r="L9" s="340" t="s">
        <v>450</v>
      </c>
      <c r="M9" s="345" t="s">
        <v>451</v>
      </c>
      <c r="N9" s="340" t="s">
        <v>452</v>
      </c>
      <c r="O9" s="340" t="s">
        <v>451</v>
      </c>
      <c r="P9" s="340" t="s">
        <v>453</v>
      </c>
      <c r="Q9" s="340" t="s">
        <v>451</v>
      </c>
      <c r="R9" s="5354"/>
      <c r="S9" s="724"/>
      <c r="T9" s="5350"/>
      <c r="U9" s="5350"/>
      <c r="V9" s="5350"/>
      <c r="W9" s="726"/>
      <c r="X9" s="5350"/>
      <c r="Y9" s="5350"/>
      <c r="Z9" s="5350"/>
      <c r="AA9" s="726"/>
      <c r="AB9" s="5350"/>
      <c r="AC9" s="5350"/>
      <c r="AD9" s="726"/>
      <c r="AE9" s="5272"/>
      <c r="AF9" s="5272"/>
      <c r="AG9" s="5272"/>
      <c r="AH9" s="5272"/>
    </row>
    <row r="10" spans="1:45" ht="12" hidden="1" customHeight="1">
      <c r="C10" s="395"/>
      <c r="D10" s="362"/>
      <c r="E10" s="362"/>
      <c r="F10" s="362"/>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2"/>
      <c r="AG10" s="362"/>
      <c r="AH10" s="362"/>
      <c r="AI10" s="361"/>
      <c r="AP10" s="408"/>
      <c r="AQ10" s="408"/>
    </row>
    <row r="11" spans="1:45" s="4840" customFormat="1" ht="11.25" hidden="1" customHeight="1">
      <c r="C11" s="406"/>
      <c r="D11" s="407" t="s">
        <v>454</v>
      </c>
      <c r="E11" s="407"/>
      <c r="F11" s="407"/>
      <c r="G11" s="407"/>
      <c r="H11" s="405"/>
      <c r="I11" s="405"/>
      <c r="J11" s="405"/>
      <c r="K11" s="405"/>
      <c r="L11" s="405"/>
      <c r="M11" s="405"/>
      <c r="N11" s="405"/>
      <c r="O11" s="405"/>
      <c r="P11" s="405"/>
      <c r="Q11" s="405"/>
      <c r="R11" s="405"/>
      <c r="S11" s="405"/>
      <c r="T11" s="405"/>
      <c r="U11" s="405"/>
      <c r="V11" s="405"/>
      <c r="W11" s="405"/>
      <c r="X11" s="405"/>
      <c r="Y11" s="405"/>
      <c r="Z11" s="405"/>
      <c r="AA11" s="405"/>
      <c r="AB11" s="405"/>
      <c r="AC11" s="405"/>
      <c r="AD11" s="405"/>
      <c r="AE11" s="349"/>
      <c r="AF11" s="349"/>
      <c r="AG11" s="349"/>
      <c r="AH11" s="349"/>
      <c r="AJ11" s="397"/>
      <c r="AK11" s="397"/>
      <c r="AL11" s="397"/>
      <c r="AM11" s="397"/>
      <c r="AN11" s="397"/>
      <c r="AO11" s="397"/>
      <c r="AP11" s="397"/>
      <c r="AQ11" s="397"/>
      <c r="AR11" s="397"/>
      <c r="AS11" s="397"/>
    </row>
    <row r="12" spans="1:45" ht="14.25" customHeight="1">
      <c r="A12" s="361"/>
      <c r="C12" s="363"/>
      <c r="D12" s="348" t="s">
        <v>129</v>
      </c>
      <c r="E12" s="1640" t="s">
        <v>24</v>
      </c>
      <c r="F12" s="750"/>
      <c r="G12" s="751"/>
      <c r="H12" s="1641"/>
      <c r="I12" s="1641"/>
      <c r="J12" s="347"/>
      <c r="K12" s="1725"/>
      <c r="L12" s="346"/>
      <c r="M12" s="1725"/>
      <c r="N12" s="347"/>
      <c r="O12" s="1725"/>
      <c r="P12" s="347"/>
      <c r="Q12" s="1725"/>
      <c r="R12" s="347"/>
      <c r="S12" s="749"/>
      <c r="T12" s="1641"/>
      <c r="U12" s="347"/>
      <c r="V12" s="347"/>
      <c r="W12" s="726"/>
      <c r="X12" s="1641"/>
      <c r="Y12" s="347"/>
      <c r="Z12" s="347"/>
      <c r="AA12" s="726"/>
      <c r="AB12" s="1641"/>
      <c r="AC12" s="347"/>
      <c r="AD12" s="726"/>
      <c r="AE12" s="5347" t="s">
        <v>455</v>
      </c>
      <c r="AF12" s="5347" t="s">
        <v>456</v>
      </c>
      <c r="AG12" s="5347" t="s">
        <v>457</v>
      </c>
      <c r="AH12" s="5347" t="s">
        <v>458</v>
      </c>
      <c r="AI12" s="361"/>
      <c r="AM12" s="419"/>
      <c r="AP12" s="408" t="s">
        <v>459</v>
      </c>
      <c r="AQ12" s="408" t="s">
        <v>459</v>
      </c>
    </row>
    <row r="13" spans="1:45" ht="17.25" customHeight="1">
      <c r="A13" s="361"/>
      <c r="C13" s="363"/>
      <c r="D13" s="321"/>
      <c r="E13" s="764" t="str">
        <f>IF(TITLE_DIFFERENTIATION_TYPE="нет","","Добавить систему")</f>
        <v/>
      </c>
      <c r="F13" s="764" t="str">
        <f>IF(TITLE_DIFFERENTIATION_TYPE="нет","Добавить вид деятельности","")</f>
        <v>Добавить вид деятельности</v>
      </c>
      <c r="G13" s="231"/>
      <c r="H13" s="322"/>
      <c r="I13" s="322"/>
      <c r="J13" s="322"/>
      <c r="K13" s="322"/>
      <c r="L13" s="322"/>
      <c r="M13" s="322"/>
      <c r="N13" s="322"/>
      <c r="O13" s="322"/>
      <c r="P13" s="322"/>
      <c r="Q13" s="322"/>
      <c r="R13" s="322"/>
      <c r="S13" s="322"/>
      <c r="T13" s="322"/>
      <c r="U13" s="322"/>
      <c r="V13" s="322"/>
      <c r="W13" s="322"/>
      <c r="X13" s="322"/>
      <c r="Y13" s="322"/>
      <c r="Z13" s="322"/>
      <c r="AA13" s="322"/>
      <c r="AB13" s="322"/>
      <c r="AC13" s="322"/>
      <c r="AD13" s="752"/>
      <c r="AE13" s="5348"/>
      <c r="AF13" s="5348"/>
      <c r="AG13" s="5348"/>
      <c r="AH13" s="5348"/>
      <c r="AI13" s="361"/>
    </row>
    <row r="14" spans="1:45" ht="14.25" customHeight="1">
      <c r="AI14" s="361"/>
    </row>
    <row r="15" spans="1:45" ht="14.25" customHeight="1">
      <c r="E15" s="657"/>
      <c r="L15" s="657"/>
    </row>
    <row r="16" spans="1:45" ht="14.25" customHeight="1">
      <c r="L16" s="657"/>
    </row>
    <row r="17" spans="12:12" ht="14.25" customHeight="1">
      <c r="L17" s="657"/>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5190"/>
    <col min="2" max="2" width="65.28515625" style="5190" customWidth="1"/>
  </cols>
  <sheetData>
    <row r="1" spans="1:2" ht="11.25" customHeight="1">
      <c r="A1" s="734" t="s">
        <v>9635</v>
      </c>
      <c r="B1" s="734" t="s">
        <v>9637</v>
      </c>
    </row>
    <row r="2" spans="1:2" ht="11.25" customHeight="1">
      <c r="A2" s="734" t="s">
        <v>9638</v>
      </c>
      <c r="B2" s="734" t="s">
        <v>1506</v>
      </c>
    </row>
    <row r="3" spans="1:2" ht="11.25" customHeight="1">
      <c r="A3" s="734" t="s">
        <v>9639</v>
      </c>
      <c r="B3" s="734" t="s">
        <v>1516</v>
      </c>
    </row>
    <row r="4" spans="1:2" ht="11.25" customHeight="1">
      <c r="A4" s="734" t="s">
        <v>9640</v>
      </c>
      <c r="B4" s="734" t="s">
        <v>1525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89"/>
  <sheetViews>
    <sheetView showGridLines="0" workbookViewId="0"/>
  </sheetViews>
  <sheetFormatPr defaultRowHeight="11.25" customHeight="1"/>
  <sheetData>
    <row r="1" spans="1:7" ht="11.25" customHeight="1">
      <c r="A1" s="289" t="s">
        <v>8523</v>
      </c>
      <c r="B1" s="289" t="s">
        <v>8524</v>
      </c>
      <c r="C1" s="289" t="s">
        <v>8525</v>
      </c>
      <c r="D1" s="289" t="s">
        <v>8526</v>
      </c>
      <c r="E1" t="s">
        <v>8527</v>
      </c>
      <c r="F1" t="s">
        <v>8528</v>
      </c>
      <c r="G1" t="s">
        <v>8529</v>
      </c>
    </row>
    <row r="2" spans="1:7" ht="11.25" customHeight="1">
      <c r="A2" t="s">
        <v>14</v>
      </c>
      <c r="B2" t="s">
        <v>8530</v>
      </c>
      <c r="C2" t="s">
        <v>8531</v>
      </c>
      <c r="D2" t="s">
        <v>8530</v>
      </c>
      <c r="E2" t="s">
        <v>8531</v>
      </c>
      <c r="F2" t="s">
        <v>8532</v>
      </c>
      <c r="G2" t="s">
        <v>129</v>
      </c>
    </row>
    <row r="3" spans="1:7" ht="11.25" customHeight="1">
      <c r="A3" t="s">
        <v>14</v>
      </c>
      <c r="B3" t="s">
        <v>8533</v>
      </c>
      <c r="C3" t="s">
        <v>8534</v>
      </c>
      <c r="D3" t="s">
        <v>8533</v>
      </c>
      <c r="E3" t="s">
        <v>8534</v>
      </c>
      <c r="F3" t="s">
        <v>8532</v>
      </c>
      <c r="G3" t="s">
        <v>100</v>
      </c>
    </row>
    <row r="4" spans="1:7" ht="11.25" customHeight="1">
      <c r="A4" t="s">
        <v>14</v>
      </c>
      <c r="B4" t="s">
        <v>8535</v>
      </c>
      <c r="C4" t="s">
        <v>8536</v>
      </c>
      <c r="D4" t="s">
        <v>8535</v>
      </c>
      <c r="E4" t="s">
        <v>8536</v>
      </c>
      <c r="F4" t="s">
        <v>8537</v>
      </c>
      <c r="G4" t="s">
        <v>87</v>
      </c>
    </row>
    <row r="5" spans="1:7" ht="11.25" customHeight="1">
      <c r="A5" t="s">
        <v>14</v>
      </c>
      <c r="B5" t="s">
        <v>8535</v>
      </c>
      <c r="C5" t="s">
        <v>8536</v>
      </c>
      <c r="D5" t="s">
        <v>8538</v>
      </c>
      <c r="E5" t="s">
        <v>8539</v>
      </c>
      <c r="F5" t="s">
        <v>8540</v>
      </c>
      <c r="G5" t="s">
        <v>88</v>
      </c>
    </row>
    <row r="6" spans="1:7" ht="11.25" customHeight="1">
      <c r="A6" t="s">
        <v>14</v>
      </c>
      <c r="B6" t="s">
        <v>8535</v>
      </c>
      <c r="C6" t="s">
        <v>8536</v>
      </c>
      <c r="D6" t="s">
        <v>8541</v>
      </c>
      <c r="E6" t="s">
        <v>8542</v>
      </c>
      <c r="F6" t="s">
        <v>8543</v>
      </c>
      <c r="G6" t="s">
        <v>114</v>
      </c>
    </row>
    <row r="7" spans="1:7" ht="11.25" customHeight="1">
      <c r="A7" t="s">
        <v>14</v>
      </c>
      <c r="B7" t="s">
        <v>8535</v>
      </c>
      <c r="C7" t="s">
        <v>8536</v>
      </c>
      <c r="D7" t="s">
        <v>8544</v>
      </c>
      <c r="E7" t="s">
        <v>8545</v>
      </c>
      <c r="F7" t="s">
        <v>8546</v>
      </c>
      <c r="G7" t="s">
        <v>89</v>
      </c>
    </row>
    <row r="8" spans="1:7" ht="11.25" customHeight="1">
      <c r="A8" t="s">
        <v>14</v>
      </c>
      <c r="B8" t="s">
        <v>8535</v>
      </c>
      <c r="C8" t="s">
        <v>8536</v>
      </c>
      <c r="D8" t="s">
        <v>8547</v>
      </c>
      <c r="E8" t="s">
        <v>8548</v>
      </c>
      <c r="F8" t="s">
        <v>8546</v>
      </c>
      <c r="G8" t="s">
        <v>90</v>
      </c>
    </row>
    <row r="9" spans="1:7" ht="11.25" customHeight="1">
      <c r="A9" t="s">
        <v>14</v>
      </c>
      <c r="B9" t="s">
        <v>8535</v>
      </c>
      <c r="C9" t="s">
        <v>8536</v>
      </c>
      <c r="D9" t="s">
        <v>8549</v>
      </c>
      <c r="E9" t="s">
        <v>8550</v>
      </c>
      <c r="F9" t="s">
        <v>8546</v>
      </c>
      <c r="G9" t="s">
        <v>130</v>
      </c>
    </row>
    <row r="10" spans="1:7" ht="11.25" customHeight="1">
      <c r="A10" t="s">
        <v>14</v>
      </c>
      <c r="B10" t="s">
        <v>8535</v>
      </c>
      <c r="C10" t="s">
        <v>8536</v>
      </c>
      <c r="D10" t="s">
        <v>8551</v>
      </c>
      <c r="E10" t="s">
        <v>8552</v>
      </c>
      <c r="F10" t="s">
        <v>8546</v>
      </c>
      <c r="G10" t="s">
        <v>166</v>
      </c>
    </row>
    <row r="11" spans="1:7" ht="11.25" customHeight="1">
      <c r="A11" t="s">
        <v>14</v>
      </c>
      <c r="B11" t="s">
        <v>8535</v>
      </c>
      <c r="C11" t="s">
        <v>8536</v>
      </c>
      <c r="D11" t="s">
        <v>8553</v>
      </c>
      <c r="E11" t="s">
        <v>8554</v>
      </c>
      <c r="F11" t="s">
        <v>8546</v>
      </c>
      <c r="G11" t="s">
        <v>167</v>
      </c>
    </row>
    <row r="12" spans="1:7" ht="11.25" customHeight="1">
      <c r="A12" t="s">
        <v>14</v>
      </c>
      <c r="B12" t="s">
        <v>8535</v>
      </c>
      <c r="C12" t="s">
        <v>8536</v>
      </c>
      <c r="D12" t="s">
        <v>8555</v>
      </c>
      <c r="E12" t="s">
        <v>8556</v>
      </c>
      <c r="F12" t="s">
        <v>8546</v>
      </c>
      <c r="G12" t="s">
        <v>168</v>
      </c>
    </row>
    <row r="13" spans="1:7" ht="11.25" customHeight="1">
      <c r="A13" t="s">
        <v>14</v>
      </c>
      <c r="B13" t="s">
        <v>8557</v>
      </c>
      <c r="C13" t="s">
        <v>8558</v>
      </c>
      <c r="D13" t="s">
        <v>8557</v>
      </c>
      <c r="E13" t="s">
        <v>8558</v>
      </c>
      <c r="F13" t="s">
        <v>8537</v>
      </c>
      <c r="G13" t="s">
        <v>169</v>
      </c>
    </row>
    <row r="14" spans="1:7" ht="11.25" customHeight="1">
      <c r="A14" t="s">
        <v>14</v>
      </c>
      <c r="B14" t="s">
        <v>8557</v>
      </c>
      <c r="C14" t="s">
        <v>8558</v>
      </c>
      <c r="D14" t="s">
        <v>8559</v>
      </c>
      <c r="E14" t="s">
        <v>8560</v>
      </c>
      <c r="F14" t="s">
        <v>8543</v>
      </c>
      <c r="G14" t="s">
        <v>170</v>
      </c>
    </row>
    <row r="15" spans="1:7" ht="11.25" customHeight="1">
      <c r="A15" t="s">
        <v>14</v>
      </c>
      <c r="B15" t="s">
        <v>8557</v>
      </c>
      <c r="C15" t="s">
        <v>8558</v>
      </c>
      <c r="D15" t="s">
        <v>8561</v>
      </c>
      <c r="E15" t="s">
        <v>8562</v>
      </c>
      <c r="F15" t="s">
        <v>8540</v>
      </c>
      <c r="G15" t="s">
        <v>1467</v>
      </c>
    </row>
    <row r="16" spans="1:7" ht="11.25" customHeight="1">
      <c r="A16" t="s">
        <v>14</v>
      </c>
      <c r="B16" t="s">
        <v>8557</v>
      </c>
      <c r="C16" t="s">
        <v>8558</v>
      </c>
      <c r="D16" t="s">
        <v>8563</v>
      </c>
      <c r="E16" t="s">
        <v>8564</v>
      </c>
      <c r="F16" t="s">
        <v>8543</v>
      </c>
      <c r="G16" t="s">
        <v>1473</v>
      </c>
    </row>
    <row r="17" spans="1:7" ht="11.25" customHeight="1">
      <c r="A17" t="s">
        <v>14</v>
      </c>
      <c r="B17" t="s">
        <v>8557</v>
      </c>
      <c r="C17" t="s">
        <v>8558</v>
      </c>
      <c r="D17" t="s">
        <v>8565</v>
      </c>
      <c r="E17" t="s">
        <v>8566</v>
      </c>
      <c r="F17" t="s">
        <v>8543</v>
      </c>
      <c r="G17" t="s">
        <v>1484</v>
      </c>
    </row>
    <row r="18" spans="1:7" ht="11.25" customHeight="1">
      <c r="A18" t="s">
        <v>14</v>
      </c>
      <c r="B18" t="s">
        <v>8557</v>
      </c>
      <c r="C18" t="s">
        <v>8558</v>
      </c>
      <c r="D18" t="s">
        <v>8567</v>
      </c>
      <c r="E18" t="s">
        <v>8568</v>
      </c>
      <c r="F18" t="s">
        <v>8546</v>
      </c>
      <c r="G18" t="s">
        <v>1498</v>
      </c>
    </row>
    <row r="19" spans="1:7" ht="11.25" customHeight="1">
      <c r="A19" t="s">
        <v>14</v>
      </c>
      <c r="B19" t="s">
        <v>8557</v>
      </c>
      <c r="C19" t="s">
        <v>8558</v>
      </c>
      <c r="D19" t="s">
        <v>8569</v>
      </c>
      <c r="E19" t="s">
        <v>8570</v>
      </c>
      <c r="F19" t="s">
        <v>8546</v>
      </c>
      <c r="G19" t="s">
        <v>1510</v>
      </c>
    </row>
    <row r="20" spans="1:7" ht="11.25" customHeight="1">
      <c r="A20" t="s">
        <v>14</v>
      </c>
      <c r="B20" t="s">
        <v>8571</v>
      </c>
      <c r="C20" t="s">
        <v>8572</v>
      </c>
      <c r="D20" t="s">
        <v>8571</v>
      </c>
      <c r="E20" t="s">
        <v>8572</v>
      </c>
      <c r="F20" t="s">
        <v>8532</v>
      </c>
      <c r="G20" t="s">
        <v>1519</v>
      </c>
    </row>
    <row r="21" spans="1:7" ht="11.25" customHeight="1">
      <c r="A21" t="s">
        <v>14</v>
      </c>
      <c r="B21" t="s">
        <v>8573</v>
      </c>
      <c r="C21" t="s">
        <v>8574</v>
      </c>
      <c r="D21" t="s">
        <v>8573</v>
      </c>
      <c r="E21" t="s">
        <v>8574</v>
      </c>
      <c r="F21" t="s">
        <v>8537</v>
      </c>
      <c r="G21" t="s">
        <v>1535</v>
      </c>
    </row>
    <row r="22" spans="1:7" ht="11.25" customHeight="1">
      <c r="A22" t="s">
        <v>14</v>
      </c>
      <c r="B22" t="s">
        <v>8573</v>
      </c>
      <c r="C22" t="s">
        <v>8574</v>
      </c>
      <c r="D22" t="s">
        <v>8575</v>
      </c>
      <c r="E22" t="s">
        <v>8576</v>
      </c>
      <c r="F22" t="s">
        <v>8543</v>
      </c>
      <c r="G22" t="s">
        <v>1542</v>
      </c>
    </row>
    <row r="23" spans="1:7" ht="11.25" customHeight="1">
      <c r="A23" t="s">
        <v>14</v>
      </c>
      <c r="B23" t="s">
        <v>8573</v>
      </c>
      <c r="C23" t="s">
        <v>8574</v>
      </c>
      <c r="D23" t="s">
        <v>8577</v>
      </c>
      <c r="E23" t="s">
        <v>8578</v>
      </c>
      <c r="F23" t="s">
        <v>8540</v>
      </c>
      <c r="G23" t="s">
        <v>1550</v>
      </c>
    </row>
    <row r="24" spans="1:7" ht="11.25" customHeight="1">
      <c r="A24" t="s">
        <v>14</v>
      </c>
      <c r="B24" t="s">
        <v>8573</v>
      </c>
      <c r="C24" t="s">
        <v>8574</v>
      </c>
      <c r="D24" t="s">
        <v>8579</v>
      </c>
      <c r="E24" t="s">
        <v>8580</v>
      </c>
      <c r="F24" t="s">
        <v>8543</v>
      </c>
      <c r="G24" t="s">
        <v>1557</v>
      </c>
    </row>
    <row r="25" spans="1:7" ht="11.25" customHeight="1">
      <c r="A25" t="s">
        <v>14</v>
      </c>
      <c r="B25" t="s">
        <v>8573</v>
      </c>
      <c r="C25" t="s">
        <v>8574</v>
      </c>
      <c r="D25" t="s">
        <v>8581</v>
      </c>
      <c r="E25" t="s">
        <v>8582</v>
      </c>
      <c r="F25" t="s">
        <v>8543</v>
      </c>
      <c r="G25" t="s">
        <v>1561</v>
      </c>
    </row>
    <row r="26" spans="1:7" ht="11.25" customHeight="1">
      <c r="A26" t="s">
        <v>14</v>
      </c>
      <c r="B26" t="s">
        <v>8573</v>
      </c>
      <c r="C26" t="s">
        <v>8574</v>
      </c>
      <c r="D26" t="s">
        <v>8583</v>
      </c>
      <c r="E26" t="s">
        <v>8584</v>
      </c>
      <c r="F26" t="s">
        <v>8540</v>
      </c>
      <c r="G26" t="s">
        <v>1566</v>
      </c>
    </row>
    <row r="27" spans="1:7" ht="11.25" customHeight="1">
      <c r="A27" t="s">
        <v>14</v>
      </c>
      <c r="B27" t="s">
        <v>8573</v>
      </c>
      <c r="C27" t="s">
        <v>8574</v>
      </c>
      <c r="D27" t="s">
        <v>8585</v>
      </c>
      <c r="E27" t="s">
        <v>8586</v>
      </c>
      <c r="F27" t="s">
        <v>8546</v>
      </c>
      <c r="G27" t="s">
        <v>1574</v>
      </c>
    </row>
    <row r="28" spans="1:7" ht="11.25" customHeight="1">
      <c r="A28" t="s">
        <v>14</v>
      </c>
      <c r="B28" t="s">
        <v>8573</v>
      </c>
      <c r="C28" t="s">
        <v>8574</v>
      </c>
      <c r="D28" t="s">
        <v>8587</v>
      </c>
      <c r="E28" t="s">
        <v>8588</v>
      </c>
      <c r="F28" t="s">
        <v>8546</v>
      </c>
      <c r="G28" t="s">
        <v>1576</v>
      </c>
    </row>
    <row r="29" spans="1:7" ht="11.25" customHeight="1">
      <c r="A29" t="s">
        <v>14</v>
      </c>
      <c r="B29" t="s">
        <v>8573</v>
      </c>
      <c r="C29" t="s">
        <v>8574</v>
      </c>
      <c r="D29" t="s">
        <v>8589</v>
      </c>
      <c r="E29" t="s">
        <v>8590</v>
      </c>
      <c r="F29" t="s">
        <v>8546</v>
      </c>
      <c r="G29" t="s">
        <v>1579</v>
      </c>
    </row>
    <row r="30" spans="1:7" ht="11.25" customHeight="1">
      <c r="A30" t="s">
        <v>14</v>
      </c>
      <c r="B30" t="s">
        <v>8573</v>
      </c>
      <c r="C30" t="s">
        <v>8574</v>
      </c>
      <c r="D30" t="s">
        <v>8591</v>
      </c>
      <c r="E30" t="s">
        <v>8592</v>
      </c>
      <c r="F30" t="s">
        <v>8546</v>
      </c>
      <c r="G30" t="s">
        <v>1584</v>
      </c>
    </row>
    <row r="31" spans="1:7" ht="11.25" customHeight="1">
      <c r="A31" t="s">
        <v>14</v>
      </c>
      <c r="B31" t="s">
        <v>8573</v>
      </c>
      <c r="C31" t="s">
        <v>8574</v>
      </c>
      <c r="D31" t="s">
        <v>8593</v>
      </c>
      <c r="E31" t="s">
        <v>8594</v>
      </c>
      <c r="F31" t="s">
        <v>8546</v>
      </c>
      <c r="G31" t="s">
        <v>1586</v>
      </c>
    </row>
    <row r="32" spans="1:7" ht="11.25" customHeight="1">
      <c r="A32" t="s">
        <v>14</v>
      </c>
      <c r="B32" t="s">
        <v>8573</v>
      </c>
      <c r="C32" t="s">
        <v>8574</v>
      </c>
      <c r="D32" t="s">
        <v>8595</v>
      </c>
      <c r="E32" t="s">
        <v>8596</v>
      </c>
      <c r="F32" t="s">
        <v>8546</v>
      </c>
      <c r="G32" t="s">
        <v>1588</v>
      </c>
    </row>
    <row r="33" spans="1:7" ht="11.25" customHeight="1">
      <c r="A33" t="s">
        <v>14</v>
      </c>
      <c r="B33" t="s">
        <v>8597</v>
      </c>
      <c r="C33" t="s">
        <v>8598</v>
      </c>
      <c r="D33" t="s">
        <v>8597</v>
      </c>
      <c r="E33" t="s">
        <v>8598</v>
      </c>
      <c r="F33" t="s">
        <v>8537</v>
      </c>
      <c r="G33" t="s">
        <v>1590</v>
      </c>
    </row>
    <row r="34" spans="1:7" ht="11.25" customHeight="1">
      <c r="A34" t="s">
        <v>14</v>
      </c>
      <c r="B34" t="s">
        <v>8597</v>
      </c>
      <c r="C34" t="s">
        <v>8598</v>
      </c>
      <c r="D34" t="s">
        <v>8599</v>
      </c>
      <c r="E34" t="s">
        <v>8600</v>
      </c>
      <c r="F34" t="s">
        <v>8540</v>
      </c>
      <c r="G34" t="s">
        <v>1595</v>
      </c>
    </row>
    <row r="35" spans="1:7" ht="11.25" customHeight="1">
      <c r="A35" t="s">
        <v>14</v>
      </c>
      <c r="B35" t="s">
        <v>8597</v>
      </c>
      <c r="C35" t="s">
        <v>8598</v>
      </c>
      <c r="D35" t="s">
        <v>8601</v>
      </c>
      <c r="E35" t="s">
        <v>8602</v>
      </c>
      <c r="F35" t="s">
        <v>8543</v>
      </c>
      <c r="G35" t="s">
        <v>1600</v>
      </c>
    </row>
    <row r="36" spans="1:7" ht="11.25" customHeight="1">
      <c r="A36" t="s">
        <v>14</v>
      </c>
      <c r="B36" t="s">
        <v>8597</v>
      </c>
      <c r="C36" t="s">
        <v>8598</v>
      </c>
      <c r="D36" t="s">
        <v>8603</v>
      </c>
      <c r="E36" t="s">
        <v>8604</v>
      </c>
      <c r="F36" t="s">
        <v>8546</v>
      </c>
      <c r="G36" t="s">
        <v>1603</v>
      </c>
    </row>
    <row r="37" spans="1:7" ht="11.25" customHeight="1">
      <c r="A37" t="s">
        <v>14</v>
      </c>
      <c r="B37" t="s">
        <v>8597</v>
      </c>
      <c r="C37" t="s">
        <v>8598</v>
      </c>
      <c r="D37" t="s">
        <v>8605</v>
      </c>
      <c r="E37" t="s">
        <v>8606</v>
      </c>
      <c r="F37" t="s">
        <v>8546</v>
      </c>
      <c r="G37" t="s">
        <v>1611</v>
      </c>
    </row>
    <row r="38" spans="1:7" ht="11.25" customHeight="1">
      <c r="A38" t="s">
        <v>14</v>
      </c>
      <c r="B38" t="s">
        <v>8597</v>
      </c>
      <c r="C38" t="s">
        <v>8598</v>
      </c>
      <c r="D38" t="s">
        <v>8607</v>
      </c>
      <c r="E38" t="s">
        <v>8608</v>
      </c>
      <c r="F38" t="s">
        <v>8546</v>
      </c>
      <c r="G38" t="s">
        <v>1617</v>
      </c>
    </row>
    <row r="39" spans="1:7" ht="11.25" customHeight="1">
      <c r="A39" t="s">
        <v>14</v>
      </c>
      <c r="B39" t="s">
        <v>8609</v>
      </c>
      <c r="C39" t="s">
        <v>8610</v>
      </c>
      <c r="D39" t="s">
        <v>8609</v>
      </c>
      <c r="E39" t="s">
        <v>8610</v>
      </c>
      <c r="F39" t="s">
        <v>8532</v>
      </c>
      <c r="G39" t="s">
        <v>1622</v>
      </c>
    </row>
    <row r="40" spans="1:7" ht="11.25" customHeight="1">
      <c r="A40" t="s">
        <v>14</v>
      </c>
      <c r="B40" t="s">
        <v>8611</v>
      </c>
      <c r="C40" t="s">
        <v>8612</v>
      </c>
      <c r="D40" t="s">
        <v>8611</v>
      </c>
      <c r="E40" t="s">
        <v>8612</v>
      </c>
      <c r="F40" t="s">
        <v>8537</v>
      </c>
      <c r="G40" t="s">
        <v>1626</v>
      </c>
    </row>
    <row r="41" spans="1:7" ht="11.25" customHeight="1">
      <c r="A41" t="s">
        <v>14</v>
      </c>
      <c r="B41" t="s">
        <v>8611</v>
      </c>
      <c r="C41" t="s">
        <v>8612</v>
      </c>
      <c r="D41" t="s">
        <v>8613</v>
      </c>
      <c r="E41" t="s">
        <v>8614</v>
      </c>
      <c r="F41" t="s">
        <v>8540</v>
      </c>
      <c r="G41" t="s">
        <v>1629</v>
      </c>
    </row>
    <row r="42" spans="1:7" ht="11.25" customHeight="1">
      <c r="A42" t="s">
        <v>14</v>
      </c>
      <c r="B42" t="s">
        <v>8611</v>
      </c>
      <c r="C42" t="s">
        <v>8612</v>
      </c>
      <c r="D42" t="s">
        <v>8615</v>
      </c>
      <c r="E42" t="s">
        <v>8616</v>
      </c>
      <c r="F42" t="s">
        <v>8546</v>
      </c>
      <c r="G42" t="s">
        <v>1636</v>
      </c>
    </row>
    <row r="43" spans="1:7" ht="11.25" customHeight="1">
      <c r="A43" t="s">
        <v>14</v>
      </c>
      <c r="B43" t="s">
        <v>8611</v>
      </c>
      <c r="C43" t="s">
        <v>8612</v>
      </c>
      <c r="D43" t="s">
        <v>8617</v>
      </c>
      <c r="E43" t="s">
        <v>8618</v>
      </c>
      <c r="F43" t="s">
        <v>8546</v>
      </c>
      <c r="G43" t="s">
        <v>1645</v>
      </c>
    </row>
    <row r="44" spans="1:7" ht="11.25" customHeight="1">
      <c r="A44" t="s">
        <v>14</v>
      </c>
      <c r="B44" t="s">
        <v>8611</v>
      </c>
      <c r="C44" t="s">
        <v>8612</v>
      </c>
      <c r="D44" t="s">
        <v>8619</v>
      </c>
      <c r="E44" t="s">
        <v>8620</v>
      </c>
      <c r="F44" t="s">
        <v>8546</v>
      </c>
      <c r="G44" t="s">
        <v>1650</v>
      </c>
    </row>
    <row r="45" spans="1:7" ht="11.25" customHeight="1">
      <c r="A45" t="s">
        <v>14</v>
      </c>
      <c r="B45" t="s">
        <v>8611</v>
      </c>
      <c r="C45" t="s">
        <v>8612</v>
      </c>
      <c r="D45" t="s">
        <v>8621</v>
      </c>
      <c r="E45" t="s">
        <v>8622</v>
      </c>
      <c r="F45" t="s">
        <v>8546</v>
      </c>
      <c r="G45" t="s">
        <v>1654</v>
      </c>
    </row>
    <row r="46" spans="1:7" ht="11.25" customHeight="1">
      <c r="A46" t="s">
        <v>14</v>
      </c>
      <c r="B46" t="s">
        <v>8623</v>
      </c>
      <c r="C46" t="s">
        <v>8624</v>
      </c>
      <c r="D46" t="s">
        <v>8623</v>
      </c>
      <c r="E46" t="s">
        <v>8624</v>
      </c>
      <c r="F46" t="s">
        <v>8532</v>
      </c>
      <c r="G46" t="s">
        <v>1660</v>
      </c>
    </row>
    <row r="47" spans="1:7" ht="11.25" customHeight="1">
      <c r="A47" t="s">
        <v>14</v>
      </c>
      <c r="B47" t="s">
        <v>8625</v>
      </c>
      <c r="C47" t="s">
        <v>8626</v>
      </c>
      <c r="D47" t="s">
        <v>8625</v>
      </c>
      <c r="E47" t="s">
        <v>8626</v>
      </c>
      <c r="F47" t="s">
        <v>8537</v>
      </c>
      <c r="G47" t="s">
        <v>1665</v>
      </c>
    </row>
    <row r="48" spans="1:7" ht="11.25" customHeight="1">
      <c r="A48" t="s">
        <v>14</v>
      </c>
      <c r="B48" t="s">
        <v>8625</v>
      </c>
      <c r="C48" t="s">
        <v>8626</v>
      </c>
      <c r="D48" t="s">
        <v>8627</v>
      </c>
      <c r="E48" t="s">
        <v>8628</v>
      </c>
      <c r="F48" t="s">
        <v>8540</v>
      </c>
      <c r="G48" t="s">
        <v>1668</v>
      </c>
    </row>
    <row r="49" spans="1:7" ht="11.25" customHeight="1">
      <c r="A49" t="s">
        <v>14</v>
      </c>
      <c r="B49" t="s">
        <v>8625</v>
      </c>
      <c r="C49" t="s">
        <v>8626</v>
      </c>
      <c r="D49" t="s">
        <v>8629</v>
      </c>
      <c r="E49" t="s">
        <v>8630</v>
      </c>
      <c r="F49" t="s">
        <v>8540</v>
      </c>
      <c r="G49" t="s">
        <v>1672</v>
      </c>
    </row>
    <row r="50" spans="1:7" ht="11.25" customHeight="1">
      <c r="A50" t="s">
        <v>14</v>
      </c>
      <c r="B50" t="s">
        <v>8625</v>
      </c>
      <c r="C50" t="s">
        <v>8626</v>
      </c>
      <c r="D50" t="s">
        <v>8631</v>
      </c>
      <c r="E50" t="s">
        <v>8632</v>
      </c>
      <c r="F50" t="s">
        <v>8543</v>
      </c>
      <c r="G50" t="s">
        <v>1676</v>
      </c>
    </row>
    <row r="51" spans="1:7" ht="11.25" customHeight="1">
      <c r="A51" t="s">
        <v>14</v>
      </c>
      <c r="B51" t="s">
        <v>8625</v>
      </c>
      <c r="C51" t="s">
        <v>8626</v>
      </c>
      <c r="D51" t="s">
        <v>8633</v>
      </c>
      <c r="E51" t="s">
        <v>8634</v>
      </c>
      <c r="F51" t="s">
        <v>8546</v>
      </c>
      <c r="G51" t="s">
        <v>1680</v>
      </c>
    </row>
    <row r="52" spans="1:7" ht="11.25" customHeight="1">
      <c r="A52" t="s">
        <v>14</v>
      </c>
      <c r="B52" t="s">
        <v>8625</v>
      </c>
      <c r="C52" t="s">
        <v>8626</v>
      </c>
      <c r="D52" t="s">
        <v>8635</v>
      </c>
      <c r="E52" t="s">
        <v>8636</v>
      </c>
      <c r="F52" t="s">
        <v>8546</v>
      </c>
      <c r="G52" t="s">
        <v>1682</v>
      </c>
    </row>
    <row r="53" spans="1:7" ht="11.25" customHeight="1">
      <c r="A53" t="s">
        <v>14</v>
      </c>
      <c r="B53" t="s">
        <v>8625</v>
      </c>
      <c r="C53" t="s">
        <v>8626</v>
      </c>
      <c r="D53" t="s">
        <v>8637</v>
      </c>
      <c r="E53" t="s">
        <v>8638</v>
      </c>
      <c r="F53" t="s">
        <v>8546</v>
      </c>
      <c r="G53" t="s">
        <v>1685</v>
      </c>
    </row>
    <row r="54" spans="1:7" ht="11.25" customHeight="1">
      <c r="A54" t="s">
        <v>14</v>
      </c>
      <c r="B54" t="s">
        <v>8625</v>
      </c>
      <c r="C54" t="s">
        <v>8626</v>
      </c>
      <c r="D54" t="s">
        <v>8639</v>
      </c>
      <c r="E54" t="s">
        <v>8640</v>
      </c>
      <c r="F54" t="s">
        <v>8546</v>
      </c>
      <c r="G54" t="s">
        <v>1689</v>
      </c>
    </row>
    <row r="55" spans="1:7" ht="11.25" customHeight="1">
      <c r="A55" t="s">
        <v>14</v>
      </c>
      <c r="B55" t="s">
        <v>8625</v>
      </c>
      <c r="C55" t="s">
        <v>8626</v>
      </c>
      <c r="D55" t="s">
        <v>8641</v>
      </c>
      <c r="E55" t="s">
        <v>8642</v>
      </c>
      <c r="F55" t="s">
        <v>8546</v>
      </c>
      <c r="G55" t="s">
        <v>1692</v>
      </c>
    </row>
    <row r="56" spans="1:7" ht="11.25" customHeight="1">
      <c r="A56" t="s">
        <v>14</v>
      </c>
      <c r="B56" t="s">
        <v>8625</v>
      </c>
      <c r="C56" t="s">
        <v>8626</v>
      </c>
      <c r="D56" t="s">
        <v>8643</v>
      </c>
      <c r="E56" t="s">
        <v>8644</v>
      </c>
      <c r="F56" t="s">
        <v>8546</v>
      </c>
      <c r="G56" t="s">
        <v>1695</v>
      </c>
    </row>
    <row r="57" spans="1:7" ht="11.25" customHeight="1">
      <c r="A57" t="s">
        <v>14</v>
      </c>
      <c r="B57" t="s">
        <v>8625</v>
      </c>
      <c r="C57" t="s">
        <v>8626</v>
      </c>
      <c r="D57" t="s">
        <v>8645</v>
      </c>
      <c r="E57" t="s">
        <v>8646</v>
      </c>
      <c r="F57" t="s">
        <v>8546</v>
      </c>
      <c r="G57" t="s">
        <v>1698</v>
      </c>
    </row>
    <row r="58" spans="1:7" ht="11.25" customHeight="1">
      <c r="A58" t="s">
        <v>14</v>
      </c>
      <c r="B58" t="s">
        <v>8625</v>
      </c>
      <c r="C58" t="s">
        <v>8626</v>
      </c>
      <c r="D58" t="s">
        <v>8647</v>
      </c>
      <c r="E58" t="s">
        <v>8648</v>
      </c>
      <c r="F58" t="s">
        <v>8546</v>
      </c>
      <c r="G58" t="s">
        <v>1702</v>
      </c>
    </row>
    <row r="59" spans="1:7" ht="11.25" customHeight="1">
      <c r="A59" t="s">
        <v>14</v>
      </c>
      <c r="B59" t="s">
        <v>8625</v>
      </c>
      <c r="C59" t="s">
        <v>8626</v>
      </c>
      <c r="D59" t="s">
        <v>8649</v>
      </c>
      <c r="E59" t="s">
        <v>8650</v>
      </c>
      <c r="F59" t="s">
        <v>8546</v>
      </c>
      <c r="G59" t="s">
        <v>1705</v>
      </c>
    </row>
    <row r="60" spans="1:7" ht="11.25" customHeight="1">
      <c r="A60" t="s">
        <v>14</v>
      </c>
      <c r="B60" t="s">
        <v>8625</v>
      </c>
      <c r="C60" t="s">
        <v>8626</v>
      </c>
      <c r="D60" t="s">
        <v>8651</v>
      </c>
      <c r="E60" t="s">
        <v>8652</v>
      </c>
      <c r="F60" t="s">
        <v>8546</v>
      </c>
      <c r="G60" t="s">
        <v>8653</v>
      </c>
    </row>
    <row r="61" spans="1:7" ht="11.25" customHeight="1">
      <c r="A61" t="s">
        <v>14</v>
      </c>
      <c r="B61" t="s">
        <v>8625</v>
      </c>
      <c r="C61" t="s">
        <v>8626</v>
      </c>
      <c r="D61" t="s">
        <v>8654</v>
      </c>
      <c r="E61" t="s">
        <v>8655</v>
      </c>
      <c r="F61" t="s">
        <v>8546</v>
      </c>
      <c r="G61" t="s">
        <v>8656</v>
      </c>
    </row>
    <row r="62" spans="1:7" ht="11.25" customHeight="1">
      <c r="A62" t="s">
        <v>14</v>
      </c>
      <c r="B62" t="s">
        <v>8657</v>
      </c>
      <c r="C62" t="s">
        <v>8658</v>
      </c>
      <c r="D62" t="s">
        <v>8657</v>
      </c>
      <c r="E62" t="s">
        <v>8658</v>
      </c>
      <c r="F62" t="s">
        <v>8537</v>
      </c>
      <c r="G62" t="s">
        <v>8659</v>
      </c>
    </row>
    <row r="63" spans="1:7" ht="11.25" customHeight="1">
      <c r="A63" t="s">
        <v>14</v>
      </c>
      <c r="B63" t="s">
        <v>8657</v>
      </c>
      <c r="C63" t="s">
        <v>8658</v>
      </c>
      <c r="D63" t="s">
        <v>8660</v>
      </c>
      <c r="E63" t="s">
        <v>8661</v>
      </c>
      <c r="F63" t="s">
        <v>8540</v>
      </c>
      <c r="G63" t="s">
        <v>8662</v>
      </c>
    </row>
    <row r="64" spans="1:7" ht="11.25" customHeight="1">
      <c r="A64" t="s">
        <v>14</v>
      </c>
      <c r="B64" t="s">
        <v>8657</v>
      </c>
      <c r="C64" t="s">
        <v>8658</v>
      </c>
      <c r="D64" t="s">
        <v>8663</v>
      </c>
      <c r="E64" t="s">
        <v>8664</v>
      </c>
      <c r="F64" t="s">
        <v>8540</v>
      </c>
      <c r="G64" t="s">
        <v>8665</v>
      </c>
    </row>
    <row r="65" spans="1:7" ht="11.25" customHeight="1">
      <c r="A65" t="s">
        <v>14</v>
      </c>
      <c r="B65" t="s">
        <v>8657</v>
      </c>
      <c r="C65" t="s">
        <v>8658</v>
      </c>
      <c r="D65" t="s">
        <v>8666</v>
      </c>
      <c r="E65" t="s">
        <v>8667</v>
      </c>
      <c r="F65" t="s">
        <v>8546</v>
      </c>
      <c r="G65" t="s">
        <v>8668</v>
      </c>
    </row>
    <row r="66" spans="1:7" ht="11.25" customHeight="1">
      <c r="A66" t="s">
        <v>14</v>
      </c>
      <c r="B66" t="s">
        <v>8657</v>
      </c>
      <c r="C66" t="s">
        <v>8658</v>
      </c>
      <c r="D66" t="s">
        <v>8669</v>
      </c>
      <c r="E66" t="s">
        <v>8670</v>
      </c>
      <c r="F66" t="s">
        <v>8546</v>
      </c>
      <c r="G66" t="s">
        <v>2024</v>
      </c>
    </row>
    <row r="67" spans="1:7" ht="11.25" customHeight="1">
      <c r="A67" t="s">
        <v>14</v>
      </c>
      <c r="B67" t="s">
        <v>8657</v>
      </c>
      <c r="C67" t="s">
        <v>8658</v>
      </c>
      <c r="D67" t="s">
        <v>8671</v>
      </c>
      <c r="E67" t="s">
        <v>8672</v>
      </c>
      <c r="F67" t="s">
        <v>8546</v>
      </c>
      <c r="G67" t="s">
        <v>8673</v>
      </c>
    </row>
    <row r="68" spans="1:7" ht="11.25" customHeight="1">
      <c r="A68" t="s">
        <v>14</v>
      </c>
      <c r="B68" t="s">
        <v>8657</v>
      </c>
      <c r="C68" t="s">
        <v>8658</v>
      </c>
      <c r="D68" t="s">
        <v>8674</v>
      </c>
      <c r="E68" t="s">
        <v>8675</v>
      </c>
      <c r="F68" t="s">
        <v>8546</v>
      </c>
      <c r="G68" t="s">
        <v>2235</v>
      </c>
    </row>
    <row r="69" spans="1:7" ht="11.25" customHeight="1">
      <c r="A69" t="s">
        <v>14</v>
      </c>
      <c r="B69" t="s">
        <v>8657</v>
      </c>
      <c r="C69" t="s">
        <v>8658</v>
      </c>
      <c r="D69" t="s">
        <v>8676</v>
      </c>
      <c r="E69" t="s">
        <v>8677</v>
      </c>
      <c r="F69" t="s">
        <v>8546</v>
      </c>
      <c r="G69" t="s">
        <v>8678</v>
      </c>
    </row>
    <row r="70" spans="1:7" ht="11.25" customHeight="1">
      <c r="A70" t="s">
        <v>14</v>
      </c>
      <c r="B70" t="s">
        <v>8679</v>
      </c>
      <c r="C70" t="s">
        <v>8680</v>
      </c>
      <c r="D70" t="s">
        <v>8679</v>
      </c>
      <c r="E70" t="s">
        <v>8680</v>
      </c>
      <c r="F70" t="s">
        <v>8537</v>
      </c>
      <c r="G70" t="s">
        <v>8681</v>
      </c>
    </row>
    <row r="71" spans="1:7" ht="11.25" customHeight="1">
      <c r="A71" t="s">
        <v>14</v>
      </c>
      <c r="B71" t="s">
        <v>8679</v>
      </c>
      <c r="C71" t="s">
        <v>8680</v>
      </c>
      <c r="D71" t="s">
        <v>8682</v>
      </c>
      <c r="E71" t="s">
        <v>8683</v>
      </c>
      <c r="F71" t="s">
        <v>8540</v>
      </c>
      <c r="G71" t="s">
        <v>8684</v>
      </c>
    </row>
    <row r="72" spans="1:7" ht="11.25" customHeight="1">
      <c r="A72" t="s">
        <v>14</v>
      </c>
      <c r="B72" t="s">
        <v>8679</v>
      </c>
      <c r="C72" t="s">
        <v>8680</v>
      </c>
      <c r="D72" t="s">
        <v>8685</v>
      </c>
      <c r="E72" t="s">
        <v>8686</v>
      </c>
      <c r="F72" t="s">
        <v>8540</v>
      </c>
      <c r="G72" t="s">
        <v>8687</v>
      </c>
    </row>
    <row r="73" spans="1:7" ht="11.25" customHeight="1">
      <c r="A73" t="s">
        <v>14</v>
      </c>
      <c r="B73" t="s">
        <v>8679</v>
      </c>
      <c r="C73" t="s">
        <v>8680</v>
      </c>
      <c r="D73" t="s">
        <v>8688</v>
      </c>
      <c r="E73" t="s">
        <v>8689</v>
      </c>
      <c r="F73" t="s">
        <v>8543</v>
      </c>
      <c r="G73" t="s">
        <v>8690</v>
      </c>
    </row>
    <row r="74" spans="1:7" ht="11.25" customHeight="1">
      <c r="A74" t="s">
        <v>14</v>
      </c>
      <c r="B74" t="s">
        <v>8679</v>
      </c>
      <c r="C74" t="s">
        <v>8680</v>
      </c>
      <c r="D74" t="s">
        <v>8691</v>
      </c>
      <c r="E74" t="s">
        <v>8692</v>
      </c>
      <c r="F74" t="s">
        <v>8546</v>
      </c>
      <c r="G74" t="s">
        <v>8693</v>
      </c>
    </row>
    <row r="75" spans="1:7" ht="11.25" customHeight="1">
      <c r="A75" t="s">
        <v>14</v>
      </c>
      <c r="B75" t="s">
        <v>8679</v>
      </c>
      <c r="C75" t="s">
        <v>8680</v>
      </c>
      <c r="D75" t="s">
        <v>8694</v>
      </c>
      <c r="E75" t="s">
        <v>8695</v>
      </c>
      <c r="F75" t="s">
        <v>8546</v>
      </c>
      <c r="G75" t="s">
        <v>8696</v>
      </c>
    </row>
    <row r="76" spans="1:7" ht="11.25" customHeight="1">
      <c r="A76" t="s">
        <v>14</v>
      </c>
      <c r="B76" t="s">
        <v>8679</v>
      </c>
      <c r="C76" t="s">
        <v>8680</v>
      </c>
      <c r="D76" t="s">
        <v>8697</v>
      </c>
      <c r="E76" t="s">
        <v>8698</v>
      </c>
      <c r="F76" t="s">
        <v>8546</v>
      </c>
      <c r="G76" t="s">
        <v>8699</v>
      </c>
    </row>
    <row r="77" spans="1:7" ht="11.25" customHeight="1">
      <c r="A77" t="s">
        <v>14</v>
      </c>
      <c r="B77" t="s">
        <v>8679</v>
      </c>
      <c r="C77" t="s">
        <v>8680</v>
      </c>
      <c r="D77" t="s">
        <v>8700</v>
      </c>
      <c r="E77" t="s">
        <v>8701</v>
      </c>
      <c r="F77" t="s">
        <v>8546</v>
      </c>
      <c r="G77" t="s">
        <v>8702</v>
      </c>
    </row>
    <row r="78" spans="1:7" ht="11.25" customHeight="1">
      <c r="A78" t="s">
        <v>14</v>
      </c>
      <c r="B78" t="s">
        <v>8679</v>
      </c>
      <c r="C78" t="s">
        <v>8680</v>
      </c>
      <c r="D78" t="s">
        <v>8703</v>
      </c>
      <c r="E78" t="s">
        <v>8704</v>
      </c>
      <c r="F78" t="s">
        <v>8546</v>
      </c>
      <c r="G78" t="s">
        <v>8705</v>
      </c>
    </row>
    <row r="79" spans="1:7" ht="11.25" customHeight="1">
      <c r="A79" t="s">
        <v>14</v>
      </c>
      <c r="B79" t="s">
        <v>8706</v>
      </c>
      <c r="C79" t="s">
        <v>8707</v>
      </c>
      <c r="D79" t="s">
        <v>8706</v>
      </c>
      <c r="E79" t="s">
        <v>8707</v>
      </c>
      <c r="F79" t="s">
        <v>8537</v>
      </c>
      <c r="G79" t="s">
        <v>8708</v>
      </c>
    </row>
    <row r="80" spans="1:7" ht="11.25" customHeight="1">
      <c r="A80" t="s">
        <v>14</v>
      </c>
      <c r="B80" t="s">
        <v>8706</v>
      </c>
      <c r="C80" t="s">
        <v>8707</v>
      </c>
      <c r="D80" t="s">
        <v>8709</v>
      </c>
      <c r="E80" t="s">
        <v>8710</v>
      </c>
      <c r="F80" t="s">
        <v>8543</v>
      </c>
      <c r="G80" t="s">
        <v>8711</v>
      </c>
    </row>
    <row r="81" spans="1:7" ht="11.25" customHeight="1">
      <c r="A81" t="s">
        <v>14</v>
      </c>
      <c r="B81" t="s">
        <v>8706</v>
      </c>
      <c r="C81" t="s">
        <v>8707</v>
      </c>
      <c r="D81" t="s">
        <v>8712</v>
      </c>
      <c r="E81" t="s">
        <v>8713</v>
      </c>
      <c r="F81" t="s">
        <v>8546</v>
      </c>
      <c r="G81" t="s">
        <v>8714</v>
      </c>
    </row>
    <row r="82" spans="1:7" ht="11.25" customHeight="1">
      <c r="A82" t="s">
        <v>14</v>
      </c>
      <c r="B82" t="s">
        <v>8706</v>
      </c>
      <c r="C82" t="s">
        <v>8707</v>
      </c>
      <c r="D82" t="s">
        <v>8715</v>
      </c>
      <c r="E82" t="s">
        <v>8716</v>
      </c>
      <c r="F82" t="s">
        <v>8546</v>
      </c>
      <c r="G82" t="s">
        <v>8717</v>
      </c>
    </row>
    <row r="83" spans="1:7" ht="11.25" customHeight="1">
      <c r="A83" t="s">
        <v>14</v>
      </c>
      <c r="B83" t="s">
        <v>8706</v>
      </c>
      <c r="C83" t="s">
        <v>8707</v>
      </c>
      <c r="D83" t="s">
        <v>8718</v>
      </c>
      <c r="E83" t="s">
        <v>8719</v>
      </c>
      <c r="F83" t="s">
        <v>8546</v>
      </c>
      <c r="G83" t="s">
        <v>8720</v>
      </c>
    </row>
    <row r="84" spans="1:7" ht="11.25" customHeight="1">
      <c r="A84" t="s">
        <v>14</v>
      </c>
      <c r="B84" t="s">
        <v>8706</v>
      </c>
      <c r="C84" t="s">
        <v>8707</v>
      </c>
      <c r="D84" t="s">
        <v>8721</v>
      </c>
      <c r="E84" t="s">
        <v>8722</v>
      </c>
      <c r="F84" t="s">
        <v>8546</v>
      </c>
      <c r="G84" t="s">
        <v>8723</v>
      </c>
    </row>
    <row r="85" spans="1:7" ht="11.25" customHeight="1">
      <c r="A85" t="s">
        <v>14</v>
      </c>
      <c r="B85" t="s">
        <v>8706</v>
      </c>
      <c r="C85" t="s">
        <v>8707</v>
      </c>
      <c r="D85" t="s">
        <v>8724</v>
      </c>
      <c r="E85" t="s">
        <v>8725</v>
      </c>
      <c r="F85" t="s">
        <v>8546</v>
      </c>
      <c r="G85" t="s">
        <v>8726</v>
      </c>
    </row>
    <row r="86" spans="1:7" ht="11.25" customHeight="1">
      <c r="A86" t="s">
        <v>14</v>
      </c>
      <c r="B86" t="s">
        <v>8706</v>
      </c>
      <c r="C86" t="s">
        <v>8707</v>
      </c>
      <c r="D86" t="s">
        <v>8727</v>
      </c>
      <c r="E86" t="s">
        <v>8728</v>
      </c>
      <c r="F86" t="s">
        <v>8546</v>
      </c>
      <c r="G86" t="s">
        <v>8729</v>
      </c>
    </row>
    <row r="87" spans="1:7" ht="11.25" customHeight="1">
      <c r="A87" t="s">
        <v>14</v>
      </c>
      <c r="B87" t="s">
        <v>8706</v>
      </c>
      <c r="C87" t="s">
        <v>8707</v>
      </c>
      <c r="D87" t="s">
        <v>8730</v>
      </c>
      <c r="E87" t="s">
        <v>8731</v>
      </c>
      <c r="F87" t="s">
        <v>8546</v>
      </c>
      <c r="G87" t="s">
        <v>8732</v>
      </c>
    </row>
    <row r="88" spans="1:7" ht="11.25" customHeight="1">
      <c r="A88" t="s">
        <v>14</v>
      </c>
      <c r="B88" t="s">
        <v>8706</v>
      </c>
      <c r="C88" t="s">
        <v>8707</v>
      </c>
      <c r="D88" t="s">
        <v>8733</v>
      </c>
      <c r="E88" t="s">
        <v>8734</v>
      </c>
      <c r="F88" t="s">
        <v>8546</v>
      </c>
      <c r="G88" t="s">
        <v>8735</v>
      </c>
    </row>
    <row r="89" spans="1:7" ht="11.25" customHeight="1">
      <c r="A89" t="s">
        <v>14</v>
      </c>
      <c r="B89" t="s">
        <v>8736</v>
      </c>
      <c r="C89" t="s">
        <v>8737</v>
      </c>
      <c r="D89" t="s">
        <v>8736</v>
      </c>
      <c r="E89" t="s">
        <v>8737</v>
      </c>
      <c r="F89" t="s">
        <v>8532</v>
      </c>
      <c r="G89" t="s">
        <v>8738</v>
      </c>
    </row>
    <row r="90" spans="1:7" ht="11.25" customHeight="1">
      <c r="A90" t="s">
        <v>14</v>
      </c>
      <c r="B90" t="s">
        <v>8739</v>
      </c>
      <c r="C90" t="s">
        <v>8740</v>
      </c>
      <c r="D90" t="s">
        <v>8739</v>
      </c>
      <c r="E90" t="s">
        <v>8740</v>
      </c>
      <c r="F90" t="s">
        <v>8532</v>
      </c>
      <c r="G90" t="s">
        <v>8741</v>
      </c>
    </row>
    <row r="91" spans="1:7" ht="11.25" customHeight="1">
      <c r="A91" t="s">
        <v>14</v>
      </c>
      <c r="B91" t="s">
        <v>8742</v>
      </c>
      <c r="C91" t="s">
        <v>8743</v>
      </c>
      <c r="D91" t="s">
        <v>8742</v>
      </c>
      <c r="E91" t="s">
        <v>8743</v>
      </c>
      <c r="F91" t="s">
        <v>8537</v>
      </c>
      <c r="G91" t="s">
        <v>8744</v>
      </c>
    </row>
    <row r="92" spans="1:7" ht="11.25" customHeight="1">
      <c r="A92" t="s">
        <v>14</v>
      </c>
      <c r="B92" t="s">
        <v>8742</v>
      </c>
      <c r="C92" t="s">
        <v>8743</v>
      </c>
      <c r="D92" t="s">
        <v>8745</v>
      </c>
      <c r="E92" t="s">
        <v>8746</v>
      </c>
      <c r="F92" t="s">
        <v>8540</v>
      </c>
      <c r="G92" t="s">
        <v>8747</v>
      </c>
    </row>
    <row r="93" spans="1:7" ht="11.25" customHeight="1">
      <c r="A93" t="s">
        <v>14</v>
      </c>
      <c r="B93" t="s">
        <v>8742</v>
      </c>
      <c r="C93" t="s">
        <v>8743</v>
      </c>
      <c r="D93" t="s">
        <v>8748</v>
      </c>
      <c r="E93" t="s">
        <v>8749</v>
      </c>
      <c r="F93" t="s">
        <v>8543</v>
      </c>
      <c r="G93" t="s">
        <v>8750</v>
      </c>
    </row>
    <row r="94" spans="1:7" ht="11.25" customHeight="1">
      <c r="A94" t="s">
        <v>14</v>
      </c>
      <c r="B94" t="s">
        <v>8742</v>
      </c>
      <c r="C94" t="s">
        <v>8743</v>
      </c>
      <c r="D94" t="s">
        <v>8751</v>
      </c>
      <c r="E94" t="s">
        <v>8752</v>
      </c>
      <c r="F94" t="s">
        <v>8546</v>
      </c>
      <c r="G94" t="s">
        <v>8753</v>
      </c>
    </row>
    <row r="95" spans="1:7" ht="11.25" customHeight="1">
      <c r="A95" t="s">
        <v>14</v>
      </c>
      <c r="B95" t="s">
        <v>8742</v>
      </c>
      <c r="C95" t="s">
        <v>8743</v>
      </c>
      <c r="D95" t="s">
        <v>8754</v>
      </c>
      <c r="E95" t="s">
        <v>8755</v>
      </c>
      <c r="F95" t="s">
        <v>8546</v>
      </c>
      <c r="G95" t="s">
        <v>8756</v>
      </c>
    </row>
    <row r="96" spans="1:7" ht="11.25" customHeight="1">
      <c r="A96" t="s">
        <v>14</v>
      </c>
      <c r="B96" t="s">
        <v>8757</v>
      </c>
      <c r="C96" t="s">
        <v>8758</v>
      </c>
      <c r="D96" t="s">
        <v>8757</v>
      </c>
      <c r="E96" t="s">
        <v>8758</v>
      </c>
      <c r="F96" t="s">
        <v>8532</v>
      </c>
      <c r="G96" t="s">
        <v>8759</v>
      </c>
    </row>
    <row r="97" spans="1:7" ht="11.25" customHeight="1">
      <c r="A97" t="s">
        <v>14</v>
      </c>
      <c r="B97" t="s">
        <v>8760</v>
      </c>
      <c r="C97" t="s">
        <v>8761</v>
      </c>
      <c r="D97" t="s">
        <v>8760</v>
      </c>
      <c r="E97" t="s">
        <v>8761</v>
      </c>
      <c r="F97" t="s">
        <v>8537</v>
      </c>
      <c r="G97" t="s">
        <v>8762</v>
      </c>
    </row>
    <row r="98" spans="1:7" ht="11.25" customHeight="1">
      <c r="A98" t="s">
        <v>14</v>
      </c>
      <c r="B98" t="s">
        <v>8760</v>
      </c>
      <c r="C98" t="s">
        <v>8761</v>
      </c>
      <c r="D98" t="s">
        <v>8763</v>
      </c>
      <c r="E98" t="s">
        <v>8764</v>
      </c>
      <c r="F98" t="s">
        <v>8540</v>
      </c>
      <c r="G98" t="s">
        <v>8765</v>
      </c>
    </row>
    <row r="99" spans="1:7" ht="11.25" customHeight="1">
      <c r="A99" t="s">
        <v>14</v>
      </c>
      <c r="B99" t="s">
        <v>8760</v>
      </c>
      <c r="C99" t="s">
        <v>8761</v>
      </c>
      <c r="D99" t="s">
        <v>8766</v>
      </c>
      <c r="E99" t="s">
        <v>8767</v>
      </c>
      <c r="F99" t="s">
        <v>8543</v>
      </c>
      <c r="G99" t="s">
        <v>8768</v>
      </c>
    </row>
    <row r="100" spans="1:7" ht="11.25" customHeight="1">
      <c r="A100" t="s">
        <v>14</v>
      </c>
      <c r="B100" t="s">
        <v>8760</v>
      </c>
      <c r="C100" t="s">
        <v>8761</v>
      </c>
      <c r="D100" t="s">
        <v>8769</v>
      </c>
      <c r="E100" t="s">
        <v>8770</v>
      </c>
      <c r="F100" t="s">
        <v>8546</v>
      </c>
      <c r="G100" t="s">
        <v>8771</v>
      </c>
    </row>
    <row r="101" spans="1:7" ht="11.25" customHeight="1">
      <c r="A101" t="s">
        <v>14</v>
      </c>
      <c r="B101" t="s">
        <v>8760</v>
      </c>
      <c r="C101" t="s">
        <v>8761</v>
      </c>
      <c r="D101" t="s">
        <v>8772</v>
      </c>
      <c r="E101" t="s">
        <v>8773</v>
      </c>
      <c r="F101" t="s">
        <v>8546</v>
      </c>
      <c r="G101" t="s">
        <v>8774</v>
      </c>
    </row>
    <row r="102" spans="1:7" ht="11.25" customHeight="1">
      <c r="A102" t="s">
        <v>14</v>
      </c>
      <c r="B102" t="s">
        <v>8760</v>
      </c>
      <c r="C102" t="s">
        <v>8761</v>
      </c>
      <c r="D102" t="s">
        <v>8775</v>
      </c>
      <c r="E102" t="s">
        <v>8776</v>
      </c>
      <c r="F102" t="s">
        <v>8546</v>
      </c>
      <c r="G102" t="s">
        <v>8777</v>
      </c>
    </row>
    <row r="103" spans="1:7" ht="11.25" customHeight="1">
      <c r="A103" t="s">
        <v>14</v>
      </c>
      <c r="B103" t="s">
        <v>8760</v>
      </c>
      <c r="C103" t="s">
        <v>8761</v>
      </c>
      <c r="D103" t="s">
        <v>8778</v>
      </c>
      <c r="E103" t="s">
        <v>8779</v>
      </c>
      <c r="F103" t="s">
        <v>8546</v>
      </c>
      <c r="G103" t="s">
        <v>8780</v>
      </c>
    </row>
    <row r="104" spans="1:7" ht="11.25" customHeight="1">
      <c r="A104" t="s">
        <v>14</v>
      </c>
      <c r="B104" t="s">
        <v>8760</v>
      </c>
      <c r="C104" t="s">
        <v>8761</v>
      </c>
      <c r="D104" t="s">
        <v>8781</v>
      </c>
      <c r="E104" t="s">
        <v>8782</v>
      </c>
      <c r="F104" t="s">
        <v>8546</v>
      </c>
      <c r="G104" t="s">
        <v>8783</v>
      </c>
    </row>
    <row r="105" spans="1:7" ht="11.25" customHeight="1">
      <c r="A105" t="s">
        <v>14</v>
      </c>
      <c r="B105" t="s">
        <v>8784</v>
      </c>
      <c r="C105" t="s">
        <v>8785</v>
      </c>
      <c r="D105" t="s">
        <v>8784</v>
      </c>
      <c r="E105" t="s">
        <v>8785</v>
      </c>
      <c r="F105" t="s">
        <v>8532</v>
      </c>
      <c r="G105" t="s">
        <v>8786</v>
      </c>
    </row>
    <row r="106" spans="1:7" ht="11.25" customHeight="1">
      <c r="A106" t="s">
        <v>14</v>
      </c>
      <c r="B106" t="s">
        <v>8787</v>
      </c>
      <c r="C106" t="s">
        <v>8788</v>
      </c>
      <c r="D106" t="s">
        <v>8787</v>
      </c>
      <c r="E106" t="s">
        <v>8788</v>
      </c>
      <c r="F106" t="s">
        <v>8532</v>
      </c>
      <c r="G106" t="s">
        <v>8789</v>
      </c>
    </row>
    <row r="107" spans="1:7" ht="11.25" customHeight="1">
      <c r="A107" t="s">
        <v>14</v>
      </c>
      <c r="B107" t="s">
        <v>8790</v>
      </c>
      <c r="C107" t="s">
        <v>8791</v>
      </c>
      <c r="D107" t="s">
        <v>8790</v>
      </c>
      <c r="E107" t="s">
        <v>8791</v>
      </c>
      <c r="F107" t="s">
        <v>8537</v>
      </c>
      <c r="G107" t="s">
        <v>8792</v>
      </c>
    </row>
    <row r="108" spans="1:7" ht="11.25" customHeight="1">
      <c r="A108" t="s">
        <v>14</v>
      </c>
      <c r="B108" t="s">
        <v>8790</v>
      </c>
      <c r="C108" t="s">
        <v>8791</v>
      </c>
      <c r="D108" t="s">
        <v>8793</v>
      </c>
      <c r="E108" t="s">
        <v>8794</v>
      </c>
      <c r="F108" t="s">
        <v>8543</v>
      </c>
      <c r="G108" t="s">
        <v>8795</v>
      </c>
    </row>
    <row r="109" spans="1:7" ht="11.25" customHeight="1">
      <c r="A109" t="s">
        <v>14</v>
      </c>
      <c r="B109" t="s">
        <v>8790</v>
      </c>
      <c r="C109" t="s">
        <v>8791</v>
      </c>
      <c r="D109" t="s">
        <v>8796</v>
      </c>
      <c r="E109" t="s">
        <v>8797</v>
      </c>
      <c r="F109" t="s">
        <v>8546</v>
      </c>
      <c r="G109" t="s">
        <v>8798</v>
      </c>
    </row>
    <row r="110" spans="1:7" ht="11.25" customHeight="1">
      <c r="A110" t="s">
        <v>14</v>
      </c>
      <c r="B110" t="s">
        <v>8790</v>
      </c>
      <c r="C110" t="s">
        <v>8791</v>
      </c>
      <c r="D110" t="s">
        <v>8799</v>
      </c>
      <c r="E110" t="s">
        <v>8800</v>
      </c>
      <c r="F110" t="s">
        <v>8546</v>
      </c>
      <c r="G110" t="s">
        <v>8801</v>
      </c>
    </row>
    <row r="111" spans="1:7" ht="11.25" customHeight="1">
      <c r="A111" t="s">
        <v>14</v>
      </c>
      <c r="B111" t="s">
        <v>8802</v>
      </c>
      <c r="C111" t="s">
        <v>8803</v>
      </c>
      <c r="D111" t="s">
        <v>8802</v>
      </c>
      <c r="E111" t="s">
        <v>8803</v>
      </c>
      <c r="F111" t="s">
        <v>8537</v>
      </c>
      <c r="G111" t="s">
        <v>8804</v>
      </c>
    </row>
    <row r="112" spans="1:7" ht="11.25" customHeight="1">
      <c r="A112" t="s">
        <v>14</v>
      </c>
      <c r="B112" t="s">
        <v>8802</v>
      </c>
      <c r="C112" t="s">
        <v>8803</v>
      </c>
      <c r="D112" t="s">
        <v>8805</v>
      </c>
      <c r="E112" t="s">
        <v>8806</v>
      </c>
      <c r="F112" t="s">
        <v>8543</v>
      </c>
      <c r="G112" t="s">
        <v>8807</v>
      </c>
    </row>
    <row r="113" spans="1:7" ht="11.25" customHeight="1">
      <c r="A113" t="s">
        <v>14</v>
      </c>
      <c r="B113" t="s">
        <v>8802</v>
      </c>
      <c r="C113" t="s">
        <v>8803</v>
      </c>
      <c r="D113" t="s">
        <v>8808</v>
      </c>
      <c r="E113" t="s">
        <v>8809</v>
      </c>
      <c r="F113" t="s">
        <v>8540</v>
      </c>
      <c r="G113" t="s">
        <v>8810</v>
      </c>
    </row>
    <row r="114" spans="1:7" ht="11.25" customHeight="1">
      <c r="A114" t="s">
        <v>14</v>
      </c>
      <c r="B114" t="s">
        <v>8802</v>
      </c>
      <c r="C114" t="s">
        <v>8803</v>
      </c>
      <c r="D114" t="s">
        <v>8811</v>
      </c>
      <c r="E114" t="s">
        <v>8812</v>
      </c>
      <c r="F114" t="s">
        <v>8546</v>
      </c>
      <c r="G114" t="s">
        <v>8813</v>
      </c>
    </row>
    <row r="115" spans="1:7" ht="11.25" customHeight="1">
      <c r="A115" t="s">
        <v>14</v>
      </c>
      <c r="B115" t="s">
        <v>8802</v>
      </c>
      <c r="C115" t="s">
        <v>8803</v>
      </c>
      <c r="D115" t="s">
        <v>8814</v>
      </c>
      <c r="E115" t="s">
        <v>8815</v>
      </c>
      <c r="F115" t="s">
        <v>8546</v>
      </c>
      <c r="G115" t="s">
        <v>8816</v>
      </c>
    </row>
    <row r="116" spans="1:7" ht="11.25" customHeight="1">
      <c r="A116" t="s">
        <v>14</v>
      </c>
      <c r="B116" t="s">
        <v>8802</v>
      </c>
      <c r="C116" t="s">
        <v>8803</v>
      </c>
      <c r="D116" t="s">
        <v>8817</v>
      </c>
      <c r="E116" t="s">
        <v>8818</v>
      </c>
      <c r="F116" t="s">
        <v>8546</v>
      </c>
      <c r="G116" t="s">
        <v>8819</v>
      </c>
    </row>
    <row r="117" spans="1:7" ht="11.25" customHeight="1">
      <c r="A117" t="s">
        <v>14</v>
      </c>
      <c r="B117" t="s">
        <v>8802</v>
      </c>
      <c r="C117" t="s">
        <v>8803</v>
      </c>
      <c r="D117" t="s">
        <v>8820</v>
      </c>
      <c r="E117" t="s">
        <v>8821</v>
      </c>
      <c r="F117" t="s">
        <v>8546</v>
      </c>
      <c r="G117" t="s">
        <v>8822</v>
      </c>
    </row>
    <row r="118" spans="1:7" ht="11.25" customHeight="1">
      <c r="A118" t="s">
        <v>14</v>
      </c>
      <c r="B118" t="s">
        <v>8802</v>
      </c>
      <c r="C118" t="s">
        <v>8803</v>
      </c>
      <c r="D118" t="s">
        <v>8823</v>
      </c>
      <c r="E118" t="s">
        <v>8824</v>
      </c>
      <c r="F118" t="s">
        <v>8546</v>
      </c>
      <c r="G118" t="s">
        <v>8825</v>
      </c>
    </row>
    <row r="119" spans="1:7" ht="11.25" customHeight="1">
      <c r="A119" t="s">
        <v>14</v>
      </c>
      <c r="B119" t="s">
        <v>8802</v>
      </c>
      <c r="C119" t="s">
        <v>8803</v>
      </c>
      <c r="D119" t="s">
        <v>8826</v>
      </c>
      <c r="E119" t="s">
        <v>8827</v>
      </c>
      <c r="F119" t="s">
        <v>8546</v>
      </c>
      <c r="G119" t="s">
        <v>8828</v>
      </c>
    </row>
    <row r="120" spans="1:7" ht="11.25" customHeight="1">
      <c r="A120" t="s">
        <v>14</v>
      </c>
      <c r="B120" t="s">
        <v>8829</v>
      </c>
      <c r="C120" t="s">
        <v>8830</v>
      </c>
      <c r="D120" t="s">
        <v>8829</v>
      </c>
      <c r="E120" t="s">
        <v>8830</v>
      </c>
      <c r="F120" t="s">
        <v>8532</v>
      </c>
      <c r="G120" t="s">
        <v>8831</v>
      </c>
    </row>
    <row r="121" spans="1:7" ht="11.25" customHeight="1">
      <c r="A121" t="s">
        <v>14</v>
      </c>
      <c r="B121" t="s">
        <v>8832</v>
      </c>
      <c r="C121" t="s">
        <v>8833</v>
      </c>
      <c r="D121" t="s">
        <v>8832</v>
      </c>
      <c r="E121" t="s">
        <v>8833</v>
      </c>
      <c r="F121" t="s">
        <v>8537</v>
      </c>
      <c r="G121" t="s">
        <v>8834</v>
      </c>
    </row>
    <row r="122" spans="1:7" ht="11.25" customHeight="1">
      <c r="A122" t="s">
        <v>14</v>
      </c>
      <c r="B122" t="s">
        <v>8832</v>
      </c>
      <c r="C122" t="s">
        <v>8833</v>
      </c>
      <c r="D122" t="s">
        <v>8835</v>
      </c>
      <c r="E122" t="s">
        <v>8836</v>
      </c>
      <c r="F122" t="s">
        <v>8543</v>
      </c>
      <c r="G122" t="s">
        <v>8837</v>
      </c>
    </row>
    <row r="123" spans="1:7" ht="11.25" customHeight="1">
      <c r="A123" t="s">
        <v>14</v>
      </c>
      <c r="B123" t="s">
        <v>8832</v>
      </c>
      <c r="C123" t="s">
        <v>8833</v>
      </c>
      <c r="D123" t="s">
        <v>8838</v>
      </c>
      <c r="E123" t="s">
        <v>8839</v>
      </c>
      <c r="F123" t="s">
        <v>8540</v>
      </c>
      <c r="G123" t="s">
        <v>8840</v>
      </c>
    </row>
    <row r="124" spans="1:7" ht="11.25" customHeight="1">
      <c r="A124" t="s">
        <v>14</v>
      </c>
      <c r="B124" t="s">
        <v>8832</v>
      </c>
      <c r="C124" t="s">
        <v>8833</v>
      </c>
      <c r="D124" t="s">
        <v>8841</v>
      </c>
      <c r="E124" t="s">
        <v>8842</v>
      </c>
      <c r="F124" t="s">
        <v>8543</v>
      </c>
      <c r="G124" t="s">
        <v>8843</v>
      </c>
    </row>
    <row r="125" spans="1:7" ht="11.25" customHeight="1">
      <c r="A125" t="s">
        <v>14</v>
      </c>
      <c r="B125" t="s">
        <v>8832</v>
      </c>
      <c r="C125" t="s">
        <v>8833</v>
      </c>
      <c r="D125" t="s">
        <v>8844</v>
      </c>
      <c r="E125" t="s">
        <v>8845</v>
      </c>
      <c r="F125" t="s">
        <v>8543</v>
      </c>
      <c r="G125" t="s">
        <v>8846</v>
      </c>
    </row>
    <row r="126" spans="1:7" ht="11.25" customHeight="1">
      <c r="A126" t="s">
        <v>14</v>
      </c>
      <c r="B126" t="s">
        <v>8832</v>
      </c>
      <c r="C126" t="s">
        <v>8833</v>
      </c>
      <c r="D126" t="s">
        <v>8847</v>
      </c>
      <c r="E126" t="s">
        <v>8848</v>
      </c>
      <c r="F126" t="s">
        <v>8543</v>
      </c>
      <c r="G126" t="s">
        <v>8849</v>
      </c>
    </row>
    <row r="127" spans="1:7" ht="11.25" customHeight="1">
      <c r="A127" t="s">
        <v>14</v>
      </c>
      <c r="B127" t="s">
        <v>8850</v>
      </c>
      <c r="C127" t="s">
        <v>8851</v>
      </c>
      <c r="D127" t="s">
        <v>8850</v>
      </c>
      <c r="E127" t="s">
        <v>8851</v>
      </c>
      <c r="F127" t="s">
        <v>8532</v>
      </c>
      <c r="G127" t="s">
        <v>8852</v>
      </c>
    </row>
    <row r="128" spans="1:7" ht="11.25" customHeight="1">
      <c r="A128" t="s">
        <v>14</v>
      </c>
      <c r="B128" t="s">
        <v>8853</v>
      </c>
      <c r="C128" t="s">
        <v>8854</v>
      </c>
      <c r="D128" t="s">
        <v>8853</v>
      </c>
      <c r="E128" t="s">
        <v>8854</v>
      </c>
      <c r="F128" t="s">
        <v>8532</v>
      </c>
      <c r="G128" t="s">
        <v>8855</v>
      </c>
    </row>
    <row r="129" spans="1:7" ht="11.25" customHeight="1">
      <c r="A129" t="s">
        <v>14</v>
      </c>
      <c r="B129" t="s">
        <v>8856</v>
      </c>
      <c r="C129" t="s">
        <v>8857</v>
      </c>
      <c r="D129" t="s">
        <v>8856</v>
      </c>
      <c r="E129" t="s">
        <v>8857</v>
      </c>
      <c r="F129" t="s">
        <v>8537</v>
      </c>
      <c r="G129" t="s">
        <v>8858</v>
      </c>
    </row>
    <row r="130" spans="1:7" ht="11.25" customHeight="1">
      <c r="A130" t="s">
        <v>14</v>
      </c>
      <c r="B130" t="s">
        <v>8856</v>
      </c>
      <c r="C130" t="s">
        <v>8857</v>
      </c>
      <c r="D130" t="s">
        <v>8859</v>
      </c>
      <c r="E130" t="s">
        <v>8860</v>
      </c>
      <c r="F130" t="s">
        <v>8540</v>
      </c>
      <c r="G130" t="s">
        <v>8861</v>
      </c>
    </row>
    <row r="131" spans="1:7" ht="11.25" customHeight="1">
      <c r="A131" t="s">
        <v>14</v>
      </c>
      <c r="B131" t="s">
        <v>8856</v>
      </c>
      <c r="C131" t="s">
        <v>8857</v>
      </c>
      <c r="D131" t="s">
        <v>8862</v>
      </c>
      <c r="E131" t="s">
        <v>8863</v>
      </c>
      <c r="F131" t="s">
        <v>8543</v>
      </c>
      <c r="G131" t="s">
        <v>8864</v>
      </c>
    </row>
    <row r="132" spans="1:7" ht="11.25" customHeight="1">
      <c r="A132" t="s">
        <v>14</v>
      </c>
      <c r="B132" t="s">
        <v>8856</v>
      </c>
      <c r="C132" t="s">
        <v>8857</v>
      </c>
      <c r="D132" t="s">
        <v>8865</v>
      </c>
      <c r="E132" t="s">
        <v>8866</v>
      </c>
      <c r="F132" t="s">
        <v>8546</v>
      </c>
      <c r="G132" t="s">
        <v>8867</v>
      </c>
    </row>
    <row r="133" spans="1:7" ht="11.25" customHeight="1">
      <c r="A133" t="s">
        <v>14</v>
      </c>
      <c r="B133" t="s">
        <v>8856</v>
      </c>
      <c r="C133" t="s">
        <v>8857</v>
      </c>
      <c r="D133" t="s">
        <v>8868</v>
      </c>
      <c r="E133" t="s">
        <v>8869</v>
      </c>
      <c r="F133" t="s">
        <v>8546</v>
      </c>
      <c r="G133" t="s">
        <v>8870</v>
      </c>
    </row>
    <row r="134" spans="1:7" ht="11.25" customHeight="1">
      <c r="A134" t="s">
        <v>14</v>
      </c>
      <c r="B134" t="s">
        <v>8856</v>
      </c>
      <c r="C134" t="s">
        <v>8857</v>
      </c>
      <c r="D134" t="s">
        <v>8871</v>
      </c>
      <c r="E134" t="s">
        <v>8872</v>
      </c>
      <c r="F134" t="s">
        <v>8546</v>
      </c>
      <c r="G134" t="s">
        <v>8873</v>
      </c>
    </row>
    <row r="135" spans="1:7" ht="11.25" customHeight="1">
      <c r="A135" t="s">
        <v>14</v>
      </c>
      <c r="B135" t="s">
        <v>8856</v>
      </c>
      <c r="C135" t="s">
        <v>8857</v>
      </c>
      <c r="D135" t="s">
        <v>8874</v>
      </c>
      <c r="E135" t="s">
        <v>8875</v>
      </c>
      <c r="F135" t="s">
        <v>8546</v>
      </c>
      <c r="G135" t="s">
        <v>8876</v>
      </c>
    </row>
    <row r="136" spans="1:7" ht="11.25" customHeight="1">
      <c r="A136" t="s">
        <v>14</v>
      </c>
      <c r="B136" t="s">
        <v>8856</v>
      </c>
      <c r="C136" t="s">
        <v>8857</v>
      </c>
      <c r="D136" t="s">
        <v>8877</v>
      </c>
      <c r="E136" t="s">
        <v>8878</v>
      </c>
      <c r="F136" t="s">
        <v>8546</v>
      </c>
      <c r="G136" t="s">
        <v>8879</v>
      </c>
    </row>
    <row r="137" spans="1:7" ht="11.25" customHeight="1">
      <c r="A137" t="s">
        <v>14</v>
      </c>
      <c r="B137" t="s">
        <v>8856</v>
      </c>
      <c r="C137" t="s">
        <v>8857</v>
      </c>
      <c r="D137" t="s">
        <v>8880</v>
      </c>
      <c r="E137" t="s">
        <v>8881</v>
      </c>
      <c r="F137" t="s">
        <v>8546</v>
      </c>
      <c r="G137" t="s">
        <v>8882</v>
      </c>
    </row>
    <row r="138" spans="1:7" ht="11.25" customHeight="1">
      <c r="A138" t="s">
        <v>14</v>
      </c>
      <c r="B138" t="s">
        <v>8856</v>
      </c>
      <c r="C138" t="s">
        <v>8857</v>
      </c>
      <c r="D138" t="s">
        <v>8883</v>
      </c>
      <c r="E138" t="s">
        <v>8884</v>
      </c>
      <c r="F138" t="s">
        <v>8546</v>
      </c>
      <c r="G138" t="s">
        <v>8885</v>
      </c>
    </row>
    <row r="139" spans="1:7" ht="11.25" customHeight="1">
      <c r="A139" t="s">
        <v>14</v>
      </c>
      <c r="B139" t="s">
        <v>8856</v>
      </c>
      <c r="C139" t="s">
        <v>8857</v>
      </c>
      <c r="D139" t="s">
        <v>8886</v>
      </c>
      <c r="E139" t="s">
        <v>8887</v>
      </c>
      <c r="F139" t="s">
        <v>8546</v>
      </c>
      <c r="G139" t="s">
        <v>8888</v>
      </c>
    </row>
    <row r="140" spans="1:7" ht="11.25" customHeight="1">
      <c r="A140" t="s">
        <v>14</v>
      </c>
      <c r="B140" t="s">
        <v>8856</v>
      </c>
      <c r="C140" t="s">
        <v>8857</v>
      </c>
      <c r="D140" t="s">
        <v>8889</v>
      </c>
      <c r="E140" t="s">
        <v>8890</v>
      </c>
      <c r="F140" t="s">
        <v>8546</v>
      </c>
      <c r="G140" t="s">
        <v>8891</v>
      </c>
    </row>
    <row r="141" spans="1:7" ht="11.25" customHeight="1">
      <c r="A141" t="s">
        <v>14</v>
      </c>
      <c r="B141" t="s">
        <v>8892</v>
      </c>
      <c r="C141" t="s">
        <v>8893</v>
      </c>
      <c r="D141" t="s">
        <v>8892</v>
      </c>
      <c r="E141" t="s">
        <v>8893</v>
      </c>
      <c r="F141" t="s">
        <v>8537</v>
      </c>
      <c r="G141" t="s">
        <v>8894</v>
      </c>
    </row>
    <row r="142" spans="1:7" ht="11.25" customHeight="1">
      <c r="A142" t="s">
        <v>14</v>
      </c>
      <c r="B142" t="s">
        <v>8892</v>
      </c>
      <c r="C142" t="s">
        <v>8893</v>
      </c>
      <c r="D142" t="s">
        <v>8895</v>
      </c>
      <c r="E142" t="s">
        <v>8896</v>
      </c>
      <c r="F142" t="s">
        <v>8540</v>
      </c>
      <c r="G142" t="s">
        <v>8897</v>
      </c>
    </row>
    <row r="143" spans="1:7" ht="11.25" customHeight="1">
      <c r="A143" t="s">
        <v>14</v>
      </c>
      <c r="B143" t="s">
        <v>8892</v>
      </c>
      <c r="C143" t="s">
        <v>8893</v>
      </c>
      <c r="D143" t="s">
        <v>8898</v>
      </c>
      <c r="E143" t="s">
        <v>8899</v>
      </c>
      <c r="F143" t="s">
        <v>8543</v>
      </c>
      <c r="G143" t="s">
        <v>8900</v>
      </c>
    </row>
    <row r="144" spans="1:7" ht="11.25" customHeight="1">
      <c r="A144" t="s">
        <v>14</v>
      </c>
      <c r="B144" t="s">
        <v>8892</v>
      </c>
      <c r="C144" t="s">
        <v>8893</v>
      </c>
      <c r="D144" t="s">
        <v>8901</v>
      </c>
      <c r="E144" t="s">
        <v>8902</v>
      </c>
      <c r="F144" t="s">
        <v>8546</v>
      </c>
      <c r="G144" t="s">
        <v>8903</v>
      </c>
    </row>
    <row r="145" spans="1:7" ht="11.25" customHeight="1">
      <c r="A145" t="s">
        <v>14</v>
      </c>
      <c r="B145" t="s">
        <v>8904</v>
      </c>
      <c r="C145" t="s">
        <v>8905</v>
      </c>
      <c r="D145" t="s">
        <v>8904</v>
      </c>
      <c r="E145" t="s">
        <v>8905</v>
      </c>
      <c r="F145" t="s">
        <v>8532</v>
      </c>
      <c r="G145" t="s">
        <v>8906</v>
      </c>
    </row>
    <row r="146" spans="1:7" ht="11.25" customHeight="1">
      <c r="A146" t="s">
        <v>14</v>
      </c>
      <c r="B146" t="s">
        <v>8907</v>
      </c>
      <c r="C146" t="s">
        <v>8908</v>
      </c>
      <c r="D146" t="s">
        <v>8909</v>
      </c>
      <c r="E146" t="s">
        <v>8910</v>
      </c>
      <c r="F146" t="s">
        <v>8540</v>
      </c>
      <c r="G146" t="s">
        <v>8911</v>
      </c>
    </row>
    <row r="147" spans="1:7" ht="11.25" customHeight="1">
      <c r="A147" t="s">
        <v>14</v>
      </c>
      <c r="B147" t="s">
        <v>8907</v>
      </c>
      <c r="C147" t="s">
        <v>8908</v>
      </c>
      <c r="D147" t="s">
        <v>8907</v>
      </c>
      <c r="E147" t="s">
        <v>8908</v>
      </c>
      <c r="F147" t="s">
        <v>8537</v>
      </c>
      <c r="G147" t="s">
        <v>8912</v>
      </c>
    </row>
    <row r="148" spans="1:7" ht="11.25" customHeight="1">
      <c r="A148" t="s">
        <v>14</v>
      </c>
      <c r="B148" t="s">
        <v>8907</v>
      </c>
      <c r="C148" t="s">
        <v>8908</v>
      </c>
      <c r="D148" t="s">
        <v>8913</v>
      </c>
      <c r="E148" t="s">
        <v>8914</v>
      </c>
      <c r="F148" t="s">
        <v>8540</v>
      </c>
      <c r="G148" t="s">
        <v>8915</v>
      </c>
    </row>
    <row r="149" spans="1:7" ht="11.25" customHeight="1">
      <c r="A149" t="s">
        <v>14</v>
      </c>
      <c r="B149" t="s">
        <v>8907</v>
      </c>
      <c r="C149" t="s">
        <v>8908</v>
      </c>
      <c r="D149" t="s">
        <v>8916</v>
      </c>
      <c r="E149" t="s">
        <v>8917</v>
      </c>
      <c r="F149" t="s">
        <v>8540</v>
      </c>
      <c r="G149" t="s">
        <v>8918</v>
      </c>
    </row>
    <row r="150" spans="1:7" ht="11.25" customHeight="1">
      <c r="A150" t="s">
        <v>14</v>
      </c>
      <c r="B150" t="s">
        <v>8907</v>
      </c>
      <c r="C150" t="s">
        <v>8908</v>
      </c>
      <c r="D150" t="s">
        <v>8919</v>
      </c>
      <c r="E150" t="s">
        <v>8920</v>
      </c>
      <c r="F150" t="s">
        <v>8543</v>
      </c>
      <c r="G150" t="s">
        <v>8921</v>
      </c>
    </row>
    <row r="151" spans="1:7" ht="11.25" customHeight="1">
      <c r="A151" t="s">
        <v>14</v>
      </c>
      <c r="B151" t="s">
        <v>8907</v>
      </c>
      <c r="C151" t="s">
        <v>8908</v>
      </c>
      <c r="D151" t="s">
        <v>8922</v>
      </c>
      <c r="E151" t="s">
        <v>8923</v>
      </c>
      <c r="F151" t="s">
        <v>8543</v>
      </c>
      <c r="G151" t="s">
        <v>8924</v>
      </c>
    </row>
    <row r="152" spans="1:7" ht="11.25" customHeight="1">
      <c r="A152" t="s">
        <v>14</v>
      </c>
      <c r="B152" t="s">
        <v>8907</v>
      </c>
      <c r="C152" t="s">
        <v>8908</v>
      </c>
      <c r="D152" t="s">
        <v>8925</v>
      </c>
      <c r="E152" t="s">
        <v>8926</v>
      </c>
      <c r="F152" t="s">
        <v>8546</v>
      </c>
      <c r="G152" t="s">
        <v>8927</v>
      </c>
    </row>
    <row r="153" spans="1:7" ht="11.25" customHeight="1">
      <c r="A153" t="s">
        <v>14</v>
      </c>
      <c r="B153" t="s">
        <v>8907</v>
      </c>
      <c r="C153" t="s">
        <v>8908</v>
      </c>
      <c r="D153" t="s">
        <v>8928</v>
      </c>
      <c r="E153" t="s">
        <v>8929</v>
      </c>
      <c r="F153" t="s">
        <v>8546</v>
      </c>
      <c r="G153" t="s">
        <v>8930</v>
      </c>
    </row>
    <row r="154" spans="1:7" ht="11.25" customHeight="1">
      <c r="A154" t="s">
        <v>14</v>
      </c>
      <c r="B154" t="s">
        <v>8907</v>
      </c>
      <c r="C154" t="s">
        <v>8908</v>
      </c>
      <c r="D154" t="s">
        <v>8931</v>
      </c>
      <c r="E154" t="s">
        <v>8932</v>
      </c>
      <c r="F154" t="s">
        <v>8546</v>
      </c>
      <c r="G154" t="s">
        <v>8933</v>
      </c>
    </row>
    <row r="155" spans="1:7" ht="11.25" customHeight="1">
      <c r="A155" t="s">
        <v>14</v>
      </c>
      <c r="B155" t="s">
        <v>8907</v>
      </c>
      <c r="C155" t="s">
        <v>8908</v>
      </c>
      <c r="D155" t="s">
        <v>8934</v>
      </c>
      <c r="E155" t="s">
        <v>8935</v>
      </c>
      <c r="F155" t="s">
        <v>8546</v>
      </c>
      <c r="G155" t="s">
        <v>8936</v>
      </c>
    </row>
    <row r="156" spans="1:7" ht="11.25" customHeight="1">
      <c r="A156" t="s">
        <v>14</v>
      </c>
      <c r="B156" t="s">
        <v>8937</v>
      </c>
      <c r="C156" t="s">
        <v>8938</v>
      </c>
      <c r="D156" t="s">
        <v>8937</v>
      </c>
      <c r="E156" t="s">
        <v>8938</v>
      </c>
      <c r="F156" t="s">
        <v>8537</v>
      </c>
      <c r="G156" t="s">
        <v>8939</v>
      </c>
    </row>
    <row r="157" spans="1:7" ht="11.25" customHeight="1">
      <c r="A157" t="s">
        <v>14</v>
      </c>
      <c r="B157" t="s">
        <v>8937</v>
      </c>
      <c r="C157" t="s">
        <v>8938</v>
      </c>
      <c r="D157" t="s">
        <v>8940</v>
      </c>
      <c r="E157" t="s">
        <v>8941</v>
      </c>
      <c r="F157" t="s">
        <v>8540</v>
      </c>
      <c r="G157" t="s">
        <v>8942</v>
      </c>
    </row>
    <row r="158" spans="1:7" ht="11.25" customHeight="1">
      <c r="A158" t="s">
        <v>14</v>
      </c>
      <c r="B158" t="s">
        <v>8937</v>
      </c>
      <c r="C158" t="s">
        <v>8938</v>
      </c>
      <c r="D158" t="s">
        <v>8943</v>
      </c>
      <c r="E158" t="s">
        <v>8944</v>
      </c>
      <c r="F158" t="s">
        <v>8543</v>
      </c>
      <c r="G158" t="s">
        <v>8945</v>
      </c>
    </row>
    <row r="159" spans="1:7" ht="11.25" customHeight="1">
      <c r="A159" t="s">
        <v>14</v>
      </c>
      <c r="B159" t="s">
        <v>8937</v>
      </c>
      <c r="C159" t="s">
        <v>8938</v>
      </c>
      <c r="D159" t="s">
        <v>8946</v>
      </c>
      <c r="E159" t="s">
        <v>8947</v>
      </c>
      <c r="F159" t="s">
        <v>8540</v>
      </c>
      <c r="G159" t="s">
        <v>8948</v>
      </c>
    </row>
    <row r="160" spans="1:7" ht="11.25" customHeight="1">
      <c r="A160" t="s">
        <v>14</v>
      </c>
      <c r="B160" t="s">
        <v>8937</v>
      </c>
      <c r="C160" t="s">
        <v>8938</v>
      </c>
      <c r="D160" t="s">
        <v>8949</v>
      </c>
      <c r="E160" t="s">
        <v>8950</v>
      </c>
      <c r="F160" t="s">
        <v>8540</v>
      </c>
      <c r="G160" t="s">
        <v>8951</v>
      </c>
    </row>
    <row r="161" spans="1:7" ht="11.25" customHeight="1">
      <c r="A161" t="s">
        <v>14</v>
      </c>
      <c r="B161" t="s">
        <v>8937</v>
      </c>
      <c r="C161" t="s">
        <v>8938</v>
      </c>
      <c r="D161" t="s">
        <v>8952</v>
      </c>
      <c r="E161" t="s">
        <v>8953</v>
      </c>
      <c r="F161" t="s">
        <v>8543</v>
      </c>
      <c r="G161" t="s">
        <v>8954</v>
      </c>
    </row>
    <row r="162" spans="1:7" ht="11.25" customHeight="1">
      <c r="A162" t="s">
        <v>14</v>
      </c>
      <c r="B162" t="s">
        <v>8937</v>
      </c>
      <c r="C162" t="s">
        <v>8938</v>
      </c>
      <c r="D162" t="s">
        <v>8955</v>
      </c>
      <c r="E162" t="s">
        <v>8956</v>
      </c>
      <c r="F162" t="s">
        <v>8546</v>
      </c>
      <c r="G162" t="s">
        <v>8957</v>
      </c>
    </row>
    <row r="163" spans="1:7" ht="11.25" customHeight="1">
      <c r="A163" t="s">
        <v>14</v>
      </c>
      <c r="B163" t="s">
        <v>8937</v>
      </c>
      <c r="C163" t="s">
        <v>8938</v>
      </c>
      <c r="D163" t="s">
        <v>8958</v>
      </c>
      <c r="E163" t="s">
        <v>8959</v>
      </c>
      <c r="F163" t="s">
        <v>8546</v>
      </c>
      <c r="G163" t="s">
        <v>8960</v>
      </c>
    </row>
    <row r="164" spans="1:7" ht="11.25" customHeight="1">
      <c r="A164" t="s">
        <v>14</v>
      </c>
      <c r="B164" t="s">
        <v>8937</v>
      </c>
      <c r="C164" t="s">
        <v>8938</v>
      </c>
      <c r="D164" t="s">
        <v>8961</v>
      </c>
      <c r="E164" t="s">
        <v>8962</v>
      </c>
      <c r="F164" t="s">
        <v>8546</v>
      </c>
      <c r="G164" t="s">
        <v>8963</v>
      </c>
    </row>
    <row r="165" spans="1:7" ht="11.25" customHeight="1">
      <c r="A165" t="s">
        <v>14</v>
      </c>
      <c r="B165" t="s">
        <v>8937</v>
      </c>
      <c r="C165" t="s">
        <v>8938</v>
      </c>
      <c r="D165" t="s">
        <v>8964</v>
      </c>
      <c r="E165" t="s">
        <v>8965</v>
      </c>
      <c r="F165" t="s">
        <v>8546</v>
      </c>
      <c r="G165" t="s">
        <v>8966</v>
      </c>
    </row>
    <row r="166" spans="1:7" ht="11.25" customHeight="1">
      <c r="A166" t="s">
        <v>14</v>
      </c>
      <c r="B166" t="s">
        <v>8937</v>
      </c>
      <c r="C166" t="s">
        <v>8938</v>
      </c>
      <c r="D166" t="s">
        <v>8967</v>
      </c>
      <c r="E166" t="s">
        <v>8968</v>
      </c>
      <c r="F166" t="s">
        <v>8546</v>
      </c>
      <c r="G166" t="s">
        <v>8969</v>
      </c>
    </row>
    <row r="167" spans="1:7" ht="11.25" customHeight="1">
      <c r="A167" t="s">
        <v>14</v>
      </c>
      <c r="B167" t="s">
        <v>8970</v>
      </c>
      <c r="C167" t="s">
        <v>8971</v>
      </c>
      <c r="D167" t="s">
        <v>8970</v>
      </c>
      <c r="E167" t="s">
        <v>8971</v>
      </c>
      <c r="F167" t="s">
        <v>8532</v>
      </c>
      <c r="G167" t="s">
        <v>8972</v>
      </c>
    </row>
    <row r="168" spans="1:7" ht="11.25" customHeight="1">
      <c r="A168" t="s">
        <v>14</v>
      </c>
      <c r="B168" t="s">
        <v>8973</v>
      </c>
      <c r="C168" t="s">
        <v>8974</v>
      </c>
      <c r="D168" t="s">
        <v>8973</v>
      </c>
      <c r="E168" t="s">
        <v>8974</v>
      </c>
      <c r="F168" t="s">
        <v>8537</v>
      </c>
      <c r="G168" t="s">
        <v>8975</v>
      </c>
    </row>
    <row r="169" spans="1:7" ht="11.25" customHeight="1">
      <c r="A169" t="s">
        <v>14</v>
      </c>
      <c r="B169" t="s">
        <v>8973</v>
      </c>
      <c r="C169" t="s">
        <v>8974</v>
      </c>
      <c r="D169" t="s">
        <v>8976</v>
      </c>
      <c r="E169" t="s">
        <v>8977</v>
      </c>
      <c r="F169" t="s">
        <v>8543</v>
      </c>
      <c r="G169" t="s">
        <v>8978</v>
      </c>
    </row>
    <row r="170" spans="1:7" ht="11.25" customHeight="1">
      <c r="A170" t="s">
        <v>14</v>
      </c>
      <c r="B170" t="s">
        <v>8973</v>
      </c>
      <c r="C170" t="s">
        <v>8974</v>
      </c>
      <c r="D170" t="s">
        <v>8979</v>
      </c>
      <c r="E170" t="s">
        <v>8980</v>
      </c>
      <c r="F170" t="s">
        <v>8540</v>
      </c>
      <c r="G170" t="s">
        <v>8981</v>
      </c>
    </row>
    <row r="171" spans="1:7" ht="11.25" customHeight="1">
      <c r="A171" t="s">
        <v>14</v>
      </c>
      <c r="B171" t="s">
        <v>8973</v>
      </c>
      <c r="C171" t="s">
        <v>8974</v>
      </c>
      <c r="D171" t="s">
        <v>8982</v>
      </c>
      <c r="E171" t="s">
        <v>8983</v>
      </c>
      <c r="F171" t="s">
        <v>8543</v>
      </c>
      <c r="G171" t="s">
        <v>8984</v>
      </c>
    </row>
    <row r="172" spans="1:7" ht="11.25" customHeight="1">
      <c r="A172" t="s">
        <v>14</v>
      </c>
      <c r="B172" t="s">
        <v>8973</v>
      </c>
      <c r="C172" t="s">
        <v>8974</v>
      </c>
      <c r="D172" t="s">
        <v>8985</v>
      </c>
      <c r="E172" t="s">
        <v>8986</v>
      </c>
      <c r="F172" t="s">
        <v>8540</v>
      </c>
      <c r="G172" t="s">
        <v>8987</v>
      </c>
    </row>
    <row r="173" spans="1:7" ht="11.25" customHeight="1">
      <c r="A173" t="s">
        <v>14</v>
      </c>
      <c r="B173" t="s">
        <v>8973</v>
      </c>
      <c r="C173" t="s">
        <v>8974</v>
      </c>
      <c r="D173" t="s">
        <v>8988</v>
      </c>
      <c r="E173" t="s">
        <v>8989</v>
      </c>
      <c r="F173" t="s">
        <v>8543</v>
      </c>
      <c r="G173" t="s">
        <v>8990</v>
      </c>
    </row>
    <row r="174" spans="1:7" ht="11.25" customHeight="1">
      <c r="A174" t="s">
        <v>14</v>
      </c>
      <c r="B174" t="s">
        <v>8973</v>
      </c>
      <c r="C174" t="s">
        <v>8974</v>
      </c>
      <c r="D174" t="s">
        <v>8991</v>
      </c>
      <c r="E174" t="s">
        <v>8992</v>
      </c>
      <c r="F174" t="s">
        <v>8543</v>
      </c>
      <c r="G174" t="s">
        <v>8993</v>
      </c>
    </row>
    <row r="175" spans="1:7" ht="11.25" customHeight="1">
      <c r="A175" t="s">
        <v>14</v>
      </c>
      <c r="B175" t="s">
        <v>8973</v>
      </c>
      <c r="C175" t="s">
        <v>8974</v>
      </c>
      <c r="D175" t="s">
        <v>8994</v>
      </c>
      <c r="E175" t="s">
        <v>8995</v>
      </c>
      <c r="F175" t="s">
        <v>8540</v>
      </c>
      <c r="G175" t="s">
        <v>8996</v>
      </c>
    </row>
    <row r="176" spans="1:7" ht="11.25" customHeight="1">
      <c r="A176" t="s">
        <v>14</v>
      </c>
      <c r="B176" t="s">
        <v>8973</v>
      </c>
      <c r="C176" t="s">
        <v>8974</v>
      </c>
      <c r="D176" t="s">
        <v>8997</v>
      </c>
      <c r="E176" t="s">
        <v>8998</v>
      </c>
      <c r="F176" t="s">
        <v>8546</v>
      </c>
      <c r="G176" t="s">
        <v>8999</v>
      </c>
    </row>
    <row r="177" spans="1:7" ht="11.25" customHeight="1">
      <c r="A177" t="s">
        <v>14</v>
      </c>
      <c r="B177" t="s">
        <v>8973</v>
      </c>
      <c r="C177" t="s">
        <v>8974</v>
      </c>
      <c r="D177" t="s">
        <v>9000</v>
      </c>
      <c r="E177" t="s">
        <v>9001</v>
      </c>
      <c r="F177" t="s">
        <v>8546</v>
      </c>
      <c r="G177" t="s">
        <v>9002</v>
      </c>
    </row>
    <row r="178" spans="1:7" ht="11.25" customHeight="1">
      <c r="A178" t="s">
        <v>14</v>
      </c>
      <c r="B178" t="s">
        <v>8973</v>
      </c>
      <c r="C178" t="s">
        <v>8974</v>
      </c>
      <c r="D178" t="s">
        <v>9003</v>
      </c>
      <c r="E178" t="s">
        <v>9004</v>
      </c>
      <c r="F178" t="s">
        <v>8546</v>
      </c>
      <c r="G178" t="s">
        <v>9005</v>
      </c>
    </row>
    <row r="179" spans="1:7" ht="11.25" customHeight="1">
      <c r="A179" t="s">
        <v>14</v>
      </c>
      <c r="B179" t="s">
        <v>8973</v>
      </c>
      <c r="C179" t="s">
        <v>8974</v>
      </c>
      <c r="D179" t="s">
        <v>9006</v>
      </c>
      <c r="E179" t="s">
        <v>9007</v>
      </c>
      <c r="F179" t="s">
        <v>8546</v>
      </c>
      <c r="G179" t="s">
        <v>9008</v>
      </c>
    </row>
    <row r="180" spans="1:7" ht="11.25" customHeight="1">
      <c r="A180" t="s">
        <v>14</v>
      </c>
      <c r="B180" t="s">
        <v>8973</v>
      </c>
      <c r="C180" t="s">
        <v>8974</v>
      </c>
      <c r="D180" t="s">
        <v>9009</v>
      </c>
      <c r="E180" t="s">
        <v>9010</v>
      </c>
      <c r="F180" t="s">
        <v>8546</v>
      </c>
      <c r="G180" t="s">
        <v>9011</v>
      </c>
    </row>
    <row r="181" spans="1:7" ht="11.25" customHeight="1">
      <c r="A181" t="s">
        <v>14</v>
      </c>
      <c r="B181" t="s">
        <v>8973</v>
      </c>
      <c r="C181" t="s">
        <v>8974</v>
      </c>
      <c r="D181" t="s">
        <v>9012</v>
      </c>
      <c r="E181" t="s">
        <v>9013</v>
      </c>
      <c r="F181" t="s">
        <v>8546</v>
      </c>
      <c r="G181" t="s">
        <v>9014</v>
      </c>
    </row>
    <row r="182" spans="1:7" ht="11.25" customHeight="1">
      <c r="A182" t="s">
        <v>14</v>
      </c>
      <c r="B182" t="s">
        <v>8973</v>
      </c>
      <c r="C182" t="s">
        <v>8974</v>
      </c>
      <c r="D182" t="s">
        <v>9015</v>
      </c>
      <c r="E182" t="s">
        <v>9016</v>
      </c>
      <c r="F182" t="s">
        <v>8546</v>
      </c>
      <c r="G182" t="s">
        <v>9017</v>
      </c>
    </row>
    <row r="183" spans="1:7" ht="11.25" customHeight="1">
      <c r="A183" t="s">
        <v>14</v>
      </c>
      <c r="B183" t="s">
        <v>8973</v>
      </c>
      <c r="C183" t="s">
        <v>8974</v>
      </c>
      <c r="D183" t="s">
        <v>9018</v>
      </c>
      <c r="E183" t="s">
        <v>9019</v>
      </c>
      <c r="F183" t="s">
        <v>8546</v>
      </c>
      <c r="G183" t="s">
        <v>9020</v>
      </c>
    </row>
    <row r="184" spans="1:7" ht="11.25" customHeight="1">
      <c r="A184" t="s">
        <v>14</v>
      </c>
      <c r="B184" t="s">
        <v>8973</v>
      </c>
      <c r="C184" t="s">
        <v>8974</v>
      </c>
      <c r="D184" t="s">
        <v>9021</v>
      </c>
      <c r="E184" t="s">
        <v>9022</v>
      </c>
      <c r="F184" t="s">
        <v>8546</v>
      </c>
      <c r="G184" t="s">
        <v>9023</v>
      </c>
    </row>
    <row r="185" spans="1:7" ht="11.25" customHeight="1">
      <c r="A185" t="s">
        <v>14</v>
      </c>
      <c r="B185" t="s">
        <v>9024</v>
      </c>
      <c r="C185" t="s">
        <v>9025</v>
      </c>
      <c r="D185" t="s">
        <v>9024</v>
      </c>
      <c r="E185" t="s">
        <v>9025</v>
      </c>
      <c r="F185" t="s">
        <v>8537</v>
      </c>
      <c r="G185" t="s">
        <v>9026</v>
      </c>
    </row>
    <row r="186" spans="1:7" ht="11.25" customHeight="1">
      <c r="A186" t="s">
        <v>14</v>
      </c>
      <c r="B186" t="s">
        <v>9024</v>
      </c>
      <c r="C186" t="s">
        <v>9025</v>
      </c>
      <c r="D186" t="s">
        <v>9027</v>
      </c>
      <c r="E186" t="s">
        <v>9028</v>
      </c>
      <c r="F186" t="s">
        <v>8540</v>
      </c>
      <c r="G186" t="s">
        <v>9029</v>
      </c>
    </row>
    <row r="187" spans="1:7" ht="11.25" customHeight="1">
      <c r="A187" t="s">
        <v>14</v>
      </c>
      <c r="B187" t="s">
        <v>9024</v>
      </c>
      <c r="C187" t="s">
        <v>9025</v>
      </c>
      <c r="D187" t="s">
        <v>9030</v>
      </c>
      <c r="E187" t="s">
        <v>9031</v>
      </c>
      <c r="F187" t="s">
        <v>8546</v>
      </c>
      <c r="G187" t="s">
        <v>9032</v>
      </c>
    </row>
    <row r="188" spans="1:7" ht="11.25" customHeight="1">
      <c r="A188" t="s">
        <v>14</v>
      </c>
      <c r="B188" t="s">
        <v>9024</v>
      </c>
      <c r="C188" t="s">
        <v>9025</v>
      </c>
      <c r="D188" t="s">
        <v>9033</v>
      </c>
      <c r="E188" t="s">
        <v>9034</v>
      </c>
      <c r="F188" t="s">
        <v>8546</v>
      </c>
      <c r="G188" t="s">
        <v>9035</v>
      </c>
    </row>
    <row r="189" spans="1:7" ht="11.25" customHeight="1">
      <c r="A189" t="s">
        <v>14</v>
      </c>
      <c r="B189" t="s">
        <v>9036</v>
      </c>
      <c r="C189" t="s">
        <v>9037</v>
      </c>
      <c r="D189" t="s">
        <v>9036</v>
      </c>
      <c r="E189" t="s">
        <v>9037</v>
      </c>
      <c r="F189" t="s">
        <v>8532</v>
      </c>
      <c r="G189" t="s">
        <v>9038</v>
      </c>
    </row>
    <row r="190" spans="1:7" ht="11.25" customHeight="1">
      <c r="A190" t="s">
        <v>14</v>
      </c>
      <c r="B190" t="s">
        <v>9039</v>
      </c>
      <c r="C190" t="s">
        <v>9040</v>
      </c>
      <c r="D190" t="s">
        <v>9039</v>
      </c>
      <c r="E190" t="s">
        <v>9040</v>
      </c>
      <c r="F190" t="s">
        <v>8537</v>
      </c>
      <c r="G190" t="s">
        <v>9041</v>
      </c>
    </row>
    <row r="191" spans="1:7" ht="11.25" customHeight="1">
      <c r="A191" t="s">
        <v>14</v>
      </c>
      <c r="B191" t="s">
        <v>9039</v>
      </c>
      <c r="C191" t="s">
        <v>9040</v>
      </c>
      <c r="D191" t="s">
        <v>9042</v>
      </c>
      <c r="E191" t="s">
        <v>9043</v>
      </c>
      <c r="F191" t="s">
        <v>8540</v>
      </c>
      <c r="G191" t="s">
        <v>9044</v>
      </c>
    </row>
    <row r="192" spans="1:7" ht="11.25" customHeight="1">
      <c r="A192" t="s">
        <v>14</v>
      </c>
      <c r="B192" t="s">
        <v>9039</v>
      </c>
      <c r="C192" t="s">
        <v>9040</v>
      </c>
      <c r="D192" t="s">
        <v>9045</v>
      </c>
      <c r="E192" t="s">
        <v>9046</v>
      </c>
      <c r="F192" t="s">
        <v>8540</v>
      </c>
      <c r="G192" t="s">
        <v>9047</v>
      </c>
    </row>
    <row r="193" spans="1:7" ht="11.25" customHeight="1">
      <c r="A193" t="s">
        <v>14</v>
      </c>
      <c r="B193" t="s">
        <v>9039</v>
      </c>
      <c r="C193" t="s">
        <v>9040</v>
      </c>
      <c r="D193" t="s">
        <v>9048</v>
      </c>
      <c r="E193" t="s">
        <v>9049</v>
      </c>
      <c r="F193" t="s">
        <v>8540</v>
      </c>
      <c r="G193" t="s">
        <v>9050</v>
      </c>
    </row>
    <row r="194" spans="1:7" ht="11.25" customHeight="1">
      <c r="A194" t="s">
        <v>14</v>
      </c>
      <c r="B194" t="s">
        <v>9039</v>
      </c>
      <c r="C194" t="s">
        <v>9040</v>
      </c>
      <c r="D194" t="s">
        <v>9051</v>
      </c>
      <c r="E194" t="s">
        <v>9052</v>
      </c>
      <c r="F194" t="s">
        <v>8546</v>
      </c>
      <c r="G194" t="s">
        <v>9053</v>
      </c>
    </row>
    <row r="195" spans="1:7" ht="11.25" customHeight="1">
      <c r="A195" t="s">
        <v>14</v>
      </c>
      <c r="B195" t="s">
        <v>9039</v>
      </c>
      <c r="C195" t="s">
        <v>9040</v>
      </c>
      <c r="D195" t="s">
        <v>9054</v>
      </c>
      <c r="E195" t="s">
        <v>9055</v>
      </c>
      <c r="F195" t="s">
        <v>8546</v>
      </c>
      <c r="G195" t="s">
        <v>9056</v>
      </c>
    </row>
    <row r="196" spans="1:7" ht="11.25" customHeight="1">
      <c r="A196" t="s">
        <v>14</v>
      </c>
      <c r="B196" t="s">
        <v>9039</v>
      </c>
      <c r="C196" t="s">
        <v>9040</v>
      </c>
      <c r="D196" t="s">
        <v>9000</v>
      </c>
      <c r="E196" t="s">
        <v>9057</v>
      </c>
      <c r="F196" t="s">
        <v>8546</v>
      </c>
      <c r="G196" t="s">
        <v>9058</v>
      </c>
    </row>
    <row r="197" spans="1:7" ht="11.25" customHeight="1">
      <c r="A197" t="s">
        <v>14</v>
      </c>
      <c r="B197" t="s">
        <v>9039</v>
      </c>
      <c r="C197" t="s">
        <v>9040</v>
      </c>
      <c r="D197" t="s">
        <v>9059</v>
      </c>
      <c r="E197" t="s">
        <v>9060</v>
      </c>
      <c r="F197" t="s">
        <v>8546</v>
      </c>
      <c r="G197" t="s">
        <v>9061</v>
      </c>
    </row>
    <row r="198" spans="1:7" ht="11.25" customHeight="1">
      <c r="A198" t="s">
        <v>14</v>
      </c>
      <c r="B198" t="s">
        <v>9039</v>
      </c>
      <c r="C198" t="s">
        <v>9040</v>
      </c>
      <c r="D198" t="s">
        <v>9062</v>
      </c>
      <c r="E198" t="s">
        <v>9063</v>
      </c>
      <c r="F198" t="s">
        <v>8546</v>
      </c>
      <c r="G198" t="s">
        <v>9064</v>
      </c>
    </row>
    <row r="199" spans="1:7" ht="11.25" customHeight="1">
      <c r="A199" t="s">
        <v>14</v>
      </c>
      <c r="B199" t="s">
        <v>9039</v>
      </c>
      <c r="C199" t="s">
        <v>9040</v>
      </c>
      <c r="D199" t="s">
        <v>9065</v>
      </c>
      <c r="E199" t="s">
        <v>9066</v>
      </c>
      <c r="F199" t="s">
        <v>8546</v>
      </c>
      <c r="G199" t="s">
        <v>9067</v>
      </c>
    </row>
    <row r="200" spans="1:7" ht="11.25" customHeight="1">
      <c r="A200" t="s">
        <v>14</v>
      </c>
      <c r="B200" t="s">
        <v>9039</v>
      </c>
      <c r="C200" t="s">
        <v>9040</v>
      </c>
      <c r="D200" t="s">
        <v>8751</v>
      </c>
      <c r="E200" t="s">
        <v>9068</v>
      </c>
      <c r="F200" t="s">
        <v>8546</v>
      </c>
      <c r="G200" t="s">
        <v>9069</v>
      </c>
    </row>
    <row r="201" spans="1:7" ht="11.25" customHeight="1">
      <c r="A201" t="s">
        <v>14</v>
      </c>
      <c r="B201" t="s">
        <v>9039</v>
      </c>
      <c r="C201" t="s">
        <v>9040</v>
      </c>
      <c r="D201" t="s">
        <v>9070</v>
      </c>
      <c r="E201" t="s">
        <v>9071</v>
      </c>
      <c r="F201" t="s">
        <v>8546</v>
      </c>
      <c r="G201" t="s">
        <v>9072</v>
      </c>
    </row>
    <row r="202" spans="1:7" ht="11.25" customHeight="1">
      <c r="A202" t="s">
        <v>14</v>
      </c>
      <c r="B202" t="s">
        <v>9039</v>
      </c>
      <c r="C202" t="s">
        <v>9040</v>
      </c>
      <c r="D202" t="s">
        <v>9073</v>
      </c>
      <c r="E202" t="s">
        <v>9074</v>
      </c>
      <c r="F202" t="s">
        <v>8546</v>
      </c>
      <c r="G202" t="s">
        <v>9075</v>
      </c>
    </row>
    <row r="203" spans="1:7" ht="11.25" customHeight="1">
      <c r="A203" t="s">
        <v>14</v>
      </c>
      <c r="B203" t="s">
        <v>9039</v>
      </c>
      <c r="C203" t="s">
        <v>9040</v>
      </c>
      <c r="D203" t="s">
        <v>9076</v>
      </c>
      <c r="E203" t="s">
        <v>9077</v>
      </c>
      <c r="F203" t="s">
        <v>8546</v>
      </c>
      <c r="G203" t="s">
        <v>9078</v>
      </c>
    </row>
    <row r="204" spans="1:7" ht="11.25" customHeight="1">
      <c r="A204" t="s">
        <v>14</v>
      </c>
      <c r="B204" t="s">
        <v>9079</v>
      </c>
      <c r="C204" t="s">
        <v>9080</v>
      </c>
      <c r="D204" t="s">
        <v>9079</v>
      </c>
      <c r="E204" t="s">
        <v>9080</v>
      </c>
      <c r="F204" t="s">
        <v>8532</v>
      </c>
      <c r="G204" t="s">
        <v>9081</v>
      </c>
    </row>
    <row r="205" spans="1:7" ht="11.25" customHeight="1">
      <c r="A205" t="s">
        <v>14</v>
      </c>
      <c r="B205" t="s">
        <v>9082</v>
      </c>
      <c r="C205" t="s">
        <v>9083</v>
      </c>
      <c r="D205" t="s">
        <v>9082</v>
      </c>
      <c r="E205" t="s">
        <v>9083</v>
      </c>
      <c r="F205" t="s">
        <v>8537</v>
      </c>
      <c r="G205" t="s">
        <v>9084</v>
      </c>
    </row>
    <row r="206" spans="1:7" ht="11.25" customHeight="1">
      <c r="A206" t="s">
        <v>14</v>
      </c>
      <c r="B206" t="s">
        <v>9082</v>
      </c>
      <c r="C206" t="s">
        <v>9083</v>
      </c>
      <c r="D206" t="s">
        <v>9085</v>
      </c>
      <c r="E206" t="s">
        <v>9086</v>
      </c>
      <c r="F206" t="s">
        <v>8543</v>
      </c>
      <c r="G206" t="s">
        <v>9087</v>
      </c>
    </row>
    <row r="207" spans="1:7" ht="11.25" customHeight="1">
      <c r="A207" t="s">
        <v>14</v>
      </c>
      <c r="B207" t="s">
        <v>9082</v>
      </c>
      <c r="C207" t="s">
        <v>9083</v>
      </c>
      <c r="D207" t="s">
        <v>9088</v>
      </c>
      <c r="E207" t="s">
        <v>9089</v>
      </c>
      <c r="F207" t="s">
        <v>8540</v>
      </c>
      <c r="G207" t="s">
        <v>9090</v>
      </c>
    </row>
    <row r="208" spans="1:7" ht="11.25" customHeight="1">
      <c r="A208" t="s">
        <v>14</v>
      </c>
      <c r="B208" t="s">
        <v>9082</v>
      </c>
      <c r="C208" t="s">
        <v>9083</v>
      </c>
      <c r="D208" t="s">
        <v>9091</v>
      </c>
      <c r="E208" t="s">
        <v>9092</v>
      </c>
      <c r="F208" t="s">
        <v>8546</v>
      </c>
      <c r="G208" t="s">
        <v>9093</v>
      </c>
    </row>
    <row r="209" spans="1:7" ht="11.25" customHeight="1">
      <c r="A209" t="s">
        <v>14</v>
      </c>
      <c r="B209" t="s">
        <v>9082</v>
      </c>
      <c r="C209" t="s">
        <v>9083</v>
      </c>
      <c r="D209" t="s">
        <v>9094</v>
      </c>
      <c r="E209" t="s">
        <v>9095</v>
      </c>
      <c r="F209" t="s">
        <v>8546</v>
      </c>
      <c r="G209" t="s">
        <v>9096</v>
      </c>
    </row>
    <row r="210" spans="1:7" ht="11.25" customHeight="1">
      <c r="A210" t="s">
        <v>14</v>
      </c>
      <c r="B210" t="s">
        <v>9082</v>
      </c>
      <c r="C210" t="s">
        <v>9083</v>
      </c>
      <c r="D210" t="s">
        <v>9097</v>
      </c>
      <c r="E210" t="s">
        <v>9098</v>
      </c>
      <c r="F210" t="s">
        <v>8546</v>
      </c>
      <c r="G210" t="s">
        <v>9099</v>
      </c>
    </row>
    <row r="211" spans="1:7" ht="11.25" customHeight="1">
      <c r="A211" t="s">
        <v>14</v>
      </c>
      <c r="B211" t="s">
        <v>9082</v>
      </c>
      <c r="C211" t="s">
        <v>9083</v>
      </c>
      <c r="D211" t="s">
        <v>9100</v>
      </c>
      <c r="E211" t="s">
        <v>9101</v>
      </c>
      <c r="F211" t="s">
        <v>8546</v>
      </c>
      <c r="G211" t="s">
        <v>9102</v>
      </c>
    </row>
    <row r="212" spans="1:7" ht="11.25" customHeight="1">
      <c r="A212" t="s">
        <v>14</v>
      </c>
      <c r="B212" t="s">
        <v>9103</v>
      </c>
      <c r="C212" t="s">
        <v>9104</v>
      </c>
      <c r="D212" t="s">
        <v>9105</v>
      </c>
      <c r="E212" t="s">
        <v>9104</v>
      </c>
      <c r="F212" t="s">
        <v>8537</v>
      </c>
      <c r="G212" t="s">
        <v>9106</v>
      </c>
    </row>
    <row r="213" spans="1:7" ht="11.25" customHeight="1">
      <c r="A213" t="s">
        <v>14</v>
      </c>
      <c r="B213" t="s">
        <v>9103</v>
      </c>
      <c r="C213" t="s">
        <v>9104</v>
      </c>
      <c r="D213" t="s">
        <v>9103</v>
      </c>
      <c r="E213" t="s">
        <v>9104</v>
      </c>
      <c r="F213" t="s">
        <v>8537</v>
      </c>
      <c r="G213" t="s">
        <v>9107</v>
      </c>
    </row>
    <row r="214" spans="1:7" ht="11.25" customHeight="1">
      <c r="A214" t="s">
        <v>14</v>
      </c>
      <c r="B214" t="s">
        <v>9103</v>
      </c>
      <c r="C214" t="s">
        <v>9104</v>
      </c>
      <c r="D214" t="s">
        <v>9108</v>
      </c>
      <c r="E214" t="s">
        <v>9109</v>
      </c>
      <c r="F214" t="s">
        <v>8543</v>
      </c>
      <c r="G214" t="s">
        <v>9110</v>
      </c>
    </row>
    <row r="215" spans="1:7" ht="11.25" customHeight="1">
      <c r="A215" t="s">
        <v>14</v>
      </c>
      <c r="B215" t="s">
        <v>9103</v>
      </c>
      <c r="C215" t="s">
        <v>9104</v>
      </c>
      <c r="D215" t="s">
        <v>9111</v>
      </c>
      <c r="E215" t="s">
        <v>9112</v>
      </c>
      <c r="F215" t="s">
        <v>8546</v>
      </c>
      <c r="G215" t="s">
        <v>9113</v>
      </c>
    </row>
    <row r="216" spans="1:7" ht="11.25" customHeight="1">
      <c r="A216" t="s">
        <v>14</v>
      </c>
      <c r="B216" t="s">
        <v>9103</v>
      </c>
      <c r="C216" t="s">
        <v>9104</v>
      </c>
      <c r="D216" t="s">
        <v>9114</v>
      </c>
      <c r="E216" t="s">
        <v>9115</v>
      </c>
      <c r="F216" t="s">
        <v>8546</v>
      </c>
      <c r="G216" t="s">
        <v>9116</v>
      </c>
    </row>
    <row r="217" spans="1:7" ht="11.25" customHeight="1">
      <c r="A217" t="s">
        <v>14</v>
      </c>
      <c r="B217" t="s">
        <v>9103</v>
      </c>
      <c r="C217" t="s">
        <v>9104</v>
      </c>
      <c r="D217" t="s">
        <v>9117</v>
      </c>
      <c r="E217" t="s">
        <v>9118</v>
      </c>
      <c r="F217" t="s">
        <v>8546</v>
      </c>
      <c r="G217" t="s">
        <v>9119</v>
      </c>
    </row>
    <row r="218" spans="1:7" ht="11.25" customHeight="1">
      <c r="A218" t="s">
        <v>14</v>
      </c>
      <c r="B218" t="s">
        <v>9120</v>
      </c>
      <c r="C218" t="s">
        <v>9121</v>
      </c>
      <c r="D218" t="s">
        <v>9120</v>
      </c>
      <c r="E218" t="s">
        <v>9121</v>
      </c>
      <c r="F218" t="s">
        <v>8537</v>
      </c>
      <c r="G218" t="s">
        <v>9122</v>
      </c>
    </row>
    <row r="219" spans="1:7" ht="11.25" customHeight="1">
      <c r="A219" t="s">
        <v>14</v>
      </c>
      <c r="B219" t="s">
        <v>9120</v>
      </c>
      <c r="C219" t="s">
        <v>9121</v>
      </c>
      <c r="D219" t="s">
        <v>9123</v>
      </c>
      <c r="E219" t="s">
        <v>9124</v>
      </c>
      <c r="F219" t="s">
        <v>8543</v>
      </c>
      <c r="G219" t="s">
        <v>9125</v>
      </c>
    </row>
    <row r="220" spans="1:7" ht="11.25" customHeight="1">
      <c r="A220" t="s">
        <v>14</v>
      </c>
      <c r="B220" t="s">
        <v>9120</v>
      </c>
      <c r="C220" t="s">
        <v>9121</v>
      </c>
      <c r="D220" t="s">
        <v>9126</v>
      </c>
      <c r="E220" t="s">
        <v>9127</v>
      </c>
      <c r="F220" t="s">
        <v>8543</v>
      </c>
      <c r="G220" t="s">
        <v>9128</v>
      </c>
    </row>
    <row r="221" spans="1:7" ht="11.25" customHeight="1">
      <c r="A221" t="s">
        <v>14</v>
      </c>
      <c r="B221" t="s">
        <v>9120</v>
      </c>
      <c r="C221" t="s">
        <v>9121</v>
      </c>
      <c r="D221" t="s">
        <v>9129</v>
      </c>
      <c r="E221" t="s">
        <v>9130</v>
      </c>
      <c r="F221" t="s">
        <v>8543</v>
      </c>
      <c r="G221" t="s">
        <v>9131</v>
      </c>
    </row>
    <row r="222" spans="1:7" ht="11.25" customHeight="1">
      <c r="A222" t="s">
        <v>14</v>
      </c>
      <c r="B222" t="s">
        <v>9120</v>
      </c>
      <c r="C222" t="s">
        <v>9121</v>
      </c>
      <c r="D222" t="s">
        <v>9132</v>
      </c>
      <c r="E222" t="s">
        <v>9133</v>
      </c>
      <c r="F222" t="s">
        <v>8543</v>
      </c>
      <c r="G222" t="s">
        <v>9134</v>
      </c>
    </row>
    <row r="223" spans="1:7" ht="11.25" customHeight="1">
      <c r="A223" t="s">
        <v>14</v>
      </c>
      <c r="B223" t="s">
        <v>9120</v>
      </c>
      <c r="C223" t="s">
        <v>9121</v>
      </c>
      <c r="D223" t="s">
        <v>9135</v>
      </c>
      <c r="E223" t="s">
        <v>9136</v>
      </c>
      <c r="F223" t="s">
        <v>8540</v>
      </c>
      <c r="G223" t="s">
        <v>9137</v>
      </c>
    </row>
    <row r="224" spans="1:7" ht="11.25" customHeight="1">
      <c r="A224" t="s">
        <v>14</v>
      </c>
      <c r="B224" t="s">
        <v>9120</v>
      </c>
      <c r="C224" t="s">
        <v>9121</v>
      </c>
      <c r="D224" t="s">
        <v>9138</v>
      </c>
      <c r="E224" t="s">
        <v>9139</v>
      </c>
      <c r="F224" t="s">
        <v>8543</v>
      </c>
      <c r="G224" t="s">
        <v>9140</v>
      </c>
    </row>
    <row r="225" spans="1:7" ht="11.25" customHeight="1">
      <c r="A225" t="s">
        <v>14</v>
      </c>
      <c r="B225" t="s">
        <v>9120</v>
      </c>
      <c r="C225" t="s">
        <v>9121</v>
      </c>
      <c r="D225" t="s">
        <v>9141</v>
      </c>
      <c r="E225" t="s">
        <v>9142</v>
      </c>
      <c r="F225" t="s">
        <v>8543</v>
      </c>
      <c r="G225" t="s">
        <v>9143</v>
      </c>
    </row>
    <row r="226" spans="1:7" ht="11.25" customHeight="1">
      <c r="A226" t="s">
        <v>14</v>
      </c>
      <c r="B226" t="s">
        <v>9120</v>
      </c>
      <c r="C226" t="s">
        <v>9121</v>
      </c>
      <c r="D226" t="s">
        <v>9144</v>
      </c>
      <c r="E226" t="s">
        <v>9145</v>
      </c>
      <c r="F226" t="s">
        <v>8546</v>
      </c>
      <c r="G226" t="s">
        <v>9146</v>
      </c>
    </row>
    <row r="227" spans="1:7" ht="11.25" customHeight="1">
      <c r="A227" t="s">
        <v>14</v>
      </c>
      <c r="B227" t="s">
        <v>9120</v>
      </c>
      <c r="C227" t="s">
        <v>9121</v>
      </c>
      <c r="D227" t="s">
        <v>9147</v>
      </c>
      <c r="E227" t="s">
        <v>9148</v>
      </c>
      <c r="F227" t="s">
        <v>8546</v>
      </c>
      <c r="G227" t="s">
        <v>9149</v>
      </c>
    </row>
    <row r="228" spans="1:7" ht="11.25" customHeight="1">
      <c r="A228" t="s">
        <v>14</v>
      </c>
      <c r="B228" t="s">
        <v>9120</v>
      </c>
      <c r="C228" t="s">
        <v>9121</v>
      </c>
      <c r="D228" t="s">
        <v>9150</v>
      </c>
      <c r="E228" t="s">
        <v>9151</v>
      </c>
      <c r="F228" t="s">
        <v>8546</v>
      </c>
      <c r="G228" t="s">
        <v>9152</v>
      </c>
    </row>
    <row r="229" spans="1:7" ht="11.25" customHeight="1">
      <c r="A229" t="s">
        <v>14</v>
      </c>
      <c r="B229" t="s">
        <v>9153</v>
      </c>
      <c r="C229" t="s">
        <v>9154</v>
      </c>
      <c r="D229" t="s">
        <v>9153</v>
      </c>
      <c r="E229" t="s">
        <v>9154</v>
      </c>
      <c r="F229" t="s">
        <v>8532</v>
      </c>
      <c r="G229" t="s">
        <v>9155</v>
      </c>
    </row>
    <row r="230" spans="1:7" ht="11.25" customHeight="1">
      <c r="A230" t="s">
        <v>14</v>
      </c>
      <c r="B230" t="s">
        <v>9156</v>
      </c>
      <c r="C230" t="s">
        <v>9157</v>
      </c>
      <c r="D230" t="s">
        <v>9156</v>
      </c>
      <c r="E230" t="s">
        <v>9157</v>
      </c>
      <c r="F230" t="s">
        <v>8537</v>
      </c>
      <c r="G230" t="s">
        <v>9158</v>
      </c>
    </row>
    <row r="231" spans="1:7" ht="11.25" customHeight="1">
      <c r="A231" t="s">
        <v>14</v>
      </c>
      <c r="B231" t="s">
        <v>9156</v>
      </c>
      <c r="C231" t="s">
        <v>9157</v>
      </c>
      <c r="D231" t="s">
        <v>9159</v>
      </c>
      <c r="E231" t="s">
        <v>9160</v>
      </c>
      <c r="F231" t="s">
        <v>8543</v>
      </c>
      <c r="G231" t="s">
        <v>9161</v>
      </c>
    </row>
    <row r="232" spans="1:7" ht="11.25" customHeight="1">
      <c r="A232" t="s">
        <v>14</v>
      </c>
      <c r="B232" t="s">
        <v>9156</v>
      </c>
      <c r="C232" t="s">
        <v>9157</v>
      </c>
      <c r="D232" t="s">
        <v>9162</v>
      </c>
      <c r="E232" t="s">
        <v>9163</v>
      </c>
      <c r="F232" t="s">
        <v>8543</v>
      </c>
      <c r="G232" t="s">
        <v>9164</v>
      </c>
    </row>
    <row r="233" spans="1:7" ht="11.25" customHeight="1">
      <c r="A233" t="s">
        <v>14</v>
      </c>
      <c r="B233" t="s">
        <v>9156</v>
      </c>
      <c r="C233" t="s">
        <v>9157</v>
      </c>
      <c r="D233" t="s">
        <v>9165</v>
      </c>
      <c r="E233" t="s">
        <v>9166</v>
      </c>
      <c r="F233" t="s">
        <v>8543</v>
      </c>
      <c r="G233" t="s">
        <v>9167</v>
      </c>
    </row>
    <row r="234" spans="1:7" ht="11.25" customHeight="1">
      <c r="A234" t="s">
        <v>14</v>
      </c>
      <c r="B234" t="s">
        <v>9156</v>
      </c>
      <c r="C234" t="s">
        <v>9157</v>
      </c>
      <c r="D234" t="s">
        <v>9168</v>
      </c>
      <c r="E234" t="s">
        <v>9169</v>
      </c>
      <c r="F234" t="s">
        <v>8540</v>
      </c>
      <c r="G234" t="s">
        <v>9170</v>
      </c>
    </row>
    <row r="235" spans="1:7" ht="11.25" customHeight="1">
      <c r="A235" t="s">
        <v>14</v>
      </c>
      <c r="B235" t="s">
        <v>9156</v>
      </c>
      <c r="C235" t="s">
        <v>9157</v>
      </c>
      <c r="D235" t="s">
        <v>9171</v>
      </c>
      <c r="E235" t="s">
        <v>9172</v>
      </c>
      <c r="F235" t="s">
        <v>8543</v>
      </c>
      <c r="G235" t="s">
        <v>9173</v>
      </c>
    </row>
    <row r="236" spans="1:7" ht="11.25" customHeight="1">
      <c r="A236" t="s">
        <v>14</v>
      </c>
      <c r="B236" t="s">
        <v>9156</v>
      </c>
      <c r="C236" t="s">
        <v>9157</v>
      </c>
      <c r="D236" t="s">
        <v>9174</v>
      </c>
      <c r="E236" t="s">
        <v>9175</v>
      </c>
      <c r="F236" t="s">
        <v>8543</v>
      </c>
      <c r="G236" t="s">
        <v>9176</v>
      </c>
    </row>
    <row r="237" spans="1:7" ht="11.25" customHeight="1">
      <c r="A237" t="s">
        <v>14</v>
      </c>
      <c r="B237" t="s">
        <v>9156</v>
      </c>
      <c r="C237" t="s">
        <v>9157</v>
      </c>
      <c r="D237" t="s">
        <v>9054</v>
      </c>
      <c r="E237" t="s">
        <v>9177</v>
      </c>
      <c r="F237" t="s">
        <v>8546</v>
      </c>
      <c r="G237" t="s">
        <v>9178</v>
      </c>
    </row>
    <row r="238" spans="1:7" ht="11.25" customHeight="1">
      <c r="A238" t="s">
        <v>14</v>
      </c>
      <c r="B238" t="s">
        <v>9156</v>
      </c>
      <c r="C238" t="s">
        <v>9157</v>
      </c>
      <c r="D238" t="s">
        <v>9179</v>
      </c>
      <c r="E238" t="s">
        <v>9180</v>
      </c>
      <c r="F238" t="s">
        <v>8546</v>
      </c>
      <c r="G238" t="s">
        <v>9181</v>
      </c>
    </row>
    <row r="239" spans="1:7" ht="11.25" customHeight="1">
      <c r="A239" t="s">
        <v>14</v>
      </c>
      <c r="B239" t="s">
        <v>9156</v>
      </c>
      <c r="C239" t="s">
        <v>9157</v>
      </c>
      <c r="D239" t="s">
        <v>9182</v>
      </c>
      <c r="E239" t="s">
        <v>9183</v>
      </c>
      <c r="F239" t="s">
        <v>8546</v>
      </c>
      <c r="G239" t="s">
        <v>9184</v>
      </c>
    </row>
    <row r="240" spans="1:7" ht="11.25" customHeight="1">
      <c r="A240" t="s">
        <v>14</v>
      </c>
      <c r="B240" t="s">
        <v>9156</v>
      </c>
      <c r="C240" t="s">
        <v>9157</v>
      </c>
      <c r="D240" t="s">
        <v>9185</v>
      </c>
      <c r="E240" t="s">
        <v>9186</v>
      </c>
      <c r="F240" t="s">
        <v>8546</v>
      </c>
      <c r="G240" t="s">
        <v>9187</v>
      </c>
    </row>
    <row r="241" spans="1:7" ht="11.25" customHeight="1">
      <c r="A241" t="s">
        <v>14</v>
      </c>
      <c r="B241" t="s">
        <v>9156</v>
      </c>
      <c r="C241" t="s">
        <v>9157</v>
      </c>
      <c r="D241" t="s">
        <v>9188</v>
      </c>
      <c r="E241" t="s">
        <v>9189</v>
      </c>
      <c r="F241" t="s">
        <v>8546</v>
      </c>
      <c r="G241" t="s">
        <v>9190</v>
      </c>
    </row>
    <row r="242" spans="1:7" ht="11.25" customHeight="1">
      <c r="A242" t="s">
        <v>14</v>
      </c>
      <c r="B242" t="s">
        <v>9156</v>
      </c>
      <c r="C242" t="s">
        <v>9157</v>
      </c>
      <c r="D242" t="s">
        <v>9191</v>
      </c>
      <c r="E242" t="s">
        <v>9192</v>
      </c>
      <c r="F242" t="s">
        <v>8546</v>
      </c>
      <c r="G242" t="s">
        <v>9193</v>
      </c>
    </row>
    <row r="243" spans="1:7" ht="11.25" customHeight="1">
      <c r="A243" t="s">
        <v>14</v>
      </c>
      <c r="B243" t="s">
        <v>9156</v>
      </c>
      <c r="C243" t="s">
        <v>9157</v>
      </c>
      <c r="D243" t="s">
        <v>9094</v>
      </c>
      <c r="E243" t="s">
        <v>9194</v>
      </c>
      <c r="F243" t="s">
        <v>8546</v>
      </c>
      <c r="G243" t="s">
        <v>9195</v>
      </c>
    </row>
    <row r="244" spans="1:7" ht="11.25" customHeight="1">
      <c r="A244" t="s">
        <v>14</v>
      </c>
      <c r="B244" t="s">
        <v>9156</v>
      </c>
      <c r="C244" t="s">
        <v>9157</v>
      </c>
      <c r="D244" t="s">
        <v>9196</v>
      </c>
      <c r="E244" t="s">
        <v>9197</v>
      </c>
      <c r="F244" t="s">
        <v>8546</v>
      </c>
      <c r="G244" t="s">
        <v>9198</v>
      </c>
    </row>
    <row r="245" spans="1:7" ht="11.25" customHeight="1">
      <c r="A245" t="s">
        <v>14</v>
      </c>
      <c r="B245" t="s">
        <v>9156</v>
      </c>
      <c r="C245" t="s">
        <v>9157</v>
      </c>
      <c r="D245" t="s">
        <v>9199</v>
      </c>
      <c r="E245" t="s">
        <v>9200</v>
      </c>
      <c r="F245" t="s">
        <v>8546</v>
      </c>
      <c r="G245" t="s">
        <v>9201</v>
      </c>
    </row>
    <row r="246" spans="1:7" ht="11.25" customHeight="1">
      <c r="A246" t="s">
        <v>14</v>
      </c>
      <c r="B246" t="s">
        <v>9156</v>
      </c>
      <c r="C246" t="s">
        <v>9157</v>
      </c>
      <c r="D246" t="s">
        <v>9202</v>
      </c>
      <c r="E246" t="s">
        <v>9203</v>
      </c>
      <c r="F246" t="s">
        <v>8546</v>
      </c>
      <c r="G246" t="s">
        <v>9204</v>
      </c>
    </row>
    <row r="247" spans="1:7" ht="11.25" customHeight="1">
      <c r="A247" t="s">
        <v>14</v>
      </c>
      <c r="B247" t="s">
        <v>9156</v>
      </c>
      <c r="C247" t="s">
        <v>9157</v>
      </c>
      <c r="D247" t="s">
        <v>9205</v>
      </c>
      <c r="E247" t="s">
        <v>9206</v>
      </c>
      <c r="F247" t="s">
        <v>8546</v>
      </c>
      <c r="G247" t="s">
        <v>9207</v>
      </c>
    </row>
    <row r="248" spans="1:7" ht="11.25" customHeight="1">
      <c r="A248" t="s">
        <v>14</v>
      </c>
      <c r="B248" t="s">
        <v>9156</v>
      </c>
      <c r="C248" t="s">
        <v>9157</v>
      </c>
      <c r="D248" t="s">
        <v>9208</v>
      </c>
      <c r="E248" t="s">
        <v>9209</v>
      </c>
      <c r="F248" t="s">
        <v>8546</v>
      </c>
      <c r="G248" t="s">
        <v>9210</v>
      </c>
    </row>
    <row r="249" spans="1:7" ht="11.25" customHeight="1">
      <c r="A249" t="s">
        <v>14</v>
      </c>
      <c r="B249" t="s">
        <v>9156</v>
      </c>
      <c r="C249" t="s">
        <v>9157</v>
      </c>
      <c r="D249" t="s">
        <v>9211</v>
      </c>
      <c r="E249" t="s">
        <v>9212</v>
      </c>
      <c r="F249" t="s">
        <v>8546</v>
      </c>
      <c r="G249" t="s">
        <v>9213</v>
      </c>
    </row>
    <row r="250" spans="1:7" ht="11.25" customHeight="1">
      <c r="A250" t="s">
        <v>14</v>
      </c>
      <c r="B250" t="s">
        <v>9156</v>
      </c>
      <c r="C250" t="s">
        <v>9157</v>
      </c>
      <c r="D250" t="s">
        <v>9214</v>
      </c>
      <c r="E250" t="s">
        <v>9215</v>
      </c>
      <c r="F250" t="s">
        <v>8546</v>
      </c>
      <c r="G250" t="s">
        <v>9216</v>
      </c>
    </row>
    <row r="251" spans="1:7" ht="11.25" customHeight="1">
      <c r="A251" t="s">
        <v>14</v>
      </c>
      <c r="B251" t="s">
        <v>9156</v>
      </c>
      <c r="C251" t="s">
        <v>9157</v>
      </c>
      <c r="D251" t="s">
        <v>9217</v>
      </c>
      <c r="E251" t="s">
        <v>9218</v>
      </c>
      <c r="F251" t="s">
        <v>8546</v>
      </c>
      <c r="G251" t="s">
        <v>9219</v>
      </c>
    </row>
    <row r="252" spans="1:7" ht="11.25" customHeight="1">
      <c r="A252" t="s">
        <v>14</v>
      </c>
      <c r="B252" t="s">
        <v>9220</v>
      </c>
      <c r="C252" t="s">
        <v>9221</v>
      </c>
      <c r="D252" t="s">
        <v>9220</v>
      </c>
      <c r="E252" t="s">
        <v>9221</v>
      </c>
      <c r="F252" t="s">
        <v>8532</v>
      </c>
      <c r="G252" t="s">
        <v>9222</v>
      </c>
    </row>
    <row r="253" spans="1:7" ht="11.25" customHeight="1">
      <c r="A253" t="s">
        <v>14</v>
      </c>
      <c r="B253" t="s">
        <v>9223</v>
      </c>
      <c r="C253" t="s">
        <v>9224</v>
      </c>
      <c r="D253" t="s">
        <v>9223</v>
      </c>
      <c r="E253" t="s">
        <v>9224</v>
      </c>
      <c r="F253" t="s">
        <v>8537</v>
      </c>
      <c r="G253" t="s">
        <v>9225</v>
      </c>
    </row>
    <row r="254" spans="1:7" ht="11.25" customHeight="1">
      <c r="A254" t="s">
        <v>14</v>
      </c>
      <c r="B254" t="s">
        <v>9223</v>
      </c>
      <c r="C254" t="s">
        <v>9224</v>
      </c>
      <c r="D254" t="s">
        <v>9226</v>
      </c>
      <c r="E254" t="s">
        <v>9227</v>
      </c>
      <c r="F254" t="s">
        <v>8540</v>
      </c>
      <c r="G254" t="s">
        <v>9228</v>
      </c>
    </row>
    <row r="255" spans="1:7" ht="11.25" customHeight="1">
      <c r="A255" t="s">
        <v>14</v>
      </c>
      <c r="B255" t="s">
        <v>9223</v>
      </c>
      <c r="C255" t="s">
        <v>9224</v>
      </c>
      <c r="D255" t="s">
        <v>9229</v>
      </c>
      <c r="E255" t="s">
        <v>9230</v>
      </c>
      <c r="F255" t="s">
        <v>8543</v>
      </c>
      <c r="G255" t="s">
        <v>9231</v>
      </c>
    </row>
    <row r="256" spans="1:7" ht="11.25" customHeight="1">
      <c r="A256" t="s">
        <v>14</v>
      </c>
      <c r="B256" t="s">
        <v>9223</v>
      </c>
      <c r="C256" t="s">
        <v>9224</v>
      </c>
      <c r="D256" t="s">
        <v>9232</v>
      </c>
      <c r="E256" t="s">
        <v>9233</v>
      </c>
      <c r="F256" t="s">
        <v>8546</v>
      </c>
      <c r="G256" t="s">
        <v>9234</v>
      </c>
    </row>
    <row r="257" spans="1:7" ht="11.25" customHeight="1">
      <c r="A257" t="s">
        <v>14</v>
      </c>
      <c r="B257" t="s">
        <v>9223</v>
      </c>
      <c r="C257" t="s">
        <v>9224</v>
      </c>
      <c r="D257" t="s">
        <v>9065</v>
      </c>
      <c r="E257" t="s">
        <v>9235</v>
      </c>
      <c r="F257" t="s">
        <v>8546</v>
      </c>
      <c r="G257" t="s">
        <v>9236</v>
      </c>
    </row>
    <row r="258" spans="1:7" ht="11.25" customHeight="1">
      <c r="A258" t="s">
        <v>14</v>
      </c>
      <c r="B258" t="s">
        <v>9223</v>
      </c>
      <c r="C258" t="s">
        <v>9224</v>
      </c>
      <c r="D258" t="s">
        <v>8639</v>
      </c>
      <c r="E258" t="s">
        <v>9237</v>
      </c>
      <c r="F258" t="s">
        <v>8546</v>
      </c>
      <c r="G258" t="s">
        <v>9238</v>
      </c>
    </row>
    <row r="259" spans="1:7" ht="11.25" customHeight="1">
      <c r="A259" t="s">
        <v>14</v>
      </c>
      <c r="B259" t="s">
        <v>9223</v>
      </c>
      <c r="C259" t="s">
        <v>9224</v>
      </c>
      <c r="D259" t="s">
        <v>9239</v>
      </c>
      <c r="E259" t="s">
        <v>9240</v>
      </c>
      <c r="F259" t="s">
        <v>8546</v>
      </c>
      <c r="G259" t="s">
        <v>9241</v>
      </c>
    </row>
    <row r="260" spans="1:7" ht="11.25" customHeight="1">
      <c r="A260" t="s">
        <v>14</v>
      </c>
      <c r="B260" t="s">
        <v>9223</v>
      </c>
      <c r="C260" t="s">
        <v>9224</v>
      </c>
      <c r="D260" t="s">
        <v>9242</v>
      </c>
      <c r="E260" t="s">
        <v>9243</v>
      </c>
      <c r="F260" t="s">
        <v>8546</v>
      </c>
      <c r="G260" t="s">
        <v>9244</v>
      </c>
    </row>
    <row r="261" spans="1:7" ht="11.25" customHeight="1">
      <c r="A261" t="s">
        <v>14</v>
      </c>
      <c r="B261" t="s">
        <v>9245</v>
      </c>
      <c r="C261" t="s">
        <v>9246</v>
      </c>
      <c r="D261" t="s">
        <v>9247</v>
      </c>
      <c r="E261" t="s">
        <v>9248</v>
      </c>
      <c r="F261" t="s">
        <v>8540</v>
      </c>
      <c r="G261" t="s">
        <v>9249</v>
      </c>
    </row>
    <row r="262" spans="1:7" ht="11.25" customHeight="1">
      <c r="A262" t="s">
        <v>14</v>
      </c>
      <c r="B262" t="s">
        <v>9245</v>
      </c>
      <c r="C262" t="s">
        <v>9246</v>
      </c>
      <c r="D262" t="s">
        <v>9245</v>
      </c>
      <c r="E262" t="s">
        <v>9246</v>
      </c>
      <c r="F262" t="s">
        <v>8537</v>
      </c>
      <c r="G262" t="s">
        <v>9250</v>
      </c>
    </row>
    <row r="263" spans="1:7" ht="11.25" customHeight="1">
      <c r="A263" t="s">
        <v>14</v>
      </c>
      <c r="B263" t="s">
        <v>9245</v>
      </c>
      <c r="C263" t="s">
        <v>9246</v>
      </c>
      <c r="D263" t="s">
        <v>9251</v>
      </c>
      <c r="E263" t="s">
        <v>9252</v>
      </c>
      <c r="F263" t="s">
        <v>8543</v>
      </c>
      <c r="G263" t="s">
        <v>9253</v>
      </c>
    </row>
    <row r="264" spans="1:7" ht="11.25" customHeight="1">
      <c r="A264" t="s">
        <v>14</v>
      </c>
      <c r="B264" t="s">
        <v>9245</v>
      </c>
      <c r="C264" t="s">
        <v>9246</v>
      </c>
      <c r="D264" t="s">
        <v>9254</v>
      </c>
      <c r="E264" t="s">
        <v>9255</v>
      </c>
      <c r="F264" t="s">
        <v>8540</v>
      </c>
      <c r="G264" t="s">
        <v>9256</v>
      </c>
    </row>
    <row r="265" spans="1:7" ht="11.25" customHeight="1">
      <c r="A265" t="s">
        <v>14</v>
      </c>
      <c r="B265" t="s">
        <v>9245</v>
      </c>
      <c r="C265" t="s">
        <v>9246</v>
      </c>
      <c r="D265" t="s">
        <v>9257</v>
      </c>
      <c r="E265" t="s">
        <v>9258</v>
      </c>
      <c r="F265" t="s">
        <v>8540</v>
      </c>
      <c r="G265" t="s">
        <v>9259</v>
      </c>
    </row>
    <row r="266" spans="1:7" ht="11.25" customHeight="1">
      <c r="A266" t="s">
        <v>14</v>
      </c>
      <c r="B266" t="s">
        <v>9245</v>
      </c>
      <c r="C266" t="s">
        <v>9246</v>
      </c>
      <c r="D266" t="s">
        <v>9260</v>
      </c>
      <c r="E266" t="s">
        <v>9261</v>
      </c>
      <c r="F266" t="s">
        <v>8543</v>
      </c>
      <c r="G266" t="s">
        <v>9262</v>
      </c>
    </row>
    <row r="267" spans="1:7" ht="11.25" customHeight="1">
      <c r="A267" t="s">
        <v>14</v>
      </c>
      <c r="B267" t="s">
        <v>9245</v>
      </c>
      <c r="C267" t="s">
        <v>9246</v>
      </c>
      <c r="D267" t="s">
        <v>9263</v>
      </c>
      <c r="E267" t="s">
        <v>9264</v>
      </c>
      <c r="F267" t="s">
        <v>8540</v>
      </c>
      <c r="G267" t="s">
        <v>9265</v>
      </c>
    </row>
    <row r="268" spans="1:7" ht="11.25" customHeight="1">
      <c r="A268" t="s">
        <v>14</v>
      </c>
      <c r="B268" t="s">
        <v>9245</v>
      </c>
      <c r="C268" t="s">
        <v>9246</v>
      </c>
      <c r="D268" t="s">
        <v>9266</v>
      </c>
      <c r="E268" t="s">
        <v>9267</v>
      </c>
      <c r="F268" t="s">
        <v>8546</v>
      </c>
      <c r="G268" t="s">
        <v>9268</v>
      </c>
    </row>
    <row r="269" spans="1:7" ht="11.25" customHeight="1">
      <c r="A269" t="s">
        <v>14</v>
      </c>
      <c r="B269" t="s">
        <v>9245</v>
      </c>
      <c r="C269" t="s">
        <v>9246</v>
      </c>
      <c r="D269" t="s">
        <v>9269</v>
      </c>
      <c r="E269" t="s">
        <v>9270</v>
      </c>
      <c r="F269" t="s">
        <v>8546</v>
      </c>
      <c r="G269" t="s">
        <v>9271</v>
      </c>
    </row>
    <row r="270" spans="1:7" ht="11.25" customHeight="1">
      <c r="A270" t="s">
        <v>14</v>
      </c>
      <c r="B270" t="s">
        <v>9245</v>
      </c>
      <c r="C270" t="s">
        <v>9246</v>
      </c>
      <c r="D270" t="s">
        <v>9272</v>
      </c>
      <c r="E270" t="s">
        <v>9273</v>
      </c>
      <c r="F270" t="s">
        <v>8546</v>
      </c>
      <c r="G270" t="s">
        <v>9274</v>
      </c>
    </row>
    <row r="271" spans="1:7" ht="11.25" customHeight="1">
      <c r="A271" t="s">
        <v>14</v>
      </c>
      <c r="B271" t="s">
        <v>9245</v>
      </c>
      <c r="C271" t="s">
        <v>9246</v>
      </c>
      <c r="D271" t="s">
        <v>9275</v>
      </c>
      <c r="E271" t="s">
        <v>9276</v>
      </c>
      <c r="F271" t="s">
        <v>8546</v>
      </c>
      <c r="G271" t="s">
        <v>9277</v>
      </c>
    </row>
    <row r="272" spans="1:7" ht="11.25" customHeight="1">
      <c r="A272" t="s">
        <v>14</v>
      </c>
      <c r="B272" t="s">
        <v>9245</v>
      </c>
      <c r="C272" t="s">
        <v>9246</v>
      </c>
      <c r="D272" t="s">
        <v>9278</v>
      </c>
      <c r="E272" t="s">
        <v>9279</v>
      </c>
      <c r="F272" t="s">
        <v>8546</v>
      </c>
      <c r="G272" t="s">
        <v>9280</v>
      </c>
    </row>
    <row r="273" spans="1:7" ht="11.25" customHeight="1">
      <c r="A273" t="s">
        <v>14</v>
      </c>
      <c r="B273" t="s">
        <v>9245</v>
      </c>
      <c r="C273" t="s">
        <v>9246</v>
      </c>
      <c r="D273" t="s">
        <v>9281</v>
      </c>
      <c r="E273" t="s">
        <v>9282</v>
      </c>
      <c r="F273" t="s">
        <v>8546</v>
      </c>
      <c r="G273" t="s">
        <v>9283</v>
      </c>
    </row>
    <row r="274" spans="1:7" ht="11.25" customHeight="1">
      <c r="A274" t="s">
        <v>14</v>
      </c>
      <c r="B274" t="s">
        <v>9284</v>
      </c>
      <c r="C274" t="s">
        <v>9285</v>
      </c>
      <c r="D274" t="s">
        <v>9284</v>
      </c>
      <c r="E274" t="s">
        <v>9285</v>
      </c>
      <c r="F274" t="s">
        <v>8537</v>
      </c>
      <c r="G274" t="s">
        <v>9286</v>
      </c>
    </row>
    <row r="275" spans="1:7" ht="11.25" customHeight="1">
      <c r="A275" t="s">
        <v>14</v>
      </c>
      <c r="B275" t="s">
        <v>9284</v>
      </c>
      <c r="C275" t="s">
        <v>9285</v>
      </c>
      <c r="D275" t="s">
        <v>9287</v>
      </c>
      <c r="E275" t="s">
        <v>9288</v>
      </c>
      <c r="F275" t="s">
        <v>8543</v>
      </c>
      <c r="G275" t="s">
        <v>9289</v>
      </c>
    </row>
    <row r="276" spans="1:7" ht="11.25" customHeight="1">
      <c r="A276" t="s">
        <v>14</v>
      </c>
      <c r="B276" t="s">
        <v>9284</v>
      </c>
      <c r="C276" t="s">
        <v>9285</v>
      </c>
      <c r="D276" t="s">
        <v>9290</v>
      </c>
      <c r="E276" t="s">
        <v>9291</v>
      </c>
      <c r="F276" t="s">
        <v>8546</v>
      </c>
      <c r="G276" t="s">
        <v>9292</v>
      </c>
    </row>
    <row r="277" spans="1:7" ht="11.25" customHeight="1">
      <c r="A277" t="s">
        <v>14</v>
      </c>
      <c r="B277" t="s">
        <v>9284</v>
      </c>
      <c r="C277" t="s">
        <v>9285</v>
      </c>
      <c r="D277" t="s">
        <v>9293</v>
      </c>
      <c r="E277" t="s">
        <v>9294</v>
      </c>
      <c r="F277" t="s">
        <v>8546</v>
      </c>
      <c r="G277" t="s">
        <v>9295</v>
      </c>
    </row>
    <row r="278" spans="1:7" ht="11.25" customHeight="1">
      <c r="A278" t="s">
        <v>14</v>
      </c>
      <c r="B278" t="s">
        <v>9284</v>
      </c>
      <c r="C278" t="s">
        <v>9285</v>
      </c>
      <c r="D278" t="s">
        <v>9018</v>
      </c>
      <c r="E278" t="s">
        <v>9296</v>
      </c>
      <c r="F278" t="s">
        <v>8546</v>
      </c>
      <c r="G278" t="s">
        <v>9297</v>
      </c>
    </row>
    <row r="279" spans="1:7" ht="11.25" customHeight="1">
      <c r="A279" t="s">
        <v>14</v>
      </c>
      <c r="B279" t="s">
        <v>9298</v>
      </c>
      <c r="C279" t="s">
        <v>9299</v>
      </c>
      <c r="D279" t="s">
        <v>9298</v>
      </c>
      <c r="E279" t="s">
        <v>9299</v>
      </c>
      <c r="F279" t="s">
        <v>8537</v>
      </c>
      <c r="G279" t="s">
        <v>9300</v>
      </c>
    </row>
    <row r="280" spans="1:7" ht="11.25" customHeight="1">
      <c r="A280" t="s">
        <v>14</v>
      </c>
      <c r="B280" t="s">
        <v>9298</v>
      </c>
      <c r="C280" t="s">
        <v>9299</v>
      </c>
      <c r="D280" t="s">
        <v>9301</v>
      </c>
      <c r="E280" t="s">
        <v>9302</v>
      </c>
      <c r="F280" t="s">
        <v>8543</v>
      </c>
      <c r="G280" t="s">
        <v>9303</v>
      </c>
    </row>
    <row r="281" spans="1:7" ht="11.25" customHeight="1">
      <c r="A281" t="s">
        <v>14</v>
      </c>
      <c r="B281" t="s">
        <v>9298</v>
      </c>
      <c r="C281" t="s">
        <v>9299</v>
      </c>
      <c r="D281" t="s">
        <v>9304</v>
      </c>
      <c r="E281" t="s">
        <v>9305</v>
      </c>
      <c r="F281" t="s">
        <v>8543</v>
      </c>
      <c r="G281" t="s">
        <v>9306</v>
      </c>
    </row>
    <row r="282" spans="1:7" ht="11.25" customHeight="1">
      <c r="A282" t="s">
        <v>14</v>
      </c>
      <c r="B282" t="s">
        <v>9298</v>
      </c>
      <c r="C282" t="s">
        <v>9299</v>
      </c>
      <c r="D282" t="s">
        <v>9269</v>
      </c>
      <c r="E282" t="s">
        <v>9307</v>
      </c>
      <c r="F282" t="s">
        <v>8546</v>
      </c>
      <c r="G282" t="s">
        <v>9308</v>
      </c>
    </row>
    <row r="283" spans="1:7" ht="11.25" customHeight="1">
      <c r="A283" t="s">
        <v>14</v>
      </c>
      <c r="B283" t="s">
        <v>9298</v>
      </c>
      <c r="C283" t="s">
        <v>9299</v>
      </c>
      <c r="D283" t="s">
        <v>9309</v>
      </c>
      <c r="E283" t="s">
        <v>9310</v>
      </c>
      <c r="F283" t="s">
        <v>8546</v>
      </c>
      <c r="G283" t="s">
        <v>9311</v>
      </c>
    </row>
    <row r="284" spans="1:7" ht="11.25" customHeight="1">
      <c r="A284" t="s">
        <v>14</v>
      </c>
      <c r="B284" t="s">
        <v>9298</v>
      </c>
      <c r="C284" t="s">
        <v>9299</v>
      </c>
      <c r="D284" t="s">
        <v>9312</v>
      </c>
      <c r="E284" t="s">
        <v>9313</v>
      </c>
      <c r="F284" t="s">
        <v>8546</v>
      </c>
      <c r="G284" t="s">
        <v>9314</v>
      </c>
    </row>
    <row r="285" spans="1:7" ht="11.25" customHeight="1">
      <c r="A285" t="s">
        <v>14</v>
      </c>
      <c r="B285" t="s">
        <v>9298</v>
      </c>
      <c r="C285" t="s">
        <v>9299</v>
      </c>
      <c r="D285" t="s">
        <v>9315</v>
      </c>
      <c r="E285" t="s">
        <v>9316</v>
      </c>
      <c r="F285" t="s">
        <v>8546</v>
      </c>
      <c r="G285" t="s">
        <v>9317</v>
      </c>
    </row>
    <row r="286" spans="1:7" ht="11.25" customHeight="1">
      <c r="A286" t="s">
        <v>14</v>
      </c>
      <c r="B286" t="s">
        <v>9298</v>
      </c>
      <c r="C286" t="s">
        <v>9299</v>
      </c>
      <c r="D286" t="s">
        <v>9318</v>
      </c>
      <c r="E286" t="s">
        <v>9319</v>
      </c>
      <c r="F286" t="s">
        <v>8546</v>
      </c>
      <c r="G286" t="s">
        <v>9320</v>
      </c>
    </row>
    <row r="287" spans="1:7" ht="11.25" customHeight="1">
      <c r="A287" t="s">
        <v>14</v>
      </c>
      <c r="B287" t="s">
        <v>120</v>
      </c>
      <c r="C287" t="s">
        <v>122</v>
      </c>
      <c r="D287" t="s">
        <v>120</v>
      </c>
      <c r="E287" t="s">
        <v>122</v>
      </c>
      <c r="F287" t="s">
        <v>8532</v>
      </c>
      <c r="G287" t="s">
        <v>121</v>
      </c>
    </row>
    <row r="288" spans="1:7" ht="11.25" customHeight="1">
      <c r="A288" t="s">
        <v>14</v>
      </c>
      <c r="B288" t="s">
        <v>9321</v>
      </c>
      <c r="C288" t="s">
        <v>9322</v>
      </c>
      <c r="D288" t="s">
        <v>9321</v>
      </c>
      <c r="E288" t="s">
        <v>9322</v>
      </c>
      <c r="F288" t="s">
        <v>8537</v>
      </c>
      <c r="G288" t="s">
        <v>9323</v>
      </c>
    </row>
    <row r="289" spans="1:7" ht="11.25" customHeight="1">
      <c r="A289" t="s">
        <v>14</v>
      </c>
      <c r="B289" t="s">
        <v>9321</v>
      </c>
      <c r="C289" t="s">
        <v>9322</v>
      </c>
      <c r="D289" t="s">
        <v>9324</v>
      </c>
      <c r="E289" t="s">
        <v>9325</v>
      </c>
      <c r="F289" t="s">
        <v>8543</v>
      </c>
      <c r="G289" t="s">
        <v>9326</v>
      </c>
    </row>
    <row r="290" spans="1:7" ht="11.25" customHeight="1">
      <c r="A290" t="s">
        <v>14</v>
      </c>
      <c r="B290" t="s">
        <v>9321</v>
      </c>
      <c r="C290" t="s">
        <v>9322</v>
      </c>
      <c r="D290" t="s">
        <v>9327</v>
      </c>
      <c r="E290" t="s">
        <v>9328</v>
      </c>
      <c r="F290" t="s">
        <v>8543</v>
      </c>
      <c r="G290" t="s">
        <v>9329</v>
      </c>
    </row>
    <row r="291" spans="1:7" ht="11.25" customHeight="1">
      <c r="A291" t="s">
        <v>14</v>
      </c>
      <c r="B291" t="s">
        <v>9321</v>
      </c>
      <c r="C291" t="s">
        <v>9322</v>
      </c>
      <c r="D291" t="s">
        <v>9330</v>
      </c>
      <c r="E291" t="s">
        <v>9331</v>
      </c>
      <c r="F291" t="s">
        <v>8543</v>
      </c>
      <c r="G291" t="s">
        <v>9332</v>
      </c>
    </row>
    <row r="292" spans="1:7" ht="11.25" customHeight="1">
      <c r="A292" t="s">
        <v>14</v>
      </c>
      <c r="B292" t="s">
        <v>9321</v>
      </c>
      <c r="C292" t="s">
        <v>9322</v>
      </c>
      <c r="D292" t="s">
        <v>9333</v>
      </c>
      <c r="E292" t="s">
        <v>9334</v>
      </c>
      <c r="F292" t="s">
        <v>8543</v>
      </c>
      <c r="G292" t="s">
        <v>9335</v>
      </c>
    </row>
    <row r="293" spans="1:7" ht="11.25" customHeight="1">
      <c r="A293" t="s">
        <v>14</v>
      </c>
      <c r="B293" t="s">
        <v>9321</v>
      </c>
      <c r="C293" t="s">
        <v>9322</v>
      </c>
      <c r="D293" t="s">
        <v>9336</v>
      </c>
      <c r="E293" t="s">
        <v>9337</v>
      </c>
      <c r="F293" t="s">
        <v>8540</v>
      </c>
      <c r="G293" t="s">
        <v>9338</v>
      </c>
    </row>
    <row r="294" spans="1:7" ht="11.25" customHeight="1">
      <c r="A294" t="s">
        <v>14</v>
      </c>
      <c r="B294" t="s">
        <v>9321</v>
      </c>
      <c r="C294" t="s">
        <v>9322</v>
      </c>
      <c r="D294" t="s">
        <v>9339</v>
      </c>
      <c r="E294" t="s">
        <v>9340</v>
      </c>
      <c r="F294" t="s">
        <v>8546</v>
      </c>
      <c r="G294" t="s">
        <v>9341</v>
      </c>
    </row>
    <row r="295" spans="1:7" ht="11.25" customHeight="1">
      <c r="A295" t="s">
        <v>14</v>
      </c>
      <c r="B295" t="s">
        <v>9321</v>
      </c>
      <c r="C295" t="s">
        <v>9322</v>
      </c>
      <c r="D295" t="s">
        <v>9342</v>
      </c>
      <c r="E295" t="s">
        <v>9343</v>
      </c>
      <c r="F295" t="s">
        <v>8546</v>
      </c>
      <c r="G295" t="s">
        <v>9344</v>
      </c>
    </row>
    <row r="296" spans="1:7" ht="11.25" customHeight="1">
      <c r="A296" t="s">
        <v>14</v>
      </c>
      <c r="B296" t="s">
        <v>9321</v>
      </c>
      <c r="C296" t="s">
        <v>9322</v>
      </c>
      <c r="D296" t="s">
        <v>9345</v>
      </c>
      <c r="E296" t="s">
        <v>9346</v>
      </c>
      <c r="F296" t="s">
        <v>8546</v>
      </c>
      <c r="G296" t="s">
        <v>9347</v>
      </c>
    </row>
    <row r="297" spans="1:7" ht="11.25" customHeight="1">
      <c r="A297" t="s">
        <v>14</v>
      </c>
      <c r="B297" t="s">
        <v>9321</v>
      </c>
      <c r="C297" t="s">
        <v>9322</v>
      </c>
      <c r="D297" t="s">
        <v>9348</v>
      </c>
      <c r="E297" t="s">
        <v>9349</v>
      </c>
      <c r="F297" t="s">
        <v>8546</v>
      </c>
      <c r="G297" t="s">
        <v>9350</v>
      </c>
    </row>
    <row r="298" spans="1:7" ht="11.25" customHeight="1">
      <c r="A298" t="s">
        <v>14</v>
      </c>
      <c r="B298" t="s">
        <v>9321</v>
      </c>
      <c r="C298" t="s">
        <v>9322</v>
      </c>
      <c r="D298" t="s">
        <v>9351</v>
      </c>
      <c r="E298" t="s">
        <v>9352</v>
      </c>
      <c r="F298" t="s">
        <v>8546</v>
      </c>
      <c r="G298" t="s">
        <v>9353</v>
      </c>
    </row>
    <row r="299" spans="1:7" ht="11.25" customHeight="1">
      <c r="A299" t="s">
        <v>14</v>
      </c>
      <c r="B299" t="s">
        <v>9321</v>
      </c>
      <c r="C299" t="s">
        <v>9322</v>
      </c>
      <c r="D299" t="s">
        <v>9354</v>
      </c>
      <c r="E299" t="s">
        <v>9355</v>
      </c>
      <c r="F299" t="s">
        <v>8546</v>
      </c>
      <c r="G299" t="s">
        <v>9356</v>
      </c>
    </row>
    <row r="300" spans="1:7" ht="11.25" customHeight="1">
      <c r="A300" t="s">
        <v>14</v>
      </c>
      <c r="B300" t="s">
        <v>9357</v>
      </c>
      <c r="C300" t="s">
        <v>9358</v>
      </c>
      <c r="D300" t="s">
        <v>9357</v>
      </c>
      <c r="E300" t="s">
        <v>9358</v>
      </c>
      <c r="F300" t="s">
        <v>8532</v>
      </c>
      <c r="G300" t="s">
        <v>9359</v>
      </c>
    </row>
    <row r="301" spans="1:7" ht="11.25" customHeight="1">
      <c r="A301" t="s">
        <v>14</v>
      </c>
      <c r="B301" t="s">
        <v>9360</v>
      </c>
      <c r="C301" t="s">
        <v>9361</v>
      </c>
      <c r="D301" t="s">
        <v>9360</v>
      </c>
      <c r="E301" t="s">
        <v>9361</v>
      </c>
      <c r="F301" t="s">
        <v>8537</v>
      </c>
      <c r="G301" t="s">
        <v>9362</v>
      </c>
    </row>
    <row r="302" spans="1:7" ht="11.25" customHeight="1">
      <c r="A302" t="s">
        <v>14</v>
      </c>
      <c r="B302" t="s">
        <v>9360</v>
      </c>
      <c r="C302" t="s">
        <v>9361</v>
      </c>
      <c r="D302" t="s">
        <v>9363</v>
      </c>
      <c r="E302" t="s">
        <v>9364</v>
      </c>
      <c r="F302" t="s">
        <v>8543</v>
      </c>
      <c r="G302" t="s">
        <v>9365</v>
      </c>
    </row>
    <row r="303" spans="1:7" ht="11.25" customHeight="1">
      <c r="A303" t="s">
        <v>14</v>
      </c>
      <c r="B303" t="s">
        <v>9360</v>
      </c>
      <c r="C303" t="s">
        <v>9361</v>
      </c>
      <c r="D303" t="s">
        <v>9366</v>
      </c>
      <c r="E303" t="s">
        <v>9367</v>
      </c>
      <c r="F303" t="s">
        <v>8543</v>
      </c>
      <c r="G303" t="s">
        <v>9368</v>
      </c>
    </row>
    <row r="304" spans="1:7" ht="11.25" customHeight="1">
      <c r="A304" t="s">
        <v>14</v>
      </c>
      <c r="B304" t="s">
        <v>9360</v>
      </c>
      <c r="C304" t="s">
        <v>9361</v>
      </c>
      <c r="D304" t="s">
        <v>9369</v>
      </c>
      <c r="E304" t="s">
        <v>9370</v>
      </c>
      <c r="F304" t="s">
        <v>8543</v>
      </c>
      <c r="G304" t="s">
        <v>9371</v>
      </c>
    </row>
    <row r="305" spans="1:7" ht="11.25" customHeight="1">
      <c r="A305" t="s">
        <v>14</v>
      </c>
      <c r="B305" t="s">
        <v>9360</v>
      </c>
      <c r="C305" t="s">
        <v>9361</v>
      </c>
      <c r="D305" t="s">
        <v>9372</v>
      </c>
      <c r="E305" t="s">
        <v>9373</v>
      </c>
      <c r="F305" t="s">
        <v>8540</v>
      </c>
      <c r="G305" t="s">
        <v>9374</v>
      </c>
    </row>
    <row r="306" spans="1:7" ht="11.25" customHeight="1">
      <c r="A306" t="s">
        <v>14</v>
      </c>
      <c r="B306" t="s">
        <v>9360</v>
      </c>
      <c r="C306" t="s">
        <v>9361</v>
      </c>
      <c r="D306" t="s">
        <v>9375</v>
      </c>
      <c r="E306" t="s">
        <v>9376</v>
      </c>
      <c r="F306" t="s">
        <v>8546</v>
      </c>
      <c r="G306" t="s">
        <v>9377</v>
      </c>
    </row>
    <row r="307" spans="1:7" ht="11.25" customHeight="1">
      <c r="A307" t="s">
        <v>14</v>
      </c>
      <c r="B307" t="s">
        <v>9360</v>
      </c>
      <c r="C307" t="s">
        <v>9361</v>
      </c>
      <c r="D307" t="s">
        <v>9378</v>
      </c>
      <c r="E307" t="s">
        <v>9379</v>
      </c>
      <c r="F307" t="s">
        <v>8546</v>
      </c>
      <c r="G307" t="s">
        <v>9380</v>
      </c>
    </row>
    <row r="308" spans="1:7" ht="11.25" customHeight="1">
      <c r="A308" t="s">
        <v>14</v>
      </c>
      <c r="B308" t="s">
        <v>9360</v>
      </c>
      <c r="C308" t="s">
        <v>9361</v>
      </c>
      <c r="D308" t="s">
        <v>9381</v>
      </c>
      <c r="E308" t="s">
        <v>9382</v>
      </c>
      <c r="F308" t="s">
        <v>8546</v>
      </c>
      <c r="G308" t="s">
        <v>9383</v>
      </c>
    </row>
    <row r="309" spans="1:7" ht="11.25" customHeight="1">
      <c r="A309" t="s">
        <v>14</v>
      </c>
      <c r="B309" t="s">
        <v>9384</v>
      </c>
      <c r="C309" t="s">
        <v>9385</v>
      </c>
      <c r="D309" t="s">
        <v>9384</v>
      </c>
      <c r="E309" t="s">
        <v>9385</v>
      </c>
      <c r="F309" t="s">
        <v>8532</v>
      </c>
      <c r="G309" t="s">
        <v>9386</v>
      </c>
    </row>
    <row r="310" spans="1:7" ht="11.25" customHeight="1">
      <c r="A310" t="s">
        <v>14</v>
      </c>
      <c r="B310" t="s">
        <v>9387</v>
      </c>
      <c r="C310" t="s">
        <v>9388</v>
      </c>
      <c r="D310" t="s">
        <v>9389</v>
      </c>
      <c r="E310" t="s">
        <v>9390</v>
      </c>
      <c r="F310" t="s">
        <v>8546</v>
      </c>
      <c r="G310" t="s">
        <v>9391</v>
      </c>
    </row>
    <row r="311" spans="1:7" ht="11.25" customHeight="1">
      <c r="A311" t="s">
        <v>14</v>
      </c>
      <c r="B311" t="s">
        <v>9387</v>
      </c>
      <c r="C311" t="s">
        <v>9388</v>
      </c>
      <c r="D311" t="s">
        <v>9387</v>
      </c>
      <c r="E311" t="s">
        <v>9388</v>
      </c>
      <c r="F311" t="s">
        <v>8537</v>
      </c>
      <c r="G311" t="s">
        <v>9392</v>
      </c>
    </row>
    <row r="312" spans="1:7" ht="11.25" customHeight="1">
      <c r="A312" t="s">
        <v>14</v>
      </c>
      <c r="B312" t="s">
        <v>9387</v>
      </c>
      <c r="C312" t="s">
        <v>9388</v>
      </c>
      <c r="D312" t="s">
        <v>9393</v>
      </c>
      <c r="E312" t="s">
        <v>9394</v>
      </c>
      <c r="F312" t="s">
        <v>8543</v>
      </c>
      <c r="G312" t="s">
        <v>9395</v>
      </c>
    </row>
    <row r="313" spans="1:7" ht="11.25" customHeight="1">
      <c r="A313" t="s">
        <v>14</v>
      </c>
      <c r="B313" t="s">
        <v>9387</v>
      </c>
      <c r="C313" t="s">
        <v>9388</v>
      </c>
      <c r="D313" t="s">
        <v>9396</v>
      </c>
      <c r="E313" t="s">
        <v>9397</v>
      </c>
      <c r="F313" t="s">
        <v>8543</v>
      </c>
      <c r="G313" t="s">
        <v>9398</v>
      </c>
    </row>
    <row r="314" spans="1:7" ht="11.25" customHeight="1">
      <c r="A314" t="s">
        <v>14</v>
      </c>
      <c r="B314" t="s">
        <v>9387</v>
      </c>
      <c r="C314" t="s">
        <v>9388</v>
      </c>
      <c r="D314" t="s">
        <v>9399</v>
      </c>
      <c r="E314" t="s">
        <v>9400</v>
      </c>
      <c r="F314" t="s">
        <v>8543</v>
      </c>
      <c r="G314" t="s">
        <v>9401</v>
      </c>
    </row>
    <row r="315" spans="1:7" ht="11.25" customHeight="1">
      <c r="A315" t="s">
        <v>14</v>
      </c>
      <c r="B315" t="s">
        <v>9387</v>
      </c>
      <c r="C315" t="s">
        <v>9388</v>
      </c>
      <c r="D315" t="s">
        <v>9402</v>
      </c>
      <c r="E315" t="s">
        <v>9403</v>
      </c>
      <c r="F315" t="s">
        <v>8540</v>
      </c>
      <c r="G315" t="s">
        <v>9404</v>
      </c>
    </row>
    <row r="316" spans="1:7" ht="11.25" customHeight="1">
      <c r="A316" t="s">
        <v>14</v>
      </c>
      <c r="B316" t="s">
        <v>9387</v>
      </c>
      <c r="C316" t="s">
        <v>9388</v>
      </c>
      <c r="D316" t="s">
        <v>9405</v>
      </c>
      <c r="E316" t="s">
        <v>9406</v>
      </c>
      <c r="F316" t="s">
        <v>8546</v>
      </c>
      <c r="G316" t="s">
        <v>9407</v>
      </c>
    </row>
    <row r="317" spans="1:7" ht="11.25" customHeight="1">
      <c r="A317" t="s">
        <v>14</v>
      </c>
      <c r="B317" t="s">
        <v>9387</v>
      </c>
      <c r="C317" t="s">
        <v>9388</v>
      </c>
      <c r="D317" t="s">
        <v>8637</v>
      </c>
      <c r="E317" t="s">
        <v>9408</v>
      </c>
      <c r="F317" t="s">
        <v>8546</v>
      </c>
      <c r="G317" t="s">
        <v>9409</v>
      </c>
    </row>
    <row r="318" spans="1:7" ht="11.25" customHeight="1">
      <c r="A318" t="s">
        <v>14</v>
      </c>
      <c r="B318" t="s">
        <v>9387</v>
      </c>
      <c r="C318" t="s">
        <v>9388</v>
      </c>
      <c r="D318" t="s">
        <v>9410</v>
      </c>
      <c r="E318" t="s">
        <v>9411</v>
      </c>
      <c r="F318" t="s">
        <v>8546</v>
      </c>
      <c r="G318" t="s">
        <v>9412</v>
      </c>
    </row>
    <row r="319" spans="1:7" ht="11.25" customHeight="1">
      <c r="A319" t="s">
        <v>14</v>
      </c>
      <c r="B319" t="s">
        <v>9413</v>
      </c>
      <c r="C319" t="s">
        <v>9414</v>
      </c>
      <c r="D319" t="s">
        <v>9413</v>
      </c>
      <c r="E319" t="s">
        <v>9414</v>
      </c>
      <c r="F319" t="s">
        <v>8532</v>
      </c>
      <c r="G319" t="s">
        <v>9415</v>
      </c>
    </row>
    <row r="320" spans="1:7" ht="11.25" customHeight="1">
      <c r="A320" t="s">
        <v>14</v>
      </c>
      <c r="B320" t="s">
        <v>9416</v>
      </c>
      <c r="C320" t="s">
        <v>9417</v>
      </c>
      <c r="D320" t="s">
        <v>9416</v>
      </c>
      <c r="E320" t="s">
        <v>9417</v>
      </c>
      <c r="F320" t="s">
        <v>8537</v>
      </c>
      <c r="G320" t="s">
        <v>9418</v>
      </c>
    </row>
    <row r="321" spans="1:7" ht="11.25" customHeight="1">
      <c r="A321" t="s">
        <v>14</v>
      </c>
      <c r="B321" t="s">
        <v>9416</v>
      </c>
      <c r="C321" t="s">
        <v>9417</v>
      </c>
      <c r="D321" t="s">
        <v>9419</v>
      </c>
      <c r="E321" t="s">
        <v>9420</v>
      </c>
      <c r="F321" t="s">
        <v>8543</v>
      </c>
      <c r="G321" t="s">
        <v>9421</v>
      </c>
    </row>
    <row r="322" spans="1:7" ht="11.25" customHeight="1">
      <c r="A322" t="s">
        <v>14</v>
      </c>
      <c r="B322" t="s">
        <v>9416</v>
      </c>
      <c r="C322" t="s">
        <v>9417</v>
      </c>
      <c r="D322" t="s">
        <v>9422</v>
      </c>
      <c r="E322" t="s">
        <v>9423</v>
      </c>
      <c r="F322" t="s">
        <v>8540</v>
      </c>
      <c r="G322" t="s">
        <v>9424</v>
      </c>
    </row>
    <row r="323" spans="1:7" ht="11.25" customHeight="1">
      <c r="A323" t="s">
        <v>14</v>
      </c>
      <c r="B323" t="s">
        <v>9416</v>
      </c>
      <c r="C323" t="s">
        <v>9417</v>
      </c>
      <c r="D323" t="s">
        <v>9425</v>
      </c>
      <c r="E323" t="s">
        <v>9426</v>
      </c>
      <c r="F323" t="s">
        <v>8546</v>
      </c>
      <c r="G323" t="s">
        <v>9427</v>
      </c>
    </row>
    <row r="324" spans="1:7" ht="11.25" customHeight="1">
      <c r="A324" t="s">
        <v>14</v>
      </c>
      <c r="B324" t="s">
        <v>9416</v>
      </c>
      <c r="C324" t="s">
        <v>9417</v>
      </c>
      <c r="D324" t="s">
        <v>9428</v>
      </c>
      <c r="E324" t="s">
        <v>9429</v>
      </c>
      <c r="F324" t="s">
        <v>8546</v>
      </c>
      <c r="G324" t="s">
        <v>9430</v>
      </c>
    </row>
    <row r="325" spans="1:7" ht="11.25" customHeight="1">
      <c r="A325" t="s">
        <v>14</v>
      </c>
      <c r="B325" t="s">
        <v>9416</v>
      </c>
      <c r="C325" t="s">
        <v>9417</v>
      </c>
      <c r="D325" t="s">
        <v>9431</v>
      </c>
      <c r="E325" t="s">
        <v>9432</v>
      </c>
      <c r="F325" t="s">
        <v>8546</v>
      </c>
      <c r="G325" t="s">
        <v>9433</v>
      </c>
    </row>
    <row r="326" spans="1:7" ht="11.25" customHeight="1">
      <c r="A326" t="s">
        <v>14</v>
      </c>
      <c r="B326" t="s">
        <v>9434</v>
      </c>
      <c r="C326" t="s">
        <v>9435</v>
      </c>
      <c r="D326" t="s">
        <v>9434</v>
      </c>
      <c r="E326" t="s">
        <v>9435</v>
      </c>
      <c r="F326" t="s">
        <v>8532</v>
      </c>
      <c r="G326" t="s">
        <v>9436</v>
      </c>
    </row>
    <row r="327" spans="1:7" ht="11.25" customHeight="1">
      <c r="A327" t="s">
        <v>14</v>
      </c>
      <c r="B327" t="s">
        <v>9437</v>
      </c>
      <c r="C327" t="s">
        <v>9438</v>
      </c>
      <c r="D327" t="s">
        <v>9437</v>
      </c>
      <c r="E327" t="s">
        <v>9438</v>
      </c>
      <c r="F327" t="s">
        <v>8537</v>
      </c>
      <c r="G327" t="s">
        <v>9439</v>
      </c>
    </row>
    <row r="328" spans="1:7" ht="11.25" customHeight="1">
      <c r="A328" t="s">
        <v>14</v>
      </c>
      <c r="B328" t="s">
        <v>9437</v>
      </c>
      <c r="C328" t="s">
        <v>9438</v>
      </c>
      <c r="D328" t="s">
        <v>9440</v>
      </c>
      <c r="E328" t="s">
        <v>9441</v>
      </c>
      <c r="F328" t="s">
        <v>8543</v>
      </c>
      <c r="G328" t="s">
        <v>9442</v>
      </c>
    </row>
    <row r="329" spans="1:7" ht="11.25" customHeight="1">
      <c r="A329" t="s">
        <v>14</v>
      </c>
      <c r="B329" t="s">
        <v>9437</v>
      </c>
      <c r="C329" t="s">
        <v>9438</v>
      </c>
      <c r="D329" t="s">
        <v>9443</v>
      </c>
      <c r="E329" t="s">
        <v>9444</v>
      </c>
      <c r="F329" t="s">
        <v>8543</v>
      </c>
      <c r="G329" t="s">
        <v>9445</v>
      </c>
    </row>
    <row r="330" spans="1:7" ht="11.25" customHeight="1">
      <c r="A330" t="s">
        <v>14</v>
      </c>
      <c r="B330" t="s">
        <v>9437</v>
      </c>
      <c r="C330" t="s">
        <v>9438</v>
      </c>
      <c r="D330" t="s">
        <v>9446</v>
      </c>
      <c r="E330" t="s">
        <v>9447</v>
      </c>
      <c r="F330" t="s">
        <v>8540</v>
      </c>
      <c r="G330" t="s">
        <v>9448</v>
      </c>
    </row>
    <row r="331" spans="1:7" ht="11.25" customHeight="1">
      <c r="A331" t="s">
        <v>14</v>
      </c>
      <c r="B331" t="s">
        <v>9437</v>
      </c>
      <c r="C331" t="s">
        <v>9438</v>
      </c>
      <c r="D331" t="s">
        <v>9449</v>
      </c>
      <c r="E331" t="s">
        <v>9450</v>
      </c>
      <c r="F331" t="s">
        <v>8546</v>
      </c>
      <c r="G331" t="s">
        <v>9451</v>
      </c>
    </row>
    <row r="332" spans="1:7" ht="11.25" customHeight="1">
      <c r="A332" t="s">
        <v>14</v>
      </c>
      <c r="B332" t="s">
        <v>9437</v>
      </c>
      <c r="C332" t="s">
        <v>9438</v>
      </c>
      <c r="D332" t="s">
        <v>9452</v>
      </c>
      <c r="E332" t="s">
        <v>9453</v>
      </c>
      <c r="F332" t="s">
        <v>8546</v>
      </c>
      <c r="G332" t="s">
        <v>9454</v>
      </c>
    </row>
    <row r="333" spans="1:7" ht="11.25" customHeight="1">
      <c r="A333" t="s">
        <v>14</v>
      </c>
      <c r="B333" t="s">
        <v>9437</v>
      </c>
      <c r="C333" t="s">
        <v>9438</v>
      </c>
      <c r="D333" t="s">
        <v>9455</v>
      </c>
      <c r="E333" t="s">
        <v>9456</v>
      </c>
      <c r="F333" t="s">
        <v>8546</v>
      </c>
      <c r="G333" t="s">
        <v>9457</v>
      </c>
    </row>
    <row r="334" spans="1:7" ht="11.25" customHeight="1">
      <c r="A334" t="s">
        <v>14</v>
      </c>
      <c r="B334" t="s">
        <v>9437</v>
      </c>
      <c r="C334" t="s">
        <v>9438</v>
      </c>
      <c r="D334" t="s">
        <v>9458</v>
      </c>
      <c r="E334" t="s">
        <v>9459</v>
      </c>
      <c r="F334" t="s">
        <v>8546</v>
      </c>
      <c r="G334" t="s">
        <v>9460</v>
      </c>
    </row>
    <row r="335" spans="1:7" ht="11.25" customHeight="1">
      <c r="A335" t="s">
        <v>14</v>
      </c>
      <c r="B335" t="s">
        <v>9461</v>
      </c>
      <c r="C335" t="s">
        <v>9462</v>
      </c>
      <c r="D335" t="s">
        <v>9461</v>
      </c>
      <c r="E335" t="s">
        <v>9462</v>
      </c>
      <c r="F335" t="s">
        <v>8537</v>
      </c>
      <c r="G335" t="s">
        <v>9463</v>
      </c>
    </row>
    <row r="336" spans="1:7" ht="11.25" customHeight="1">
      <c r="A336" t="s">
        <v>14</v>
      </c>
      <c r="B336" t="s">
        <v>9461</v>
      </c>
      <c r="C336" t="s">
        <v>9462</v>
      </c>
      <c r="D336" t="s">
        <v>9464</v>
      </c>
      <c r="E336" t="s">
        <v>9465</v>
      </c>
      <c r="F336" t="s">
        <v>8543</v>
      </c>
      <c r="G336" t="s">
        <v>9466</v>
      </c>
    </row>
    <row r="337" spans="1:7" ht="11.25" customHeight="1">
      <c r="A337" t="s">
        <v>14</v>
      </c>
      <c r="B337" t="s">
        <v>9461</v>
      </c>
      <c r="C337" t="s">
        <v>9462</v>
      </c>
      <c r="D337" t="s">
        <v>8603</v>
      </c>
      <c r="E337" t="s">
        <v>9467</v>
      </c>
      <c r="F337" t="s">
        <v>8546</v>
      </c>
      <c r="G337" t="s">
        <v>9468</v>
      </c>
    </row>
    <row r="338" spans="1:7" ht="11.25" customHeight="1">
      <c r="A338" t="s">
        <v>14</v>
      </c>
      <c r="B338" t="s">
        <v>9461</v>
      </c>
      <c r="C338" t="s">
        <v>9462</v>
      </c>
      <c r="D338" t="s">
        <v>9469</v>
      </c>
      <c r="E338" t="s">
        <v>9470</v>
      </c>
      <c r="F338" t="s">
        <v>8546</v>
      </c>
      <c r="G338" t="s">
        <v>9471</v>
      </c>
    </row>
    <row r="339" spans="1:7" ht="11.25" customHeight="1">
      <c r="A339" t="s">
        <v>14</v>
      </c>
      <c r="B339" t="s">
        <v>9461</v>
      </c>
      <c r="C339" t="s">
        <v>9462</v>
      </c>
      <c r="D339" t="s">
        <v>9472</v>
      </c>
      <c r="E339" t="s">
        <v>9473</v>
      </c>
      <c r="F339" t="s">
        <v>8546</v>
      </c>
      <c r="G339" t="s">
        <v>9474</v>
      </c>
    </row>
    <row r="340" spans="1:7" ht="11.25" customHeight="1">
      <c r="A340" t="s">
        <v>14</v>
      </c>
      <c r="B340" t="s">
        <v>9475</v>
      </c>
      <c r="C340" t="s">
        <v>9476</v>
      </c>
      <c r="D340" t="s">
        <v>9475</v>
      </c>
      <c r="E340" t="s">
        <v>9476</v>
      </c>
      <c r="F340" t="s">
        <v>8532</v>
      </c>
      <c r="G340" t="s">
        <v>9477</v>
      </c>
    </row>
    <row r="341" spans="1:7" ht="11.25" customHeight="1">
      <c r="A341" t="s">
        <v>14</v>
      </c>
      <c r="B341" t="s">
        <v>9478</v>
      </c>
      <c r="C341" t="s">
        <v>9479</v>
      </c>
      <c r="D341" t="s">
        <v>9478</v>
      </c>
      <c r="E341" t="s">
        <v>9479</v>
      </c>
      <c r="F341" t="s">
        <v>8537</v>
      </c>
      <c r="G341" t="s">
        <v>9480</v>
      </c>
    </row>
    <row r="342" spans="1:7" ht="11.25" customHeight="1">
      <c r="A342" t="s">
        <v>14</v>
      </c>
      <c r="B342" t="s">
        <v>9478</v>
      </c>
      <c r="C342" t="s">
        <v>9479</v>
      </c>
      <c r="D342" t="s">
        <v>9481</v>
      </c>
      <c r="E342" t="s">
        <v>9482</v>
      </c>
      <c r="F342" t="s">
        <v>8543</v>
      </c>
      <c r="G342" t="s">
        <v>9483</v>
      </c>
    </row>
    <row r="343" spans="1:7" ht="11.25" customHeight="1">
      <c r="A343" t="s">
        <v>14</v>
      </c>
      <c r="B343" t="s">
        <v>9478</v>
      </c>
      <c r="C343" t="s">
        <v>9479</v>
      </c>
      <c r="D343" t="s">
        <v>9484</v>
      </c>
      <c r="E343" t="s">
        <v>9485</v>
      </c>
      <c r="F343" t="s">
        <v>8543</v>
      </c>
      <c r="G343" t="s">
        <v>9486</v>
      </c>
    </row>
    <row r="344" spans="1:7" ht="11.25" customHeight="1">
      <c r="A344" t="s">
        <v>14</v>
      </c>
      <c r="B344" t="s">
        <v>9478</v>
      </c>
      <c r="C344" t="s">
        <v>9479</v>
      </c>
      <c r="D344" t="s">
        <v>9487</v>
      </c>
      <c r="E344" t="s">
        <v>9488</v>
      </c>
      <c r="F344" t="s">
        <v>8543</v>
      </c>
      <c r="G344" t="s">
        <v>9489</v>
      </c>
    </row>
    <row r="345" spans="1:7" ht="11.25" customHeight="1">
      <c r="A345" t="s">
        <v>14</v>
      </c>
      <c r="B345" t="s">
        <v>9478</v>
      </c>
      <c r="C345" t="s">
        <v>9479</v>
      </c>
      <c r="D345" t="s">
        <v>9490</v>
      </c>
      <c r="E345" t="s">
        <v>9491</v>
      </c>
      <c r="F345" t="s">
        <v>8543</v>
      </c>
      <c r="G345" t="s">
        <v>9492</v>
      </c>
    </row>
    <row r="346" spans="1:7" ht="11.25" customHeight="1">
      <c r="A346" t="s">
        <v>14</v>
      </c>
      <c r="B346" t="s">
        <v>9478</v>
      </c>
      <c r="C346" t="s">
        <v>9479</v>
      </c>
      <c r="D346" t="s">
        <v>9493</v>
      </c>
      <c r="E346" t="s">
        <v>9494</v>
      </c>
      <c r="F346" t="s">
        <v>8540</v>
      </c>
      <c r="G346" t="s">
        <v>9495</v>
      </c>
    </row>
    <row r="347" spans="1:7" ht="11.25" customHeight="1">
      <c r="A347" t="s">
        <v>14</v>
      </c>
      <c r="B347" t="s">
        <v>9478</v>
      </c>
      <c r="C347" t="s">
        <v>9479</v>
      </c>
      <c r="D347" t="s">
        <v>9496</v>
      </c>
      <c r="E347" t="s">
        <v>9497</v>
      </c>
      <c r="F347" t="s">
        <v>8546</v>
      </c>
      <c r="G347" t="s">
        <v>9498</v>
      </c>
    </row>
    <row r="348" spans="1:7" ht="11.25" customHeight="1">
      <c r="A348" t="s">
        <v>14</v>
      </c>
      <c r="B348" t="s">
        <v>9478</v>
      </c>
      <c r="C348" t="s">
        <v>9479</v>
      </c>
      <c r="D348" t="s">
        <v>9499</v>
      </c>
      <c r="E348" t="s">
        <v>9500</v>
      </c>
      <c r="F348" t="s">
        <v>8546</v>
      </c>
      <c r="G348" t="s">
        <v>9501</v>
      </c>
    </row>
    <row r="349" spans="1:7" ht="11.25" customHeight="1">
      <c r="A349" t="s">
        <v>14</v>
      </c>
      <c r="B349" t="s">
        <v>9478</v>
      </c>
      <c r="C349" t="s">
        <v>9479</v>
      </c>
      <c r="D349" t="s">
        <v>9502</v>
      </c>
      <c r="E349" t="s">
        <v>9503</v>
      </c>
      <c r="F349" t="s">
        <v>8546</v>
      </c>
      <c r="G349" t="s">
        <v>9504</v>
      </c>
    </row>
    <row r="350" spans="1:7" ht="11.25" customHeight="1">
      <c r="A350" t="s">
        <v>14</v>
      </c>
      <c r="B350" t="s">
        <v>9478</v>
      </c>
      <c r="C350" t="s">
        <v>9479</v>
      </c>
      <c r="D350" t="s">
        <v>9505</v>
      </c>
      <c r="E350" t="s">
        <v>9506</v>
      </c>
      <c r="F350" t="s">
        <v>8546</v>
      </c>
      <c r="G350" t="s">
        <v>9507</v>
      </c>
    </row>
    <row r="351" spans="1:7" ht="11.25" customHeight="1">
      <c r="A351" t="s">
        <v>14</v>
      </c>
      <c r="B351" t="s">
        <v>9478</v>
      </c>
      <c r="C351" t="s">
        <v>9479</v>
      </c>
      <c r="D351" t="s">
        <v>9508</v>
      </c>
      <c r="E351" t="s">
        <v>9509</v>
      </c>
      <c r="F351" t="s">
        <v>8546</v>
      </c>
      <c r="G351" t="s">
        <v>9510</v>
      </c>
    </row>
    <row r="352" spans="1:7" ht="11.25" customHeight="1">
      <c r="A352" t="s">
        <v>14</v>
      </c>
      <c r="B352" t="s">
        <v>9511</v>
      </c>
      <c r="C352" t="s">
        <v>9512</v>
      </c>
      <c r="D352" t="s">
        <v>9511</v>
      </c>
      <c r="E352" t="s">
        <v>9512</v>
      </c>
      <c r="F352" t="s">
        <v>8532</v>
      </c>
      <c r="G352" t="s">
        <v>9513</v>
      </c>
    </row>
    <row r="353" spans="1:7" ht="11.25" customHeight="1">
      <c r="A353" t="s">
        <v>14</v>
      </c>
      <c r="B353" t="s">
        <v>9514</v>
      </c>
      <c r="C353" t="s">
        <v>9515</v>
      </c>
      <c r="D353" t="s">
        <v>9514</v>
      </c>
      <c r="E353" t="s">
        <v>9515</v>
      </c>
      <c r="F353" t="s">
        <v>8532</v>
      </c>
      <c r="G353" t="s">
        <v>9516</v>
      </c>
    </row>
    <row r="354" spans="1:7" ht="11.25" customHeight="1">
      <c r="A354" t="s">
        <v>14</v>
      </c>
      <c r="B354" t="s">
        <v>9517</v>
      </c>
      <c r="C354" t="s">
        <v>9518</v>
      </c>
      <c r="D354" t="s">
        <v>9517</v>
      </c>
      <c r="E354" t="s">
        <v>9518</v>
      </c>
      <c r="F354" t="s">
        <v>8532</v>
      </c>
      <c r="G354" t="s">
        <v>9519</v>
      </c>
    </row>
    <row r="355" spans="1:7" ht="11.25" customHeight="1">
      <c r="A355" t="s">
        <v>14</v>
      </c>
      <c r="B355" t="s">
        <v>9520</v>
      </c>
      <c r="C355" t="s">
        <v>9521</v>
      </c>
      <c r="D355" t="s">
        <v>9520</v>
      </c>
      <c r="E355" t="s">
        <v>9521</v>
      </c>
      <c r="F355" t="s">
        <v>8532</v>
      </c>
      <c r="G355" t="s">
        <v>9522</v>
      </c>
    </row>
    <row r="356" spans="1:7" ht="11.25" customHeight="1">
      <c r="A356" t="s">
        <v>14</v>
      </c>
      <c r="B356" t="s">
        <v>9523</v>
      </c>
      <c r="C356" t="s">
        <v>9524</v>
      </c>
      <c r="D356" t="s">
        <v>9523</v>
      </c>
      <c r="E356" t="s">
        <v>9524</v>
      </c>
      <c r="F356" t="s">
        <v>8532</v>
      </c>
      <c r="G356" t="s">
        <v>9525</v>
      </c>
    </row>
    <row r="357" spans="1:7" ht="11.25" customHeight="1">
      <c r="A357" t="s">
        <v>14</v>
      </c>
      <c r="B357" t="s">
        <v>9526</v>
      </c>
      <c r="C357" t="s">
        <v>9527</v>
      </c>
      <c r="D357" t="s">
        <v>9526</v>
      </c>
      <c r="E357" t="s">
        <v>9527</v>
      </c>
      <c r="F357" t="s">
        <v>8532</v>
      </c>
      <c r="G357" t="s">
        <v>9528</v>
      </c>
    </row>
    <row r="358" spans="1:7" ht="11.25" customHeight="1">
      <c r="A358" t="s">
        <v>14</v>
      </c>
      <c r="B358" t="s">
        <v>9529</v>
      </c>
      <c r="C358" t="s">
        <v>9530</v>
      </c>
      <c r="D358" t="s">
        <v>9529</v>
      </c>
      <c r="E358" t="s">
        <v>9530</v>
      </c>
      <c r="F358" t="s">
        <v>8532</v>
      </c>
      <c r="G358" t="s">
        <v>9531</v>
      </c>
    </row>
    <row r="359" spans="1:7" ht="11.25" customHeight="1">
      <c r="A359" t="s">
        <v>14</v>
      </c>
      <c r="B359" t="s">
        <v>9532</v>
      </c>
      <c r="C359" t="s">
        <v>9533</v>
      </c>
      <c r="D359" t="s">
        <v>9532</v>
      </c>
      <c r="E359" t="s">
        <v>9533</v>
      </c>
      <c r="F359" t="s">
        <v>8532</v>
      </c>
      <c r="G359" t="s">
        <v>9534</v>
      </c>
    </row>
    <row r="360" spans="1:7" ht="11.25" customHeight="1">
      <c r="A360" t="s">
        <v>14</v>
      </c>
      <c r="B360" t="s">
        <v>9535</v>
      </c>
      <c r="C360" t="s">
        <v>9536</v>
      </c>
      <c r="D360" t="s">
        <v>9535</v>
      </c>
      <c r="E360" t="s">
        <v>9536</v>
      </c>
      <c r="F360" t="s">
        <v>8532</v>
      </c>
      <c r="G360" t="s">
        <v>9537</v>
      </c>
    </row>
    <row r="361" spans="1:7" ht="11.25" customHeight="1">
      <c r="A361" t="s">
        <v>14</v>
      </c>
      <c r="B361" t="s">
        <v>9538</v>
      </c>
      <c r="C361" t="s">
        <v>9539</v>
      </c>
      <c r="D361" t="s">
        <v>9538</v>
      </c>
      <c r="E361" t="s">
        <v>9539</v>
      </c>
      <c r="F361" t="s">
        <v>8532</v>
      </c>
      <c r="G361" t="s">
        <v>9540</v>
      </c>
    </row>
    <row r="362" spans="1:7" ht="11.25" customHeight="1">
      <c r="A362" t="s">
        <v>14</v>
      </c>
      <c r="B362" t="s">
        <v>9541</v>
      </c>
      <c r="C362" t="s">
        <v>9542</v>
      </c>
      <c r="D362" t="s">
        <v>9541</v>
      </c>
      <c r="E362" t="s">
        <v>9542</v>
      </c>
      <c r="F362" t="s">
        <v>8532</v>
      </c>
      <c r="G362" t="s">
        <v>9543</v>
      </c>
    </row>
    <row r="363" spans="1:7" ht="11.25" customHeight="1">
      <c r="A363" t="s">
        <v>14</v>
      </c>
      <c r="B363" t="s">
        <v>9544</v>
      </c>
      <c r="C363" t="s">
        <v>9545</v>
      </c>
      <c r="D363" t="s">
        <v>9544</v>
      </c>
      <c r="E363" t="s">
        <v>9545</v>
      </c>
      <c r="F363" t="s">
        <v>8532</v>
      </c>
      <c r="G363" t="s">
        <v>9546</v>
      </c>
    </row>
    <row r="364" spans="1:7" ht="11.25" customHeight="1">
      <c r="A364" t="s">
        <v>14</v>
      </c>
      <c r="B364" t="s">
        <v>9547</v>
      </c>
      <c r="C364" t="s">
        <v>9548</v>
      </c>
      <c r="D364" t="s">
        <v>9547</v>
      </c>
      <c r="E364" t="s">
        <v>9548</v>
      </c>
      <c r="F364" t="s">
        <v>8532</v>
      </c>
      <c r="G364" t="s">
        <v>9549</v>
      </c>
    </row>
    <row r="365" spans="1:7" ht="11.25" customHeight="1">
      <c r="A365" t="s">
        <v>14</v>
      </c>
      <c r="B365" t="s">
        <v>9550</v>
      </c>
      <c r="C365" t="s">
        <v>9551</v>
      </c>
      <c r="D365" t="s">
        <v>9550</v>
      </c>
      <c r="E365" t="s">
        <v>9551</v>
      </c>
      <c r="F365" t="s">
        <v>8532</v>
      </c>
      <c r="G365" t="s">
        <v>9552</v>
      </c>
    </row>
    <row r="366" spans="1:7" ht="11.25" customHeight="1">
      <c r="A366" t="s">
        <v>14</v>
      </c>
      <c r="B366" t="s">
        <v>9553</v>
      </c>
      <c r="C366" t="s">
        <v>9554</v>
      </c>
      <c r="D366" t="s">
        <v>9553</v>
      </c>
      <c r="E366" t="s">
        <v>9554</v>
      </c>
      <c r="F366" t="s">
        <v>8532</v>
      </c>
      <c r="G366" t="s">
        <v>9555</v>
      </c>
    </row>
    <row r="367" spans="1:7" ht="11.25" customHeight="1">
      <c r="A367" t="s">
        <v>14</v>
      </c>
      <c r="B367" t="s">
        <v>9556</v>
      </c>
      <c r="C367" t="s">
        <v>9557</v>
      </c>
      <c r="D367" t="s">
        <v>9556</v>
      </c>
      <c r="E367" t="s">
        <v>9557</v>
      </c>
      <c r="F367" t="s">
        <v>8532</v>
      </c>
      <c r="G367" t="s">
        <v>9558</v>
      </c>
    </row>
    <row r="368" spans="1:7" ht="11.25" customHeight="1">
      <c r="A368" t="s">
        <v>14</v>
      </c>
      <c r="B368" t="s">
        <v>9559</v>
      </c>
      <c r="C368" t="s">
        <v>9560</v>
      </c>
      <c r="D368" t="s">
        <v>9559</v>
      </c>
      <c r="E368" t="s">
        <v>9560</v>
      </c>
      <c r="F368" t="s">
        <v>8532</v>
      </c>
      <c r="G368" t="s">
        <v>9561</v>
      </c>
    </row>
    <row r="369" spans="1:7" ht="11.25" customHeight="1">
      <c r="A369" t="s">
        <v>14</v>
      </c>
      <c r="B369" t="s">
        <v>9562</v>
      </c>
      <c r="C369" t="s">
        <v>9563</v>
      </c>
      <c r="D369" t="s">
        <v>9562</v>
      </c>
      <c r="E369" t="s">
        <v>9563</v>
      </c>
      <c r="F369" t="s">
        <v>8532</v>
      </c>
      <c r="G369" t="s">
        <v>9564</v>
      </c>
    </row>
    <row r="370" spans="1:7" ht="11.25" customHeight="1">
      <c r="A370" t="s">
        <v>14</v>
      </c>
      <c r="B370" t="s">
        <v>9565</v>
      </c>
      <c r="C370" t="s">
        <v>9566</v>
      </c>
      <c r="D370" t="s">
        <v>9565</v>
      </c>
      <c r="E370" t="s">
        <v>9566</v>
      </c>
      <c r="F370" t="s">
        <v>8532</v>
      </c>
      <c r="G370" t="s">
        <v>9567</v>
      </c>
    </row>
    <row r="371" spans="1:7" ht="11.25" customHeight="1">
      <c r="A371" t="s">
        <v>14</v>
      </c>
      <c r="B371" t="s">
        <v>9568</v>
      </c>
      <c r="C371" t="s">
        <v>9569</v>
      </c>
      <c r="D371" t="s">
        <v>9568</v>
      </c>
      <c r="E371" t="s">
        <v>9569</v>
      </c>
      <c r="F371" t="s">
        <v>8532</v>
      </c>
      <c r="G371" t="s">
        <v>9570</v>
      </c>
    </row>
    <row r="372" spans="1:7" ht="11.25" customHeight="1">
      <c r="A372" t="s">
        <v>14</v>
      </c>
      <c r="B372" t="s">
        <v>9571</v>
      </c>
      <c r="C372" t="s">
        <v>9572</v>
      </c>
      <c r="D372" t="s">
        <v>9571</v>
      </c>
      <c r="E372" t="s">
        <v>9572</v>
      </c>
      <c r="F372" t="s">
        <v>8532</v>
      </c>
      <c r="G372" t="s">
        <v>9573</v>
      </c>
    </row>
    <row r="373" spans="1:7" ht="11.25" customHeight="1">
      <c r="A373" t="s">
        <v>14</v>
      </c>
      <c r="B373" t="s">
        <v>9574</v>
      </c>
      <c r="C373" t="s">
        <v>9575</v>
      </c>
      <c r="D373" t="s">
        <v>9574</v>
      </c>
      <c r="E373" t="s">
        <v>9575</v>
      </c>
      <c r="F373" t="s">
        <v>8532</v>
      </c>
      <c r="G373" t="s">
        <v>9576</v>
      </c>
    </row>
    <row r="374" spans="1:7" ht="11.25" customHeight="1">
      <c r="A374" t="s">
        <v>14</v>
      </c>
      <c r="B374" t="s">
        <v>9577</v>
      </c>
      <c r="C374" t="s">
        <v>9578</v>
      </c>
      <c r="D374" t="s">
        <v>9577</v>
      </c>
      <c r="E374" t="s">
        <v>9578</v>
      </c>
      <c r="F374" t="s">
        <v>8532</v>
      </c>
      <c r="G374" t="s">
        <v>9579</v>
      </c>
    </row>
    <row r="375" spans="1:7" ht="11.25" customHeight="1">
      <c r="A375" t="s">
        <v>14</v>
      </c>
      <c r="B375" t="s">
        <v>9580</v>
      </c>
      <c r="C375" t="s">
        <v>9581</v>
      </c>
      <c r="D375" t="s">
        <v>9580</v>
      </c>
      <c r="E375" t="s">
        <v>9581</v>
      </c>
      <c r="F375" t="s">
        <v>8532</v>
      </c>
      <c r="G375" t="s">
        <v>9582</v>
      </c>
    </row>
    <row r="376" spans="1:7" ht="11.25" customHeight="1">
      <c r="A376" t="s">
        <v>14</v>
      </c>
      <c r="B376" t="s">
        <v>9583</v>
      </c>
      <c r="C376" t="s">
        <v>9584</v>
      </c>
      <c r="D376" t="s">
        <v>9583</v>
      </c>
      <c r="E376" t="s">
        <v>9584</v>
      </c>
      <c r="F376" t="s">
        <v>8532</v>
      </c>
      <c r="G376" t="s">
        <v>9585</v>
      </c>
    </row>
    <row r="377" spans="1:7" ht="11.25" customHeight="1">
      <c r="A377" t="s">
        <v>14</v>
      </c>
      <c r="B377" t="s">
        <v>9586</v>
      </c>
      <c r="C377" t="s">
        <v>9587</v>
      </c>
      <c r="D377" t="s">
        <v>9586</v>
      </c>
      <c r="E377" t="s">
        <v>9587</v>
      </c>
      <c r="F377" t="s">
        <v>8532</v>
      </c>
      <c r="G377" t="s">
        <v>9588</v>
      </c>
    </row>
    <row r="378" spans="1:7" ht="11.25" customHeight="1">
      <c r="A378" t="s">
        <v>14</v>
      </c>
      <c r="B378" t="s">
        <v>9589</v>
      </c>
      <c r="C378" t="s">
        <v>9590</v>
      </c>
      <c r="D378" t="s">
        <v>9589</v>
      </c>
      <c r="E378" t="s">
        <v>9590</v>
      </c>
      <c r="F378" t="s">
        <v>8532</v>
      </c>
      <c r="G378" t="s">
        <v>9591</v>
      </c>
    </row>
    <row r="379" spans="1:7" ht="11.25" customHeight="1">
      <c r="A379" t="s">
        <v>14</v>
      </c>
      <c r="B379" t="s">
        <v>9592</v>
      </c>
      <c r="C379" t="s">
        <v>9593</v>
      </c>
      <c r="D379" t="s">
        <v>9592</v>
      </c>
      <c r="E379" t="s">
        <v>9593</v>
      </c>
      <c r="F379" t="s">
        <v>8532</v>
      </c>
      <c r="G379" t="s">
        <v>9594</v>
      </c>
    </row>
    <row r="380" spans="1:7" ht="11.25" customHeight="1">
      <c r="A380" t="s">
        <v>14</v>
      </c>
      <c r="B380" t="s">
        <v>9595</v>
      </c>
      <c r="C380" t="s">
        <v>9596</v>
      </c>
      <c r="D380" t="s">
        <v>9595</v>
      </c>
      <c r="E380" t="s">
        <v>9596</v>
      </c>
      <c r="F380" t="s">
        <v>8532</v>
      </c>
      <c r="G380" t="s">
        <v>9597</v>
      </c>
    </row>
    <row r="381" spans="1:7" ht="11.25" customHeight="1">
      <c r="A381" t="s">
        <v>14</v>
      </c>
      <c r="B381" t="s">
        <v>9598</v>
      </c>
      <c r="C381" t="s">
        <v>9599</v>
      </c>
      <c r="D381" t="s">
        <v>9598</v>
      </c>
      <c r="E381" t="s">
        <v>9599</v>
      </c>
      <c r="F381" t="s">
        <v>8532</v>
      </c>
      <c r="G381" t="s">
        <v>9600</v>
      </c>
    </row>
    <row r="382" spans="1:7" ht="11.25" customHeight="1">
      <c r="A382" t="s">
        <v>14</v>
      </c>
      <c r="B382" t="s">
        <v>9601</v>
      </c>
      <c r="C382" t="s">
        <v>9602</v>
      </c>
      <c r="D382" t="s">
        <v>9601</v>
      </c>
      <c r="E382" t="s">
        <v>9602</v>
      </c>
      <c r="F382" t="s">
        <v>8532</v>
      </c>
      <c r="G382" t="s">
        <v>9603</v>
      </c>
    </row>
    <row r="383" spans="1:7" ht="11.25" customHeight="1">
      <c r="A383" t="s">
        <v>14</v>
      </c>
      <c r="B383" t="s">
        <v>9604</v>
      </c>
      <c r="C383" t="s">
        <v>9605</v>
      </c>
      <c r="D383" t="s">
        <v>9604</v>
      </c>
      <c r="E383" t="s">
        <v>9605</v>
      </c>
      <c r="F383" t="s">
        <v>8532</v>
      </c>
      <c r="G383" t="s">
        <v>9606</v>
      </c>
    </row>
    <row r="384" spans="1:7" ht="11.25" customHeight="1">
      <c r="A384" t="s">
        <v>14</v>
      </c>
      <c r="B384" t="s">
        <v>9607</v>
      </c>
      <c r="C384" t="s">
        <v>9608</v>
      </c>
      <c r="D384" t="s">
        <v>9607</v>
      </c>
      <c r="E384" t="s">
        <v>9608</v>
      </c>
      <c r="F384" t="s">
        <v>8532</v>
      </c>
      <c r="G384" t="s">
        <v>9609</v>
      </c>
    </row>
    <row r="385" spans="1:7" ht="11.25" customHeight="1">
      <c r="A385" t="s">
        <v>14</v>
      </c>
      <c r="B385" t="s">
        <v>9610</v>
      </c>
      <c r="C385" t="s">
        <v>9611</v>
      </c>
      <c r="D385" t="s">
        <v>9610</v>
      </c>
      <c r="E385" t="s">
        <v>9611</v>
      </c>
      <c r="F385" t="s">
        <v>8532</v>
      </c>
      <c r="G385" t="s">
        <v>9612</v>
      </c>
    </row>
    <row r="386" spans="1:7" ht="11.25" customHeight="1">
      <c r="A386" t="s">
        <v>14</v>
      </c>
      <c r="B386" t="s">
        <v>9613</v>
      </c>
      <c r="C386" t="s">
        <v>9614</v>
      </c>
      <c r="D386" t="s">
        <v>9613</v>
      </c>
      <c r="E386" t="s">
        <v>9614</v>
      </c>
      <c r="F386" t="s">
        <v>8532</v>
      </c>
      <c r="G386" t="s">
        <v>9615</v>
      </c>
    </row>
    <row r="387" spans="1:7" ht="11.25" customHeight="1">
      <c r="A387" t="s">
        <v>14</v>
      </c>
      <c r="B387" t="s">
        <v>9616</v>
      </c>
      <c r="C387" t="s">
        <v>9617</v>
      </c>
      <c r="D387" t="s">
        <v>9616</v>
      </c>
      <c r="E387" t="s">
        <v>9617</v>
      </c>
      <c r="F387" t="s">
        <v>8532</v>
      </c>
      <c r="G387" t="s">
        <v>9618</v>
      </c>
    </row>
    <row r="388" spans="1:7" ht="11.25" customHeight="1">
      <c r="A388" t="s">
        <v>14</v>
      </c>
      <c r="B388" t="s">
        <v>9619</v>
      </c>
      <c r="C388" t="s">
        <v>9620</v>
      </c>
      <c r="D388" t="s">
        <v>9619</v>
      </c>
      <c r="E388" t="s">
        <v>9620</v>
      </c>
      <c r="F388" t="s">
        <v>8532</v>
      </c>
      <c r="G388" t="s">
        <v>9621</v>
      </c>
    </row>
    <row r="389" spans="1:7" ht="11.25" customHeight="1">
      <c r="A389" t="s">
        <v>14</v>
      </c>
      <c r="B389" t="s">
        <v>9622</v>
      </c>
      <c r="C389" t="s">
        <v>9623</v>
      </c>
      <c r="D389" t="s">
        <v>9622</v>
      </c>
      <c r="E389" t="s">
        <v>9623</v>
      </c>
      <c r="F389" t="s">
        <v>8532</v>
      </c>
      <c r="G389" t="s">
        <v>9624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5190"/>
    <col min="2" max="2" width="84.28515625" style="5190" customWidth="1"/>
    <col min="3" max="3" width="9.140625" style="5190"/>
  </cols>
  <sheetData>
    <row r="1" spans="1:3" ht="11.25" customHeight="1">
      <c r="A1" s="734" t="s">
        <v>9641</v>
      </c>
      <c r="B1" s="734" t="s">
        <v>9642</v>
      </c>
      <c r="C1" s="734" t="s">
        <v>1170</v>
      </c>
    </row>
    <row r="2" spans="1:3" ht="11.25" customHeight="1">
      <c r="A2" s="734">
        <v>4189678</v>
      </c>
      <c r="B2" s="734" t="s">
        <v>9643</v>
      </c>
      <c r="C2" s="734" t="s">
        <v>9644</v>
      </c>
    </row>
    <row r="3" spans="1:3" ht="11.25" customHeight="1">
      <c r="A3" s="734">
        <v>4190415</v>
      </c>
      <c r="B3" s="734" t="s">
        <v>9645</v>
      </c>
      <c r="C3" s="734" t="s">
        <v>9644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5192" customWidth="1"/>
    <col min="2" max="5" width="9.140625" style="5192"/>
  </cols>
  <sheetData>
    <row r="1" spans="1:5" ht="15" customHeight="1">
      <c r="A1" s="86" t="s">
        <v>9646</v>
      </c>
      <c r="B1" s="86" t="s">
        <v>9647</v>
      </c>
      <c r="C1" s="86"/>
      <c r="D1" s="86"/>
      <c r="E1" s="86"/>
    </row>
    <row r="2" spans="1:5" ht="15" customHeight="1">
      <c r="A2" s="86"/>
      <c r="B2" s="86"/>
      <c r="C2" s="86"/>
      <c r="D2" s="86"/>
      <c r="E2" s="86"/>
    </row>
    <row r="3" spans="1:5" ht="15" customHeight="1">
      <c r="A3" s="86"/>
      <c r="B3" s="86"/>
      <c r="C3" s="86"/>
      <c r="D3" s="86"/>
      <c r="E3" s="86"/>
    </row>
    <row r="4" spans="1:5" ht="15" customHeight="1">
      <c r="A4" s="86"/>
      <c r="B4" s="86"/>
      <c r="C4" s="86"/>
      <c r="D4" s="86"/>
      <c r="E4" s="86"/>
    </row>
    <row r="5" spans="1:5" ht="15" customHeight="1">
      <c r="A5" s="86"/>
      <c r="B5" s="86"/>
      <c r="C5" s="86"/>
      <c r="D5" s="86"/>
      <c r="E5" s="86"/>
    </row>
    <row r="6" spans="1:5" ht="15" customHeight="1">
      <c r="A6" s="86"/>
      <c r="B6" s="86"/>
      <c r="C6" s="86"/>
      <c r="D6" s="86"/>
      <c r="E6" s="86"/>
    </row>
    <row r="7" spans="1:5" ht="15" customHeight="1">
      <c r="A7" s="86"/>
      <c r="B7" s="86"/>
      <c r="C7" s="86"/>
      <c r="D7" s="86"/>
      <c r="E7" s="86"/>
    </row>
    <row r="8" spans="1:5" ht="15" customHeight="1">
      <c r="A8" s="86"/>
      <c r="B8" s="86"/>
      <c r="C8" s="86"/>
      <c r="D8" s="86"/>
      <c r="E8" s="8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9648</v>
      </c>
      <c r="B1" t="b">
        <v>1</v>
      </c>
    </row>
    <row r="2" spans="1:2" ht="11.25" customHeight="1">
      <c r="A2" t="s">
        <v>9649</v>
      </c>
      <c r="B2" t="b">
        <v>0</v>
      </c>
    </row>
    <row r="3" spans="1:2" ht="11.25" customHeight="1">
      <c r="A3" t="s">
        <v>9650</v>
      </c>
      <c r="B3" t="b">
        <v>0</v>
      </c>
    </row>
    <row r="4" spans="1:2" ht="11.25" customHeight="1">
      <c r="A4" t="s">
        <v>9651</v>
      </c>
      <c r="B4" t="b">
        <v>0</v>
      </c>
    </row>
    <row r="5" spans="1:2" ht="11.25" customHeight="1">
      <c r="A5" t="s">
        <v>9652</v>
      </c>
      <c r="B5" t="b">
        <v>0</v>
      </c>
    </row>
    <row r="6" spans="1:2" ht="11.25" customHeight="1">
      <c r="A6" t="s">
        <v>9653</v>
      </c>
      <c r="B6" t="b">
        <v>1</v>
      </c>
    </row>
    <row r="7" spans="1:2" ht="11.25" customHeight="1">
      <c r="A7" t="s">
        <v>9654</v>
      </c>
      <c r="B7" t="b">
        <v>0</v>
      </c>
    </row>
    <row r="8" spans="1:2" ht="11.25" customHeight="1">
      <c r="A8" t="s">
        <v>9655</v>
      </c>
      <c r="B8" t="b">
        <v>0</v>
      </c>
    </row>
    <row r="9" spans="1:2" ht="11.25" customHeight="1">
      <c r="A9" t="s">
        <v>9656</v>
      </c>
      <c r="B9" t="b">
        <v>1</v>
      </c>
    </row>
    <row r="10" spans="1:2" ht="11.25" customHeight="1">
      <c r="A10" t="s">
        <v>9657</v>
      </c>
      <c r="B10" t="b">
        <v>0</v>
      </c>
    </row>
    <row r="11" spans="1:2" ht="11.25" customHeight="1">
      <c r="A11" t="s">
        <v>9658</v>
      </c>
      <c r="B11" t="b">
        <v>0</v>
      </c>
    </row>
    <row r="12" spans="1:2" ht="11.25" customHeight="1">
      <c r="A12" t="s">
        <v>9659</v>
      </c>
      <c r="B12" t="b">
        <v>0</v>
      </c>
    </row>
    <row r="13" spans="1:2" ht="11.25" customHeight="1">
      <c r="A13" t="s">
        <v>9660</v>
      </c>
      <c r="B13" t="b">
        <v>0</v>
      </c>
    </row>
    <row r="14" spans="1:2" ht="11.25" customHeight="1">
      <c r="A14" t="s">
        <v>9661</v>
      </c>
      <c r="B14" t="b">
        <v>0</v>
      </c>
    </row>
    <row r="15" spans="1:2" ht="11.25" customHeight="1">
      <c r="A15" t="s">
        <v>9662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5193"/>
  </cols>
  <sheetData>
    <row r="1" spans="1:1" ht="12.75" customHeight="1">
      <c r="A1" s="30"/>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5194" customWidth="1"/>
    <col min="2" max="2" width="21.140625" style="5194" customWidth="1"/>
  </cols>
  <sheetData>
    <row r="1" spans="1:2" ht="11.25" customHeight="1">
      <c r="A1" s="6" t="s">
        <v>9663</v>
      </c>
      <c r="B1" s="6" t="s">
        <v>9664</v>
      </c>
    </row>
    <row r="2" spans="1:2" ht="11.25" customHeight="1">
      <c r="A2" s="3" t="s">
        <v>9665</v>
      </c>
      <c r="B2" s="3" t="s">
        <v>9666</v>
      </c>
    </row>
    <row r="3" spans="1:2" ht="11.25" customHeight="1">
      <c r="A3" s="3" t="s">
        <v>9667</v>
      </c>
      <c r="B3" s="3" t="s">
        <v>9668</v>
      </c>
    </row>
    <row r="4" spans="1:2" ht="11.25" customHeight="1">
      <c r="A4" s="3" t="s">
        <v>9669</v>
      </c>
      <c r="B4" s="3" t="s">
        <v>9670</v>
      </c>
    </row>
    <row r="5" spans="1:2" ht="11.25" customHeight="1">
      <c r="A5" s="3" t="s">
        <v>9671</v>
      </c>
      <c r="B5" s="3" t="s">
        <v>9672</v>
      </c>
    </row>
    <row r="6" spans="1:2" ht="11.25" customHeight="1">
      <c r="A6" s="3" t="s">
        <v>9673</v>
      </c>
      <c r="B6" s="3" t="s">
        <v>9674</v>
      </c>
    </row>
    <row r="7" spans="1:2" ht="11.25" customHeight="1">
      <c r="A7" s="3" t="s">
        <v>9675</v>
      </c>
      <c r="B7" s="3" t="s">
        <v>9676</v>
      </c>
    </row>
    <row r="8" spans="1:2" ht="11.25" customHeight="1">
      <c r="A8" s="3" t="s">
        <v>9677</v>
      </c>
      <c r="B8" s="3" t="s">
        <v>9678</v>
      </c>
    </row>
    <row r="9" spans="1:2" ht="11.25" customHeight="1">
      <c r="A9" s="3" t="s">
        <v>9679</v>
      </c>
      <c r="B9" s="3" t="s">
        <v>9680</v>
      </c>
    </row>
    <row r="10" spans="1:2" ht="11.25" customHeight="1">
      <c r="A10" s="3" t="s">
        <v>9681</v>
      </c>
      <c r="B10" s="3" t="s">
        <v>9682</v>
      </c>
    </row>
    <row r="11" spans="1:2" ht="11.25" customHeight="1">
      <c r="A11" s="3" t="s">
        <v>9683</v>
      </c>
      <c r="B11" s="3" t="s">
        <v>9684</v>
      </c>
    </row>
    <row r="12" spans="1:2" ht="11.25" customHeight="1">
      <c r="A12" s="3" t="s">
        <v>9685</v>
      </c>
      <c r="B12" s="3" t="s">
        <v>9686</v>
      </c>
    </row>
    <row r="13" spans="1:2" ht="11.25" customHeight="1">
      <c r="A13" s="3" t="s">
        <v>9687</v>
      </c>
      <c r="B13" s="3" t="s">
        <v>9688</v>
      </c>
    </row>
    <row r="14" spans="1:2" ht="11.25" customHeight="1">
      <c r="A14" s="3" t="s">
        <v>9689</v>
      </c>
      <c r="B14" s="3" t="s">
        <v>9690</v>
      </c>
    </row>
    <row r="15" spans="1:2" ht="11.25" customHeight="1">
      <c r="A15" s="3" t="s">
        <v>9691</v>
      </c>
      <c r="B15" s="3" t="s">
        <v>9692</v>
      </c>
    </row>
    <row r="16" spans="1:2" ht="11.25" customHeight="1">
      <c r="A16" s="3" t="s">
        <v>9693</v>
      </c>
      <c r="B16" s="3" t="s">
        <v>9694</v>
      </c>
    </row>
    <row r="17" spans="1:2" ht="11.25" customHeight="1">
      <c r="A17" s="3" t="s">
        <v>9695</v>
      </c>
      <c r="B17" s="3" t="s">
        <v>9696</v>
      </c>
    </row>
    <row r="18" spans="1:2" ht="11.25" customHeight="1">
      <c r="A18" s="3" t="s">
        <v>9697</v>
      </c>
      <c r="B18" s="3" t="s">
        <v>9698</v>
      </c>
    </row>
    <row r="19" spans="1:2" ht="11.25" customHeight="1">
      <c r="A19" s="3" t="s">
        <v>9699</v>
      </c>
      <c r="B19" s="3" t="s">
        <v>9700</v>
      </c>
    </row>
    <row r="20" spans="1:2" ht="11.25" customHeight="1">
      <c r="A20" s="3" t="s">
        <v>9701</v>
      </c>
      <c r="B20" s="3" t="s">
        <v>9702</v>
      </c>
    </row>
    <row r="21" spans="1:2" ht="11.25" customHeight="1">
      <c r="A21" s="3" t="s">
        <v>9703</v>
      </c>
      <c r="B21" s="3" t="s">
        <v>9704</v>
      </c>
    </row>
    <row r="22" spans="1:2" ht="11.25" customHeight="1">
      <c r="A22" s="3" t="s">
        <v>9705</v>
      </c>
      <c r="B22" s="3" t="s">
        <v>9706</v>
      </c>
    </row>
    <row r="23" spans="1:2" ht="11.25" customHeight="1">
      <c r="A23" s="3" t="s">
        <v>9707</v>
      </c>
      <c r="B23" s="3" t="s">
        <v>9708</v>
      </c>
    </row>
    <row r="24" spans="1:2" ht="11.25" customHeight="1">
      <c r="A24" s="3" t="s">
        <v>9709</v>
      </c>
      <c r="B24" s="3" t="s">
        <v>9710</v>
      </c>
    </row>
    <row r="25" spans="1:2" ht="11.25" customHeight="1">
      <c r="A25" s="3" t="s">
        <v>9711</v>
      </c>
      <c r="B25" s="3" t="s">
        <v>9712</v>
      </c>
    </row>
    <row r="26" spans="1:2" ht="11.25" customHeight="1">
      <c r="A26" s="3" t="s">
        <v>9713</v>
      </c>
      <c r="B26" s="3" t="s">
        <v>9714</v>
      </c>
    </row>
    <row r="27" spans="1:2" ht="11.25" customHeight="1">
      <c r="A27" s="3" t="s">
        <v>9715</v>
      </c>
      <c r="B27" s="3" t="s">
        <v>9716</v>
      </c>
    </row>
    <row r="28" spans="1:2" ht="11.25" customHeight="1">
      <c r="A28" s="3" t="s">
        <v>9717</v>
      </c>
      <c r="B28" s="3" t="s">
        <v>9718</v>
      </c>
    </row>
    <row r="29" spans="1:2" ht="11.25" customHeight="1">
      <c r="A29" s="3" t="s">
        <v>9719</v>
      </c>
      <c r="B29" s="3" t="s">
        <v>9720</v>
      </c>
    </row>
    <row r="30" spans="1:2" ht="11.25" customHeight="1">
      <c r="A30" s="3" t="s">
        <v>9721</v>
      </c>
      <c r="B30" s="3" t="s">
        <v>9722</v>
      </c>
    </row>
    <row r="31" spans="1:2" ht="11.25" customHeight="1">
      <c r="A31" s="3" t="s">
        <v>9723</v>
      </c>
      <c r="B31" s="3" t="s">
        <v>9724</v>
      </c>
    </row>
    <row r="32" spans="1:2" ht="11.25" customHeight="1">
      <c r="A32" s="3" t="s">
        <v>9725</v>
      </c>
      <c r="B32" s="3" t="s">
        <v>9726</v>
      </c>
    </row>
    <row r="33" spans="1:2" ht="11.25" customHeight="1">
      <c r="A33" s="3" t="s">
        <v>9727</v>
      </c>
      <c r="B33" s="3" t="s">
        <v>9728</v>
      </c>
    </row>
    <row r="34" spans="1:2" ht="11.25" customHeight="1">
      <c r="A34" s="3" t="s">
        <v>9729</v>
      </c>
      <c r="B34" s="3" t="s">
        <v>9730</v>
      </c>
    </row>
    <row r="35" spans="1:2" ht="11.25" customHeight="1">
      <c r="A35" s="3" t="s">
        <v>9731</v>
      </c>
      <c r="B35" s="3" t="s">
        <v>9732</v>
      </c>
    </row>
    <row r="36" spans="1:2" ht="11.25" customHeight="1">
      <c r="A36" s="3" t="s">
        <v>9733</v>
      </c>
      <c r="B36" s="3" t="s">
        <v>9734</v>
      </c>
    </row>
    <row r="37" spans="1:2" ht="11.25" customHeight="1">
      <c r="A37" s="3" t="s">
        <v>9735</v>
      </c>
      <c r="B37" s="3" t="s">
        <v>9736</v>
      </c>
    </row>
    <row r="38" spans="1:2" ht="11.25" customHeight="1">
      <c r="A38" s="3" t="s">
        <v>9737</v>
      </c>
      <c r="B38" s="3" t="s">
        <v>9738</v>
      </c>
    </row>
    <row r="39" spans="1:2" ht="11.25" customHeight="1">
      <c r="A39" s="3" t="s">
        <v>9739</v>
      </c>
      <c r="B39" s="3" t="s">
        <v>9740</v>
      </c>
    </row>
    <row r="40" spans="1:2" ht="11.25" customHeight="1">
      <c r="A40" s="3" t="s">
        <v>9741</v>
      </c>
      <c r="B40" s="3" t="s">
        <v>9742</v>
      </c>
    </row>
    <row r="41" spans="1:2" ht="11.25" customHeight="1">
      <c r="A41" s="3" t="s">
        <v>9743</v>
      </c>
      <c r="B41" s="3" t="s">
        <v>9744</v>
      </c>
    </row>
    <row r="42" spans="1:2" ht="11.25" customHeight="1">
      <c r="A42" s="3" t="s">
        <v>9745</v>
      </c>
      <c r="B42" s="3" t="s">
        <v>9746</v>
      </c>
    </row>
    <row r="43" spans="1:2" ht="11.25" customHeight="1">
      <c r="A43" s="3" t="s">
        <v>9747</v>
      </c>
      <c r="B43" s="3" t="s">
        <v>9748</v>
      </c>
    </row>
    <row r="44" spans="1:2" ht="11.25" customHeight="1">
      <c r="A44" s="3" t="s">
        <v>9749</v>
      </c>
      <c r="B44" s="3" t="s">
        <v>9750</v>
      </c>
    </row>
    <row r="45" spans="1:2" ht="11.25" customHeight="1">
      <c r="A45" s="3" t="s">
        <v>9751</v>
      </c>
      <c r="B45" s="3" t="s">
        <v>9752</v>
      </c>
    </row>
    <row r="46" spans="1:2" ht="11.25" customHeight="1">
      <c r="A46" s="3" t="s">
        <v>9753</v>
      </c>
      <c r="B46" s="3" t="s">
        <v>9754</v>
      </c>
    </row>
    <row r="47" spans="1:2" ht="11.25" customHeight="1">
      <c r="A47" s="3" t="s">
        <v>9755</v>
      </c>
      <c r="B47" s="3" t="s">
        <v>9756</v>
      </c>
    </row>
    <row r="48" spans="1:2" ht="11.25" customHeight="1">
      <c r="A48" s="3" t="s">
        <v>9757</v>
      </c>
      <c r="B48" s="3" t="s">
        <v>9758</v>
      </c>
    </row>
    <row r="49" spans="1:2" ht="11.25" customHeight="1">
      <c r="A49" s="3" t="s">
        <v>9759</v>
      </c>
      <c r="B49" s="3" t="s">
        <v>9760</v>
      </c>
    </row>
    <row r="50" spans="1:2" ht="11.25" customHeight="1">
      <c r="A50" s="3" t="s">
        <v>9761</v>
      </c>
      <c r="B50" s="3" t="s">
        <v>9762</v>
      </c>
    </row>
    <row r="51" spans="1:2" ht="11.25" customHeight="1">
      <c r="A51" s="3" t="s">
        <v>9763</v>
      </c>
      <c r="B51" s="3" t="s">
        <v>9764</v>
      </c>
    </row>
    <row r="52" spans="1:2" ht="11.25" customHeight="1">
      <c r="A52" s="3" t="s">
        <v>9765</v>
      </c>
      <c r="B52" s="3" t="s">
        <v>9766</v>
      </c>
    </row>
    <row r="53" spans="1:2" ht="11.25" customHeight="1">
      <c r="A53" s="3" t="s">
        <v>9767</v>
      </c>
      <c r="B53" s="3" t="s">
        <v>9768</v>
      </c>
    </row>
    <row r="54" spans="1:2" ht="11.25" customHeight="1">
      <c r="A54" s="3" t="s">
        <v>9769</v>
      </c>
      <c r="B54" s="3" t="s">
        <v>9770</v>
      </c>
    </row>
    <row r="55" spans="1:2" ht="11.25" customHeight="1">
      <c r="A55" s="3" t="s">
        <v>9771</v>
      </c>
      <c r="B55" s="3" t="s">
        <v>9772</v>
      </c>
    </row>
    <row r="56" spans="1:2" ht="11.25" customHeight="1">
      <c r="A56" s="3" t="s">
        <v>9773</v>
      </c>
      <c r="B56" s="3" t="s">
        <v>9774</v>
      </c>
    </row>
    <row r="57" spans="1:2" ht="11.25" customHeight="1">
      <c r="A57" s="3" t="s">
        <v>9775</v>
      </c>
      <c r="B57" s="3" t="s">
        <v>9776</v>
      </c>
    </row>
    <row r="58" spans="1:2" ht="11.25" customHeight="1">
      <c r="A58" s="3" t="s">
        <v>9777</v>
      </c>
      <c r="B58" s="3" t="s">
        <v>9778</v>
      </c>
    </row>
    <row r="59" spans="1:2" ht="11.25" customHeight="1">
      <c r="A59" s="3" t="s">
        <v>9779</v>
      </c>
      <c r="B59" s="3" t="s">
        <v>9780</v>
      </c>
    </row>
    <row r="60" spans="1:2" ht="11.25" customHeight="1">
      <c r="A60" s="3" t="s">
        <v>9781</v>
      </c>
      <c r="B60" s="3" t="s">
        <v>9782</v>
      </c>
    </row>
    <row r="61" spans="1:2" ht="11.25" customHeight="1">
      <c r="A61" s="3"/>
      <c r="B61" s="3" t="s">
        <v>9783</v>
      </c>
    </row>
    <row r="62" spans="1:2" ht="11.25" customHeight="1">
      <c r="A62" s="3"/>
      <c r="B62" s="3" t="s">
        <v>9784</v>
      </c>
    </row>
    <row r="63" spans="1:2" ht="11.25" customHeight="1">
      <c r="A63" s="3"/>
      <c r="B63" s="3" t="s">
        <v>9785</v>
      </c>
    </row>
    <row r="64" spans="1:2" ht="11.25" customHeight="1">
      <c r="A64" s="3"/>
      <c r="B64" s="3" t="s">
        <v>9786</v>
      </c>
    </row>
    <row r="65" spans="1:2" ht="11.25" customHeight="1">
      <c r="A65" s="3"/>
      <c r="B65" s="3" t="s">
        <v>9787</v>
      </c>
    </row>
    <row r="66" spans="1:2" ht="11.25" customHeight="1">
      <c r="A66" s="3"/>
      <c r="B66" s="3" t="s">
        <v>9788</v>
      </c>
    </row>
    <row r="67" spans="1:2" ht="11.25" customHeight="1">
      <c r="A67" s="3"/>
      <c r="B67" s="3" t="s">
        <v>9789</v>
      </c>
    </row>
    <row r="68" spans="1:2" ht="11.25" customHeight="1">
      <c r="A68" s="3"/>
      <c r="B68" s="3" t="s">
        <v>9790</v>
      </c>
    </row>
    <row r="69" spans="1:2" ht="11.25" customHeight="1">
      <c r="A69" s="3"/>
      <c r="B69" s="3" t="s">
        <v>9791</v>
      </c>
    </row>
    <row r="70" spans="1:2" ht="11.25" customHeight="1">
      <c r="A70" s="3"/>
      <c r="B70" s="3" t="s">
        <v>9792</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5195" customWidth="1"/>
    <col min="2" max="2" width="90.7109375" style="5195" customWidth="1"/>
    <col min="3" max="4" width="9.140625" style="5195"/>
  </cols>
  <sheetData>
    <row r="1" spans="2:4" ht="11.25" customHeight="1">
      <c r="B1" s="28" t="s">
        <v>9793</v>
      </c>
    </row>
    <row r="2" spans="2:4" ht="90" customHeight="1">
      <c r="B2" s="29" t="s">
        <v>9794</v>
      </c>
    </row>
    <row r="3" spans="2:4" ht="67.5" customHeight="1">
      <c r="B3" s="29" t="s">
        <v>9795</v>
      </c>
    </row>
    <row r="4" spans="2:4" ht="33.75" customHeight="1">
      <c r="B4" s="29" t="s">
        <v>9796</v>
      </c>
    </row>
    <row r="5" spans="2:4" ht="11.25" customHeight="1">
      <c r="B5" s="29" t="s">
        <v>9797</v>
      </c>
    </row>
    <row r="6" spans="2:4" ht="22.5" customHeight="1">
      <c r="B6" s="29" t="s">
        <v>9798</v>
      </c>
    </row>
    <row r="7" spans="2:4" ht="22.5" customHeight="1">
      <c r="B7" s="29" t="s">
        <v>9799</v>
      </c>
    </row>
    <row r="8" spans="2:4" ht="22.5" customHeight="1">
      <c r="B8" s="29" t="s">
        <v>9800</v>
      </c>
    </row>
    <row r="9" spans="2:4" ht="22.5" customHeight="1">
      <c r="B9" s="29" t="s">
        <v>9801</v>
      </c>
    </row>
    <row r="10" spans="2:4" ht="56.25" customHeight="1">
      <c r="B10" s="29" t="s">
        <v>9802</v>
      </c>
    </row>
    <row r="11" spans="2:4" ht="12.75" customHeight="1">
      <c r="B11" s="83" t="s">
        <v>9803</v>
      </c>
    </row>
    <row r="12" spans="2:4" ht="11.25" customHeight="1">
      <c r="B12" s="28" t="s">
        <v>9804</v>
      </c>
    </row>
    <row r="13" spans="2:4" ht="22.5" customHeight="1">
      <c r="B13" s="29" t="s">
        <v>9805</v>
      </c>
    </row>
    <row r="14" spans="2:4" ht="67.5" customHeight="1">
      <c r="B14" s="29" t="s">
        <v>9806</v>
      </c>
    </row>
    <row r="15" spans="2:4" ht="22.5" customHeight="1">
      <c r="B15" s="29" t="s">
        <v>9807</v>
      </c>
    </row>
    <row r="16" spans="2:4" ht="11.25" customHeight="1">
      <c r="B16" s="28" t="s">
        <v>9808</v>
      </c>
      <c r="D16" s="35"/>
    </row>
    <row r="17" spans="1:2" ht="33.75" customHeight="1">
      <c r="B17" s="29" t="s">
        <v>9809</v>
      </c>
    </row>
    <row r="18" spans="1:2" ht="33.75" customHeight="1">
      <c r="B18" s="29" t="s">
        <v>9810</v>
      </c>
    </row>
    <row r="19" spans="1:2" ht="11.25" customHeight="1">
      <c r="B19" s="29" t="s">
        <v>9811</v>
      </c>
    </row>
    <row r="20" spans="1:2" ht="33.75" customHeight="1">
      <c r="B20" s="29" t="s">
        <v>9812</v>
      </c>
    </row>
    <row r="21" spans="1:2" ht="11.25" customHeight="1">
      <c r="B21" s="28" t="s">
        <v>9813</v>
      </c>
    </row>
    <row r="22" spans="1:2" ht="11.25" customHeight="1">
      <c r="B22" s="29" t="s">
        <v>9814</v>
      </c>
    </row>
    <row r="24" spans="1:2" ht="22.5" customHeight="1">
      <c r="B24" s="85" t="s">
        <v>9815</v>
      </c>
    </row>
    <row r="26" spans="1:2" ht="11.25" customHeight="1">
      <c r="B26" s="28" t="s">
        <v>9816</v>
      </c>
    </row>
    <row r="27" spans="1:2" ht="22.5" customHeight="1">
      <c r="B27" s="84" t="s">
        <v>474</v>
      </c>
    </row>
    <row r="28" spans="1:2" ht="56.25" customHeight="1">
      <c r="B28" s="84" t="s">
        <v>9817</v>
      </c>
    </row>
    <row r="29" spans="1:2" ht="11.25" customHeight="1">
      <c r="B29" s="132" t="s">
        <v>9818</v>
      </c>
    </row>
    <row r="30" spans="1:2" ht="22.5" customHeight="1">
      <c r="B30" s="84" t="s">
        <v>9819</v>
      </c>
    </row>
    <row r="32" spans="1:2" ht="11.25" customHeight="1">
      <c r="A32" s="110"/>
      <c r="B32" s="111" t="s">
        <v>9820</v>
      </c>
    </row>
    <row r="33" spans="1:2" ht="14.25" customHeight="1">
      <c r="A33" s="112">
        <v>1</v>
      </c>
      <c r="B33" s="113" t="s">
        <v>9821</v>
      </c>
    </row>
    <row r="34" spans="1:2" ht="14.25" customHeight="1">
      <c r="A34" s="112">
        <v>2</v>
      </c>
      <c r="B34" s="113" t="s">
        <v>9822</v>
      </c>
    </row>
    <row r="35" spans="1:2" ht="11.25" customHeight="1">
      <c r="B35" s="111" t="s">
        <v>9823</v>
      </c>
    </row>
    <row r="36" spans="1:2" ht="11.25" customHeight="1">
      <c r="B36" s="113" t="s">
        <v>9824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4850" hidden="1" customWidth="1"/>
    <col min="2" max="2" width="9.140625" style="4851" hidden="1" customWidth="1"/>
    <col min="3" max="3" width="3.7109375" style="4843" customWidth="1"/>
    <col min="4" max="4" width="5.5703125" style="4851" customWidth="1"/>
    <col min="5" max="5" width="38.140625" style="4851" customWidth="1"/>
    <col min="6" max="7" width="3.7109375" style="4851" customWidth="1"/>
    <col min="8" max="8" width="38.28515625" style="4851" customWidth="1"/>
    <col min="9" max="9" width="35.7109375" style="4851" customWidth="1"/>
    <col min="10" max="10" width="103.7109375" style="4851" customWidth="1"/>
    <col min="11" max="11" width="3.7109375" style="4829" customWidth="1"/>
    <col min="12" max="14" width="10.5703125" style="4852"/>
    <col min="15" max="15" width="13.7109375" style="4852" customWidth="1"/>
    <col min="16" max="16" width="15.42578125" style="4852" customWidth="1"/>
    <col min="17" max="17" width="16.28515625" style="4852" customWidth="1"/>
    <col min="18" max="21" width="10.5703125" style="4852"/>
  </cols>
  <sheetData>
    <row r="1" spans="1:21" ht="14.25" hidden="1" customHeight="1">
      <c r="E1" s="328"/>
      <c r="F1" s="328"/>
      <c r="G1" s="328"/>
      <c r="H1" s="5222" t="s">
        <v>430</v>
      </c>
      <c r="I1" s="5222"/>
    </row>
    <row r="2" spans="1:21" s="4847" customFormat="1" ht="14.25" hidden="1" customHeight="1">
      <c r="C2" s="1483"/>
      <c r="D2" s="5356" t="s">
        <v>129</v>
      </c>
      <c r="E2" s="5358"/>
      <c r="F2" s="1489"/>
      <c r="G2" s="1484" t="s">
        <v>129</v>
      </c>
      <c r="H2" s="1487"/>
      <c r="I2" s="1485"/>
      <c r="L2" s="1486"/>
      <c r="M2" s="1486"/>
      <c r="N2" s="1486"/>
      <c r="O2" s="1486" t="s">
        <v>460</v>
      </c>
      <c r="P2" s="1486"/>
      <c r="Q2" s="1486"/>
      <c r="R2" s="1488" t="s">
        <v>459</v>
      </c>
      <c r="S2" s="1488" t="s">
        <v>459</v>
      </c>
      <c r="T2" s="1486"/>
      <c r="U2" s="1486"/>
    </row>
    <row r="3" spans="1:21" s="4847" customFormat="1" ht="14.25" hidden="1" customHeight="1">
      <c r="C3" s="1483"/>
      <c r="D3" s="5357"/>
      <c r="E3" s="5359"/>
      <c r="F3" s="321"/>
      <c r="G3" s="764"/>
      <c r="H3" s="764" t="s">
        <v>461</v>
      </c>
      <c r="I3" s="231"/>
      <c r="L3" s="1486"/>
      <c r="M3" s="1486"/>
      <c r="N3" s="1486"/>
      <c r="O3" s="1486"/>
      <c r="P3" s="1486"/>
      <c r="Q3" s="1486"/>
      <c r="R3" s="1488"/>
      <c r="S3" s="1488"/>
      <c r="T3" s="1486"/>
      <c r="U3" s="1486"/>
    </row>
    <row r="4" spans="1:21" ht="14.25" hidden="1" customHeight="1"/>
    <row r="5" spans="1:21" s="4848" customFormat="1" ht="6" customHeight="1">
      <c r="C5" s="602"/>
      <c r="D5" s="603"/>
      <c r="E5" s="603"/>
      <c r="F5" s="603"/>
      <c r="G5" s="603"/>
      <c r="H5" s="603" t="s">
        <v>434</v>
      </c>
      <c r="I5" s="603"/>
      <c r="J5" s="603"/>
      <c r="L5" s="1479"/>
      <c r="M5" s="1479"/>
      <c r="N5" s="1479"/>
      <c r="O5" s="1479"/>
      <c r="P5" s="1479"/>
      <c r="Q5" s="1479"/>
      <c r="R5" s="1479"/>
      <c r="S5" s="1479"/>
      <c r="T5" s="1479"/>
      <c r="U5" s="1479"/>
    </row>
    <row r="6" spans="1:21" ht="27.75" customHeight="1">
      <c r="C6" s="1388"/>
      <c r="D6" s="5360" t="s">
        <v>462</v>
      </c>
      <c r="E6" s="5360"/>
      <c r="F6" s="5360"/>
      <c r="G6" s="5360"/>
      <c r="H6" s="5360"/>
      <c r="I6" s="5360"/>
      <c r="J6" s="399"/>
      <c r="K6" s="1480"/>
    </row>
    <row r="7" spans="1:21" ht="17.25" customHeight="1">
      <c r="C7" s="1388"/>
      <c r="D7" s="5308" t="str">
        <f>IF(org=0,"Не определено",org)</f>
        <v>ООО «Газпром теплоэнерго МО»</v>
      </c>
      <c r="E7" s="5308"/>
      <c r="F7" s="5308"/>
      <c r="G7" s="5308"/>
      <c r="H7" s="5308"/>
      <c r="I7" s="5308"/>
      <c r="J7" s="399"/>
      <c r="K7" s="1480"/>
    </row>
    <row r="8" spans="1:21" s="4849" customFormat="1" ht="6" customHeight="1">
      <c r="A8" s="1478"/>
      <c r="C8" s="394"/>
      <c r="D8" s="393"/>
      <c r="E8" s="393"/>
      <c r="F8" s="393"/>
      <c r="G8" s="393"/>
      <c r="H8" s="393"/>
      <c r="I8" s="393"/>
      <c r="J8" s="393"/>
      <c r="L8" s="1479"/>
      <c r="M8" s="1479"/>
      <c r="N8" s="1479"/>
      <c r="O8" s="1479"/>
      <c r="P8" s="1479"/>
      <c r="Q8" s="1479"/>
      <c r="R8" s="1479"/>
      <c r="S8" s="1479"/>
      <c r="T8" s="1479"/>
      <c r="U8" s="1479"/>
    </row>
    <row r="9" spans="1:21" s="4849" customFormat="1" ht="6" customHeight="1">
      <c r="A9" s="1478"/>
      <c r="C9" s="394"/>
      <c r="D9" s="393"/>
      <c r="E9" s="393"/>
      <c r="F9" s="393"/>
      <c r="G9" s="393"/>
      <c r="H9" s="393"/>
      <c r="I9" s="393"/>
      <c r="J9" s="393"/>
      <c r="L9" s="1486"/>
      <c r="M9" s="1486"/>
      <c r="N9" s="1486"/>
      <c r="O9" s="1486"/>
      <c r="P9" s="1486"/>
      <c r="Q9" s="1486"/>
      <c r="R9" s="1486"/>
      <c r="S9" s="1486"/>
      <c r="T9" s="1486"/>
      <c r="U9" s="1486"/>
    </row>
    <row r="10" spans="1:21" ht="14.25" customHeight="1">
      <c r="C10" s="1388"/>
      <c r="D10" s="5344" t="s">
        <v>378</v>
      </c>
      <c r="E10" s="5345"/>
      <c r="F10" s="5345"/>
      <c r="G10" s="5345"/>
      <c r="H10" s="5345"/>
      <c r="I10" s="5345"/>
      <c r="J10" s="5272" t="s">
        <v>379</v>
      </c>
    </row>
    <row r="11" spans="1:21" ht="25.5" customHeight="1">
      <c r="C11" s="1388"/>
      <c r="D11" s="5244" t="s">
        <v>85</v>
      </c>
      <c r="E11" s="5272" t="s">
        <v>125</v>
      </c>
      <c r="F11" s="5322" t="s">
        <v>85</v>
      </c>
      <c r="G11" s="5323"/>
      <c r="H11" s="5307" t="s">
        <v>463</v>
      </c>
      <c r="I11" s="5307" t="s">
        <v>464</v>
      </c>
      <c r="J11" s="5272"/>
    </row>
    <row r="12" spans="1:21" ht="14.25" customHeight="1">
      <c r="C12" s="1388"/>
      <c r="D12" s="5244"/>
      <c r="E12" s="5272"/>
      <c r="F12" s="5327"/>
      <c r="G12" s="5328"/>
      <c r="H12" s="5355"/>
      <c r="I12" s="5355"/>
      <c r="J12" s="5272"/>
    </row>
    <row r="13" spans="1:21" s="4840" customFormat="1" ht="11.25" hidden="1" customHeight="1">
      <c r="C13" s="406"/>
      <c r="D13" s="407" t="s">
        <v>454</v>
      </c>
      <c r="E13" s="407"/>
      <c r="F13" s="407"/>
      <c r="G13" s="407"/>
      <c r="H13" s="405"/>
      <c r="I13" s="405"/>
      <c r="J13" s="349"/>
      <c r="L13" s="1479"/>
      <c r="M13" s="1479"/>
      <c r="N13" s="1479"/>
      <c r="O13" s="1479"/>
      <c r="P13" s="1479"/>
      <c r="Q13" s="1479"/>
      <c r="R13" s="1479"/>
      <c r="S13" s="1479"/>
      <c r="T13" s="1479"/>
      <c r="U13" s="1479"/>
    </row>
    <row r="14" spans="1:21" ht="14.25" customHeight="1">
      <c r="A14" s="1476"/>
      <c r="C14" s="1388"/>
      <c r="D14" s="5356" t="s">
        <v>129</v>
      </c>
      <c r="E14" s="5358"/>
      <c r="F14" s="1482"/>
      <c r="G14" s="1481" t="s">
        <v>129</v>
      </c>
      <c r="H14" s="1487"/>
      <c r="I14" s="1485"/>
      <c r="J14" s="5284" t="s">
        <v>465</v>
      </c>
      <c r="K14" s="1476"/>
      <c r="R14" s="408" t="s">
        <v>459</v>
      </c>
      <c r="S14" s="408" t="s">
        <v>459</v>
      </c>
    </row>
    <row r="15" spans="1:21" ht="14.25" customHeight="1">
      <c r="A15" s="1476"/>
      <c r="C15" s="1388"/>
      <c r="D15" s="5357"/>
      <c r="E15" s="5359"/>
      <c r="F15" s="321"/>
      <c r="G15" s="764"/>
      <c r="H15" s="764" t="s">
        <v>461</v>
      </c>
      <c r="I15" s="231"/>
      <c r="J15" s="5285"/>
      <c r="K15" s="1476"/>
      <c r="R15" s="408"/>
      <c r="S15" s="408"/>
    </row>
    <row r="16" spans="1:21" ht="14.25" customHeight="1">
      <c r="A16" s="1476"/>
      <c r="C16" s="1388"/>
      <c r="D16" s="321"/>
      <c r="E16" s="764" t="s">
        <v>139</v>
      </c>
      <c r="F16" s="231"/>
      <c r="G16" s="231"/>
      <c r="H16" s="322"/>
      <c r="I16" s="322"/>
      <c r="J16" s="5286"/>
      <c r="K16" s="1476"/>
    </row>
    <row r="17" spans="11:11" ht="14.25" customHeight="1">
      <c r="K17" s="1476"/>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2085</vt:i4>
      </vt:variant>
    </vt:vector>
  </HeadingPairs>
  <TitlesOfParts>
    <vt:vector size="217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pt_cs_47</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ter_56</vt:lpstr>
      <vt:lpstr>ter_57</vt:lpstr>
      <vt:lpstr>ter_58</vt:lpstr>
      <vt:lpstr>ter_59</vt:lpstr>
      <vt:lpstr>ter_60</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Чалкина Наталья Николаевна</cp:lastModifiedBy>
  <cp:lastPrinted>2013-08-29T08:11:20Z</cp:lastPrinted>
  <dcterms:created xsi:type="dcterms:W3CDTF">2004-05-21T07:18:45Z</dcterms:created>
  <dcterms:modified xsi:type="dcterms:W3CDTF">2024-01-11T06:41:32Z</dcterms:modified>
</cp:coreProperties>
</file>